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omments2.xml" ContentType="application/vnd.openxmlformats-officedocument.spreadsheetml.comments+xml"/>
  <Override PartName="/xl/customProperty4.bin" ContentType="application/vnd.openxmlformats-officedocument.spreadsheetml.customProperty"/>
  <Override PartName="/xl/comments3.xml" ContentType="application/vnd.openxmlformats-officedocument.spreadsheetml.comments+xml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6.bin" ContentType="application/vnd.openxmlformats-officedocument.spreadsheetml.customProperty"/>
  <Override PartName="/xl/comments5.xml" ContentType="application/vnd.openxmlformats-officedocument.spreadsheetml.comments+xml"/>
  <Override PartName="/xl/customProperty7.bin" ContentType="application/vnd.openxmlformats-officedocument.spreadsheetml.customProperty"/>
  <Override PartName="/xl/comments6.xml" ContentType="application/vnd.openxmlformats-officedocument.spreadsheetml.comments+xml"/>
  <Override PartName="/xl/customProperty8.bin" ContentType="application/vnd.openxmlformats-officedocument.spreadsheetml.customProperty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Xipu Li\Dropbox\Deal Folder\HXL\Excel\Model\"/>
    </mc:Choice>
  </mc:AlternateContent>
  <xr:revisionPtr revIDLastSave="0" documentId="13_ncr:1_{174EBAFE-C375-4B04-9ECE-4AB13BE88432}" xr6:coauthVersionLast="45" xr6:coauthVersionMax="45" xr10:uidLastSave="{00000000-0000-0000-0000-000000000000}"/>
  <bookViews>
    <workbookView xWindow="2235" yWindow="5565" windowWidth="28800" windowHeight="15435" tabRatio="784" activeTab="2" xr2:uid="{00000000-000D-0000-FFFF-FFFF00000000}"/>
  </bookViews>
  <sheets>
    <sheet name="CFLO" sheetId="14" r:id="rId1"/>
    <sheet name="Commercial Build up (2)" sheetId="48" r:id="rId2"/>
    <sheet name="Cash Flow" sheetId="42" r:id="rId3"/>
    <sheet name="End Market (2)" sheetId="46" r:id="rId4"/>
    <sheet name="SEG (2)" sheetId="47" r:id="rId5"/>
    <sheet name="IS (2)" sheetId="45" r:id="rId6"/>
    <sheet name="BS (2)" sheetId="44" r:id="rId7"/>
    <sheet name="Data (2)" sheetId="43" r:id="rId8"/>
  </sheets>
  <definedNames>
    <definedName name="__FDS_HYPERLINK_TOGGLE_STATE__" hidden="1">"ON"</definedName>
    <definedName name="__FDS_UNIQUE_RANGE_ID_GENERATOR_COUNTER" hidden="1">1</definedName>
    <definedName name="__FDS_USED_FOR_REUSING_RANGE_IDS_RECYCLE" localSheetId="6" hidden="1">{134,161}</definedName>
    <definedName name="__FDS_USED_FOR_REUSING_RANGE_IDS_RECYCLE" localSheetId="1" hidden="1">{134,161}</definedName>
    <definedName name="__FDS_USED_FOR_REUSING_RANGE_IDS_RECYCLE" localSheetId="7" hidden="1">{134,161}</definedName>
    <definedName name="__FDS_USED_FOR_REUSING_RANGE_IDS_RECYCLE" localSheetId="5" hidden="1">{134,161}</definedName>
    <definedName name="__FDS_USED_FOR_REUSING_RANGE_IDS_RECYCLE" hidden="1">{134,161}</definedName>
    <definedName name="A_ALL_HXL">#REF!</definedName>
    <definedName name="A_ALL_HXL_">#REF!</definedName>
    <definedName name="A_ALL_KEYWORDS_TYPE_ScalarContributed_EQTY_200007558">#REF!,#REF!,#REF!,#REF!</definedName>
    <definedName name="A_ALL_KEYWORDS_TYPE_ScalarContributed_ISSR_208002922">#REF!,#REF!</definedName>
    <definedName name="A_ALL_KEYWORDS_TYPE_ScalarReference_EQTY_200007558">#REF!</definedName>
    <definedName name="A_ALL_KEYWORDS_TYPE_ScalarReference_ISSR_208002922">#REF!</definedName>
    <definedName name="A_ALL_KEYWORDS_TYPE_Vector_EQTY_200007558">#REF!,#REF!,#REF!,#REF!,#REF!,#REF!,#REF!</definedName>
    <definedName name="A_ALL_KEYWORDS_TYPE_Vector_ISSR_208002922">#REF!,#REF!,#REF!,#REF!,#REF!,#REF!,#REF!,#REF!,#REF!</definedName>
    <definedName name="A_ALL_SECTION_KEYWORDS_EQTY_200007558_1314">#REF!</definedName>
    <definedName name="A_ALL_SECTION_KEYWORDS_EQTY_200007558_1319">#REF!</definedName>
    <definedName name="A_ALL_SECTION_KEYWORDS_EQTY_200007558_131E">#REF!</definedName>
    <definedName name="A_ALL_SECTION_KEYWORDS_EQTY_200007558_131O">#REF!</definedName>
    <definedName name="A_ALL_SECTION_KEYWORDS_EQTY_200007558_13A">#REF!</definedName>
    <definedName name="A_ALL_SECTION_KEYWORDS_EQTY_200007558_13K">#REF!</definedName>
    <definedName name="A_ALL_SECTION_KEYWORDS_EQTY_200007558_13U">#REF!</definedName>
    <definedName name="A_ALL_SECTION_KEYWORDS_EQTY_200007558_13V">#REF!</definedName>
    <definedName name="A_ALL_SECTION_KEYWORDS_EQTY_200007558_13W">#REF!</definedName>
    <definedName name="A_ALL_SECTION_KEYWORDS_EQTY_200007558_Reference_Data">#REF!</definedName>
    <definedName name="A_ALL_SECTION_KEYWORDS_ISSR_208002922_1314">#REF!</definedName>
    <definedName name="A_ALL_SECTION_KEYWORDS_ISSR_208002922_13168">#REF!</definedName>
    <definedName name="A_ALL_SECTION_KEYWORDS_ISSR_208002922_1316S">#REF!</definedName>
    <definedName name="A_ALL_SECTION_KEYWORDS_ISSR_208002922_1316T">#REF!</definedName>
    <definedName name="A_ALL_SECTION_KEYWORDS_ISSR_208002922_1316U">#REF!</definedName>
    <definedName name="A_ALL_SECTION_KEYWORDS_ISSR_208002922_1319">#REF!</definedName>
    <definedName name="A_ALL_SECTION_KEYWORDS_ISSR_208002922_131E">#REF!</definedName>
    <definedName name="A_ALL_SECTION_KEYWORDS_ISSR_208002922_131J">#REF!</definedName>
    <definedName name="A_ALL_SECTION_KEYWORDS_ISSR_208002922_131O">#REF!</definedName>
    <definedName name="A_ALL_SECTION_KEYWORDS_ISSR_208002922_136E">#REF!,#REF!</definedName>
    <definedName name="A_ALL_SECTION_KEYWORDS_ISSR_208002922_13A">#REF!</definedName>
    <definedName name="A_ALL_SECTION_KEYWORDS_ISSR_208002922_13U">#REF!</definedName>
    <definedName name="A_ALL_SECTION_KEYWORDS_ISSR_208002922_13V">#REF!</definedName>
    <definedName name="A_ALL_SECTION_KEYWORDS_ISSR_208002922_Reference_Data">#REF!</definedName>
    <definedName name="A_ALL_SECTIONS_EQTY_200007558">#REF!,#REF!,#REF!,#REF!,#REF!,#REF!,#REF!,#REF!,#REF!,#REF!</definedName>
    <definedName name="A_CURRENCY_EQTY_200007558_PRI">#REF!</definedName>
    <definedName name="A_CURRENCY_EQTY_200007558_PUB">#REF!</definedName>
    <definedName name="A_CURRENCY_EQTY_200007558_REP">#REF!</definedName>
    <definedName name="A_CURRENCY_ISSR_208002922_REP">#REF!</definedName>
    <definedName name="A_KEYWORD_EQTY_200007558_AMER_CONVICTION">#REF!</definedName>
    <definedName name="A_KEYWORD_EQTY_200007558_AMER_LIST">#REF!</definedName>
    <definedName name="A_KEYWORD_EQTY_200007558_BETA_ANALYST">#REF!</definedName>
    <definedName name="A_KEYWORD_EQTY_200007558_BVPS">#REF!</definedName>
    <definedName name="A_KEYWORD_EQTY_200007558_BVPS_PUB">#REF!</definedName>
    <definedName name="A_KEYWORD_EQTY_200007558_CEEE_EPS">#REF!</definedName>
    <definedName name="A_KEYWORD_EQTY_200007558_CF_NI_PRE_PREF">#REF!</definedName>
    <definedName name="A_KEYWORD_EQTY_200007558_COMMON_DIV_PAID">#REF!</definedName>
    <definedName name="A_KEYWORD_EQTY_200007558_CURRENCY_ISO">#REF!</definedName>
    <definedName name="A_KEYWORD_EQTY_200007558_DILUTE_SHARES">#REF!</definedName>
    <definedName name="A_KEYWORD_EQTY_200007558_DPS">#REF!</definedName>
    <definedName name="A_KEYWORD_EQTY_200007558_DPS_PUB">#REF!</definedName>
    <definedName name="A_KEYWORD_EQTY_200007558_EBIT_PUB">#REF!</definedName>
    <definedName name="A_KEYWORD_EQTY_200007558_EBITDA_PUB">#REF!</definedName>
    <definedName name="A_KEYWORD_EQTY_200007558_EPS">#REF!</definedName>
    <definedName name="A_KEYWORD_EQTY_200007558_EPS_EX_ESO_B">#REF!</definedName>
    <definedName name="A_KEYWORD_EQTY_200007558_EPS_EX_ESO_D">#REF!</definedName>
    <definedName name="A_KEYWORD_EQTY_200007558_EPS_FUL_DIL">#REF!</definedName>
    <definedName name="A_KEYWORD_EQTY_200007558_EPS_POST_BASIC">#REF!</definedName>
    <definedName name="A_KEYWORD_EQTY_200007558_EPS_PUB">#REF!</definedName>
    <definedName name="A_KEYWORD_EQTY_200007558_EPS_PUB_EX_ESO">#REF!</definedName>
    <definedName name="A_KEYWORD_EQTY_200007558_EQ_PUB">#REF!</definedName>
    <definedName name="A_KEYWORD_EQTY_200007558_ESO_POST_TAX">#REF!</definedName>
    <definedName name="A_KEYWORD_EQTY_200007558_ESO_YEAR">#REF!</definedName>
    <definedName name="A_KEYWORD_EQTY_200007558_EV_ADJ_PUB">#REF!</definedName>
    <definedName name="A_KEYWORD_EQTY_200007558_FREE_FLOAT">#REF!</definedName>
    <definedName name="A_KEYWORD_EQTY_200007558_FULLY_DIL_EPS">#REF!</definedName>
    <definedName name="A_KEYWORD_EQTY_200007558_FV_GRANT">#REF!</definedName>
    <definedName name="A_KEYWORD_EQTY_200007558_INC_MINORITY">#REF!</definedName>
    <definedName name="A_KEYWORD_EQTY_200007558_Interim_Type">#REF!</definedName>
    <definedName name="A_KEYWORD_EQTY_200007558_LEGAL_RATING">#REF!</definedName>
    <definedName name="A_KEYWORD_EQTY_200007558_MARGIN_TAX_RATE">#REF!</definedName>
    <definedName name="A_KEYWORD_EQTY_200007558_MKT_EQ_RISK_PREM">#REF!</definedName>
    <definedName name="A_KEYWORD_EQTY_200007558_NET_DEBT_PUB">#REF!</definedName>
    <definedName name="A_KEYWORD_EQTY_200007558_NET_EARNING">#REF!</definedName>
    <definedName name="A_KEYWORD_EQTY_200007558_NET_INC">#REF!</definedName>
    <definedName name="A_KEYWORD_EQTY_200007558_NI_PRE_PREF">#REF!</definedName>
    <definedName name="A_KEYWORD_EQTY_200007558_NI_PUB">#REF!</definedName>
    <definedName name="A_KEYWORD_EQTY_200007558_NON_OP_ADD">#REF!</definedName>
    <definedName name="A_KEYWORD_EQTY_200007558_NUM_SH">#REF!</definedName>
    <definedName name="A_KEYWORD_EQTY_200007558_PREF_DIV">#REF!</definedName>
    <definedName name="A_KEYWORD_EQTY_200007558_PRICE_CURRENCY_ISO">#REF!</definedName>
    <definedName name="A_KEYWORD_EQTY_200007558_PROV_INC_TAX">#REF!</definedName>
    <definedName name="A_KEYWORD_EQTY_200007558_PTP_PUB">#REF!</definedName>
    <definedName name="A_KEYWORD_EQTY_200007558_PUB_CURRENCY_ISO">#REF!</definedName>
    <definedName name="A_KEYWORD_EQTY_200007558_REPUR_ACTUAL">#REF!</definedName>
    <definedName name="A_KEYWORD_EQTY_200007558_REPUR_REMAINING">#REF!</definedName>
    <definedName name="A_KEYWORD_EQTY_200007558_REPUR_SUSPENDED">#REF!</definedName>
    <definedName name="A_KEYWORD_EQTY_200007558_REPUR_TOT_AUTH">#REF!</definedName>
    <definedName name="A_KEYWORD_EQTY_200007558_REVS_PUB">#REF!</definedName>
    <definedName name="A_KEYWORD_EQTY_200007558_RISK_FR_RATE">#REF!</definedName>
    <definedName name="A_KEYWORD_EQTY_200007558_Security_Name">#REF!</definedName>
    <definedName name="A_KEYWORD_EQTY_200007558_SH">#REF!</definedName>
    <definedName name="A_KEYWORD_EQTY_200007558_TARGET_PRICE">#REF!</definedName>
    <definedName name="A_KEYWORD_EQTY_200007558_TAX_EXC">#REF!</definedName>
    <definedName name="A_KEYWORD_EQTY_200007558_Ticker">#REF!</definedName>
    <definedName name="A_KEYWORD_EQTY_200007558_TP_PERIOD">#REF!</definedName>
    <definedName name="A_KEYWORD_ISSR_208002922_ACC_AMORT">#REF!</definedName>
    <definedName name="A_KEYWORD_ISSR_208002922_ACC_DDA">#REF!</definedName>
    <definedName name="A_KEYWORD_ISSR_208002922_ACC_END_DATE">#REF!</definedName>
    <definedName name="A_KEYWORD_ISSR_208002922_ACC_PAY_GQ">#REF!</definedName>
    <definedName name="A_KEYWORD_ISSR_208002922_ACQ">#REF!</definedName>
    <definedName name="A_KEYWORD_ISSR_208002922_ADJ_UNF_PENS_GOOD">#REF!</definedName>
    <definedName name="A_KEYWORD_ISSR_208002922_ASSOC_JV_ADDBK">#REF!</definedName>
    <definedName name="A_KEYWORD_ISSR_208002922_ASSOCIATE">#REF!</definedName>
    <definedName name="A_KEYWORD_ISSR_208002922_ASSOCIATE_OP">#REF!</definedName>
    <definedName name="A_KEYWORD_ISSR_208002922_BAL_MINO_INT">#REF!</definedName>
    <definedName name="A_KEYWORD_ISSR_208002922_CAP_LEASES">#REF!</definedName>
    <definedName name="A_KEYWORD_ISSR_208002922_CAPEX">#REF!</definedName>
    <definedName name="A_KEYWORD_ISSR_208002922_CAPEX_EXPANSION">#REF!</definedName>
    <definedName name="A_KEYWORD_ISSR_208002922_CAPEX_MAINTENANCE">#REF!</definedName>
    <definedName name="A_KEYWORD_ISSR_208002922_CASH_EQ">#REF!</definedName>
    <definedName name="A_KEYWORD_ISSR_208002922_CASH_INT_EXP">#REF!</definedName>
    <definedName name="A_KEYWORD_ISSR_208002922_CASH_PCT_OS_US">#REF!</definedName>
    <definedName name="A_KEYWORD_ISSR_208002922_CASH_TAX_EXP">#REF!</definedName>
    <definedName name="A_KEYWORD_ISSR_208002922_CF_FIN">#REF!</definedName>
    <definedName name="A_KEYWORD_ISSR_208002922_CF_INC_MINORITY">#REF!</definedName>
    <definedName name="A_KEYWORD_ISSR_208002922_CF_INV">#REF!</definedName>
    <definedName name="A_KEYWORD_ISSR_208002922_CF_OPS">#REF!</definedName>
    <definedName name="A_KEYWORD_ISSR_208002922_CHG_LT_DEBT">#REF!</definedName>
    <definedName name="A_KEYWORD_ISSR_208002922_CO_BOR_MARGIN">#REF!</definedName>
    <definedName name="A_KEYWORD_ISSR_208002922_COST_GD_SD">#REF!</definedName>
    <definedName name="A_KEYWORD_ISSR_208002922_CUR_ASS">#REF!</definedName>
    <definedName name="A_KEYWORD_ISSR_208002922_CURRENCY_ISO">#REF!</definedName>
    <definedName name="A_KEYWORD_ISSR_208002922_DEBTORS">#REF!</definedName>
    <definedName name="A_KEYWORD_ISSR_208002922_DEF_INC_TAX">#REF!</definedName>
    <definedName name="A_KEYWORD_ISSR_208002922_DEPR_AMORT">#REF!</definedName>
    <definedName name="A_KEYWORD_ISSR_208002922_DEPREC">#REF!</definedName>
    <definedName name="A_KEYWORD_ISSR_208002922_DIV_PAID">#REF!</definedName>
    <definedName name="A_KEYWORD_ISSR_208002922_DIVDS_ASSOC_JV">#REF!</definedName>
    <definedName name="A_KEYWORD_ISSR_208002922_DIVDS_PD_MINORITIES">#REF!</definedName>
    <definedName name="A_KEYWORD_ISSR_208002922_DIVEST">#REF!</definedName>
    <definedName name="A_KEYWORD_ISSR_208002922_EBIT">#REF!</definedName>
    <definedName name="A_KEYWORD_ISSR_208002922_EBIT_FIN_SEGMENT">#REF!</definedName>
    <definedName name="A_KEYWORD_ISSR_208002922_EBITDA_CALC">#REF!</definedName>
    <definedName name="A_KEYWORD_ISSR_208002922_EMPLOYEES">#REF!</definedName>
    <definedName name="A_KEYWORD_ISSR_208002922_EQ">#REF!</definedName>
    <definedName name="A_KEYWORD_ISSR_208002922_ESO_PRE_TAX">#REF!</definedName>
    <definedName name="A_KEYWORD_ISSR_208002922_EXP_ALUMINIUM">#REF!</definedName>
    <definedName name="A_KEYWORD_ISSR_208002922_EXP_COPPER">#REF!</definedName>
    <definedName name="A_KEYWORD_ISSR_208002922_EXP_GLASS">#REF!</definedName>
    <definedName name="A_KEYWORD_ISSR_208002922_EXP_GOLD">#REF!</definedName>
    <definedName name="A_KEYWORD_ISSR_208002922_EXP_NAT_GAS">#REF!</definedName>
    <definedName name="A_KEYWORD_ISSR_208002922_EXP_NICKEL">#REF!</definedName>
    <definedName name="A_KEYWORD_ISSR_208002922_EXP_OIL_DERIV_NGLS_PLASTICS">#REF!</definedName>
    <definedName name="A_KEYWORD_ISSR_208002922_EXP_OIL_PETRO_FUEL">#REF!</definedName>
    <definedName name="A_KEYWORD_ISSR_208002922_EXP_OTH_COMMODITY">#REF!</definedName>
    <definedName name="A_KEYWORD_ISSR_208002922_EXP_OTH_COST">#REF!</definedName>
    <definedName name="A_KEYWORD_ISSR_208002922_EXP_PALLADIUM">#REF!</definedName>
    <definedName name="A_KEYWORD_ISSR_208002922_EXP_PLATINUM">#REF!</definedName>
    <definedName name="A_KEYWORD_ISSR_208002922_EXP_RUBBER">#REF!</definedName>
    <definedName name="A_KEYWORD_ISSR_208002922_EXP_SILVER">#REF!</definedName>
    <definedName name="A_KEYWORD_ISSR_208002922_EXP_STEEL">#REF!</definedName>
    <definedName name="A_KEYWORD_ISSR_208002922_EXP_WATER">#REF!</definedName>
    <definedName name="A_KEYWORD_ISSR_208002922_EXP_ZINC">#REF!</definedName>
    <definedName name="A_KEYWORD_ISSR_208002922_FIX_ASS_INV">#REF!</definedName>
    <definedName name="A_KEYWORD_ISSR_208002922_GCI_INFL">#REF!</definedName>
    <definedName name="A_KEYWORD_ISSR_208002922_GOODWILL_AMORT">#REF!</definedName>
    <definedName name="A_KEYWORD_ISSR_208002922_GR_FIX_ASS">#REF!</definedName>
    <definedName name="A_KEYWORD_ISSR_208002922_GR_INTANG">#REF!</definedName>
    <definedName name="A_KEYWORD_ISSR_208002922_INT_EXP_IND">#REF!</definedName>
    <definedName name="A_KEYWORD_ISSR_208002922_INT_INC_IND">#REF!</definedName>
    <definedName name="A_KEYWORD_ISSR_208002922_INV_SECUR">#REF!</definedName>
    <definedName name="A_KEYWORD_ISSR_208002922_Issuer_Name">#REF!</definedName>
    <definedName name="A_KEYWORD_ISSR_208002922_LEASE_DEEM_DEPR">#REF!</definedName>
    <definedName name="A_KEYWORD_ISSR_208002922_LEASE_DEEM_INT">#REF!</definedName>
    <definedName name="A_KEYWORD_ISSR_208002922_LEASE_PAY">#REF!</definedName>
    <definedName name="A_KEYWORD_ISSR_208002922_LT_DEBT">#REF!</definedName>
    <definedName name="A_KEYWORD_ISSR_208002922_MA_PROB">#REF!</definedName>
    <definedName name="A_KEYWORD_ISSR_208002922_MINORITIES">#REF!</definedName>
    <definedName name="A_KEYWORD_ISSR_208002922_MV_ASSOCIATES">#REF!</definedName>
    <definedName name="A_KEYWORD_ISSR_208002922_NET_DEBT">#REF!</definedName>
    <definedName name="A_KEYWORD_ISSR_208002922_NET_DEBT_ADJ">#REF!</definedName>
    <definedName name="A_KEYWORD_ISSR_208002922_NET_FIX_ASS">#REF!</definedName>
    <definedName name="A_KEYWORD_ISSR_208002922_NET_INT_CH">#REF!</definedName>
    <definedName name="A_KEYWORD_ISSR_208002922_NET_INT_EXP">#REF!</definedName>
    <definedName name="A_KEYWORD_ISSR_208002922_NET_INTANG">#REF!</definedName>
    <definedName name="A_KEYWORD_ISSR_208002922_NONPPE_CAPEX">#REF!</definedName>
    <definedName name="A_KEYWORD_ISSR_208002922_OP_COST">#REF!</definedName>
    <definedName name="A_KEYWORD_ISSR_208002922_ORD_SH_FUND">#REF!</definedName>
    <definedName name="A_KEYWORD_ISSR_208002922_OTH_COST_INC">#REF!</definedName>
    <definedName name="A_KEYWORD_ISSR_208002922_OTH_CUR_ASS">#REF!</definedName>
    <definedName name="A_KEYWORD_ISSR_208002922_OTH_CUR_LIABS">#REF!</definedName>
    <definedName name="A_KEYWORD_ISSR_208002922_OTH_DACF_ADJ">#REF!</definedName>
    <definedName name="A_KEYWORD_ISSR_208002922_OTH_FIN_CF">#REF!</definedName>
    <definedName name="A_KEYWORD_ISSR_208002922_OTH_GCI_ADJ">#REF!</definedName>
    <definedName name="A_KEYWORD_ISSR_208002922_OTH_INV_CF">#REF!</definedName>
    <definedName name="A_KEYWORD_ISSR_208002922_OTH_LT_ASS">#REF!</definedName>
    <definedName name="A_KEYWORD_ISSR_208002922_OTH_LT_CRED_GQ">#REF!</definedName>
    <definedName name="A_KEYWORD_ISSR_208002922_OTH_NONCASH_ADJ">#REF!</definedName>
    <definedName name="A_KEYWORD_ISSR_208002922_OTH_OP_CF">#REF!</definedName>
    <definedName name="A_KEYWORD_ISSR_208002922_OTH_OP_INC_EXP">#REF!</definedName>
    <definedName name="A_KEYWORD_ISSR_208002922_PERIOD_MILESTONE">#REF!</definedName>
    <definedName name="A_KEYWORD_ISSR_208002922_PL_SALE_ASSETS">#REF!</definedName>
    <definedName name="A_KEYWORD_ISSR_208002922_PREF_SH">#REF!</definedName>
    <definedName name="A_KEYWORD_ISSR_208002922_PROFIT_ON_DISP">#REF!</definedName>
    <definedName name="A_KEYWORD_ISSR_208002922_PT_PROF">#REF!</definedName>
    <definedName name="A_KEYWORD_ISSR_208002922_RD_EXP">#REF!</definedName>
    <definedName name="A_KEYWORD_ISSR_208002922_REV_FIN_SEGMENT">#REF!</definedName>
    <definedName name="A_KEYWORD_ISSR_208002922_SALES">#REF!</definedName>
    <definedName name="A_KEYWORD_ISSR_208002922_SALES_ARGENTINA">#REF!</definedName>
    <definedName name="A_KEYWORD_ISSR_208002922_SALES_BRAZIL">#REF!</definedName>
    <definedName name="A_KEYWORD_ISSR_208002922_SALES_CANADA">#REF!</definedName>
    <definedName name="A_KEYWORD_ISSR_208002922_SALES_CEE">#REF!</definedName>
    <definedName name="A_KEYWORD_ISSR_208002922_SALES_CHILE">#REF!</definedName>
    <definedName name="A_KEYWORD_ISSR_208002922_SALES_CHINA">#REF!</definedName>
    <definedName name="A_KEYWORD_ISSR_208002922_SALES_COLOMBIA">#REF!</definedName>
    <definedName name="A_KEYWORD_ISSR_208002922_SALES_CONS">#REF!</definedName>
    <definedName name="A_KEYWORD_ISSR_208002922_SALES_EU_EX_UK">#REF!</definedName>
    <definedName name="A_KEYWORD_ISSR_208002922_SALES_FINAN">#REF!</definedName>
    <definedName name="A_KEYWORD_ISSR_208002922_SALES_FX_ARS">#REF!</definedName>
    <definedName name="A_KEYWORD_ISSR_208002922_SALES_FX_BRL">#REF!</definedName>
    <definedName name="A_KEYWORD_ISSR_208002922_SALES_FX_CAD">#REF!</definedName>
    <definedName name="A_KEYWORD_ISSR_208002922_SALES_FX_CLP">#REF!</definedName>
    <definedName name="A_KEYWORD_ISSR_208002922_SALES_FX_CNY">#REF!</definedName>
    <definedName name="A_KEYWORD_ISSR_208002922_SALES_FX_COP">#REF!</definedName>
    <definedName name="A_KEYWORD_ISSR_208002922_SALES_FX_EUR">#REF!</definedName>
    <definedName name="A_KEYWORD_ISSR_208002922_SALES_FX_GPB">#REF!</definedName>
    <definedName name="A_KEYWORD_ISSR_208002922_SALES_FX_INR">#REF!</definedName>
    <definedName name="A_KEYWORD_ISSR_208002922_SALES_FX_MXN">#REF!</definedName>
    <definedName name="A_KEYWORD_ISSR_208002922_SALES_FX_OTH">#REF!</definedName>
    <definedName name="A_KEYWORD_ISSR_208002922_SALES_FX_RUB">#REF!</definedName>
    <definedName name="A_KEYWORD_ISSR_208002922_SALES_FX_USD">#REF!</definedName>
    <definedName name="A_KEYWORD_ISSR_208002922_SALES_FX_VEF">#REF!</definedName>
    <definedName name="A_KEYWORD_ISSR_208002922_SALES_FX_YEN">#REF!</definedName>
    <definedName name="A_KEYWORD_ISSR_208002922_SALES_GOV">#REF!</definedName>
    <definedName name="A_KEYWORD_ISSR_208002922_SALES_IND">#REF!</definedName>
    <definedName name="A_KEYWORD_ISSR_208002922_SALES_INDIA">#REF!</definedName>
    <definedName name="A_KEYWORD_ISSR_208002922_SALES_JAPAN">#REF!</definedName>
    <definedName name="A_KEYWORD_ISSR_208002922_SALES_ME">#REF!</definedName>
    <definedName name="A_KEYWORD_ISSR_208002922_SALES_MEXICO">#REF!</definedName>
    <definedName name="A_KEYWORD_ISSR_208002922_SALES_OTH_AEJ">#REF!</definedName>
    <definedName name="A_KEYWORD_ISSR_208002922_SALES_OTH_AM">#REF!</definedName>
    <definedName name="A_KEYWORD_ISSR_208002922_SALES_OTH_COMMODITY">#REF!</definedName>
    <definedName name="A_KEYWORD_ISSR_208002922_SALES_OTH_EMEA">#REF!</definedName>
    <definedName name="A_KEYWORD_ISSR_208002922_SALES_OTH_SALES_SOURCES">#REF!</definedName>
    <definedName name="A_KEYWORD_ISSR_208002922_SALES_OTHER">#REF!</definedName>
    <definedName name="A_KEYWORD_ISSR_208002922_SALES_RUSSIA">#REF!</definedName>
    <definedName name="A_KEYWORD_ISSR_208002922_SALES_SMB">#REF!</definedName>
    <definedName name="A_KEYWORD_ISSR_208002922_SALES_TOT_AFRICA">#REF!</definedName>
    <definedName name="A_KEYWORD_ISSR_208002922_SALES_TOT_AM">#REF!</definedName>
    <definedName name="A_KEYWORD_ISSR_208002922_SALES_TOT_ASIA">#REF!</definedName>
    <definedName name="A_KEYWORD_ISSR_208002922_SALES_TOT_EMEA">#REF!</definedName>
    <definedName name="A_KEYWORD_ISSR_208002922_SALES_UK">#REF!</definedName>
    <definedName name="A_KEYWORD_ISSR_208002922_SALES_US">#REF!</definedName>
    <definedName name="A_KEYWORD_ISSR_208002922_SALES_VENEZUELA">#REF!</definedName>
    <definedName name="A_KEYWORD_ISSR_208002922_SEL_GL_AD">#REF!</definedName>
    <definedName name="A_KEYWORD_ISSR_208002922_SH_REPUR">#REF!</definedName>
    <definedName name="A_KEYWORD_ISSR_208002922_SHORT_T_DEBT">#REF!</definedName>
    <definedName name="A_KEYWORD_ISSR_208002922_SHORT_TERM_LIABS">#REF!</definedName>
    <definedName name="A_KEYWORD_ISSR_208002922_STOCKS">#REF!</definedName>
    <definedName name="A_KEYWORD_ISSR_208002922_TOT_ASSET">#REF!</definedName>
    <definedName name="A_KEYWORD_ISSR_208002922_TOT_CF">#REF!</definedName>
    <definedName name="A_KEYWORD_ISSR_208002922_TOT_LIAB">#REF!</definedName>
    <definedName name="A_KEYWORD_ISSR_208002922_TOT_LIAB_EQ">#REF!</definedName>
    <definedName name="A_KEYWORD_ISSR_208002922_TOT_LT_LIAB">#REF!</definedName>
    <definedName name="A_KEYWORD_ISSR_208002922_TOT_OPS_EXP">#REF!</definedName>
    <definedName name="A_KEYWORD_ISSR_208002922_TOT_OPS_EXP_DDA">#REF!</definedName>
    <definedName name="A_KEYWORD_ISSR_208002922_UNF_PENS">#REF!</definedName>
    <definedName name="A_KEYWORD_ISSR_208002922_UNF_PENS_LIAB_OTH">#REF!</definedName>
    <definedName name="A_KEYWORD_ISSR_208002922_UNF_PENS_OFF">#REF!</definedName>
    <definedName name="A_KEYWORD_ISSR_208002922_WORK_CAP">#REF!</definedName>
    <definedName name="A_LIVEDATA_EQTY_200007558">#REF!</definedName>
    <definedName name="A_LIVEDATA_ISSR_208002922">#REF!</definedName>
    <definedName name="A_PERIOD_1996">#REF!</definedName>
    <definedName name="A_PERIOD_1997">#REF!</definedName>
    <definedName name="A_PERIOD_1998">#REF!</definedName>
    <definedName name="A_PERIOD_1999">#REF!</definedName>
    <definedName name="A_PERIOD_2000">#REF!</definedName>
    <definedName name="A_PERIOD_2001">#REF!</definedName>
    <definedName name="A_PERIOD_2002">#REF!</definedName>
    <definedName name="A_PERIOD_2003">#REF!</definedName>
    <definedName name="A_PERIOD_2003_Q1">#REF!</definedName>
    <definedName name="A_PERIOD_2003_Q2">#REF!</definedName>
    <definedName name="A_PERIOD_2003_Q3">#REF!</definedName>
    <definedName name="A_PERIOD_2003_Q4">#REF!</definedName>
    <definedName name="A_PERIOD_2004">#REF!</definedName>
    <definedName name="A_PERIOD_2004_Q1">#REF!</definedName>
    <definedName name="A_PERIOD_2004_Q2">#REF!</definedName>
    <definedName name="A_PERIOD_2004_Q3">#REF!</definedName>
    <definedName name="A_PERIOD_2004_Q4">#REF!</definedName>
    <definedName name="A_PERIOD_2005">#REF!</definedName>
    <definedName name="A_PERIOD_2005_Q1">#REF!</definedName>
    <definedName name="A_PERIOD_2005_Q2">#REF!</definedName>
    <definedName name="A_PERIOD_2005_Q3">#REF!</definedName>
    <definedName name="A_PERIOD_2005_Q4">#REF!</definedName>
    <definedName name="A_PERIOD_2006">#REF!</definedName>
    <definedName name="A_PERIOD_2006_Q1">#REF!</definedName>
    <definedName name="A_PERIOD_2006_Q2">#REF!</definedName>
    <definedName name="A_PERIOD_2006_Q3">#REF!</definedName>
    <definedName name="A_PERIOD_2006_Q4">#REF!</definedName>
    <definedName name="A_PERIOD_2007">#REF!</definedName>
    <definedName name="A_PERIOD_2007_Q1">#REF!</definedName>
    <definedName name="A_PERIOD_2007_Q2">#REF!</definedName>
    <definedName name="A_PERIOD_2007_Q3">#REF!</definedName>
    <definedName name="A_PERIOD_2007_Q4">#REF!</definedName>
    <definedName name="A_PERIOD_2008">#REF!</definedName>
    <definedName name="A_PERIOD_2008_Q1">#REF!</definedName>
    <definedName name="A_PERIOD_2008_Q2">#REF!</definedName>
    <definedName name="A_PERIOD_2008_Q3">#REF!</definedName>
    <definedName name="A_PERIOD_2008_Q4">#REF!</definedName>
    <definedName name="A_PERIOD_2009">#REF!</definedName>
    <definedName name="A_PERIOD_2009_Q1">#REF!</definedName>
    <definedName name="A_PERIOD_2009_Q2">#REF!</definedName>
    <definedName name="A_PERIOD_2009_Q3">#REF!</definedName>
    <definedName name="A_PERIOD_2009_Q4">#REF!</definedName>
    <definedName name="A_PERIOD_2010">#REF!</definedName>
    <definedName name="A_PERIOD_2010_Q1">#REF!</definedName>
    <definedName name="A_PERIOD_2010_Q2">#REF!</definedName>
    <definedName name="A_PERIOD_2010_Q3">#REF!</definedName>
    <definedName name="A_PERIOD_2010_Q4">#REF!</definedName>
    <definedName name="A_PERIOD_2011">#REF!</definedName>
    <definedName name="A_PERIOD_2011_Q1">#REF!</definedName>
    <definedName name="A_PERIOD_2011_Q2">#REF!</definedName>
    <definedName name="A_PERIOD_2011_Q3">#REF!</definedName>
    <definedName name="A_PERIOD_2011_Q4">#REF!</definedName>
    <definedName name="A_PERIOD_2012">#REF!</definedName>
    <definedName name="A_PERIOD_2012_Q1">#REF!</definedName>
    <definedName name="A_PERIOD_2012_Q2">#REF!</definedName>
    <definedName name="A_PERIOD_2012_Q3">#REF!</definedName>
    <definedName name="A_PERIOD_2012_Q4">#REF!</definedName>
    <definedName name="A_PERIOD_2013">#REF!</definedName>
    <definedName name="A_PERIOD_2013_Q1">#REF!</definedName>
    <definedName name="A_PERIOD_2013_Q2">#REF!</definedName>
    <definedName name="A_PERIOD_2013_Q3">#REF!</definedName>
    <definedName name="A_PERIOD_2013_Q4">#REF!</definedName>
    <definedName name="A_PERIOD_2014">#REF!</definedName>
    <definedName name="A_PERIOD_2014_Q1">#REF!</definedName>
    <definedName name="A_PERIOD_2014_Q2">#REF!</definedName>
    <definedName name="A_PERIOD_2014_Q3">#REF!</definedName>
    <definedName name="A_PERIOD_2014_Q4">#REF!</definedName>
    <definedName name="A_PERIOD_2015">#REF!</definedName>
    <definedName name="A_PERIOD_2016">#REF!</definedName>
    <definedName name="A_SECTION_EQTY_200007558_1314">#REF!</definedName>
    <definedName name="A_SECTION_EQTY_200007558_1319">#REF!</definedName>
    <definedName name="A_SECTION_EQTY_200007558_131E">#REF!</definedName>
    <definedName name="A_SECTION_EQTY_200007558_131O">#REF!</definedName>
    <definedName name="A_SECTION_EQTY_200007558_13A">#REF!</definedName>
    <definedName name="A_SECTION_EQTY_200007558_13K">#REF!</definedName>
    <definedName name="A_SECTION_EQTY_200007558_13U">#REF!</definedName>
    <definedName name="A_SECTION_EQTY_200007558_13V">#REF!</definedName>
    <definedName name="A_SECTION_EQTY_200007558_13W">#REF!</definedName>
    <definedName name="A_SECTION_EQTY_200007558_Reference_Data">#REF!</definedName>
    <definedName name="A_SECTION_ISSR_208002922_1314">#REF!</definedName>
    <definedName name="A_SECTION_ISSR_208002922_13168">#REF!</definedName>
    <definedName name="A_SECTION_ISSR_208002922_1316S">#REF!</definedName>
    <definedName name="A_SECTION_ISSR_208002922_1316T">#REF!</definedName>
    <definedName name="A_SECTION_ISSR_208002922_1316U">#REF!</definedName>
    <definedName name="A_SECTION_ISSR_208002922_1319">#REF!</definedName>
    <definedName name="A_SECTION_ISSR_208002922_131E">#REF!</definedName>
    <definedName name="A_SECTION_ISSR_208002922_131J">#REF!</definedName>
    <definedName name="A_SECTION_ISSR_208002922_131O">#REF!</definedName>
    <definedName name="A_SECTION_ISSR_208002922_13A">#REF!</definedName>
    <definedName name="A_SECTION_ISSR_208002922_13U">#REF!</definedName>
    <definedName name="A_SECTION_ISSR_208002922_13V">#REF!</definedName>
    <definedName name="A_SECTION_ISSR_208002922_Reference_Data">#REF!</definedName>
    <definedName name="accumotherinc">#REF!</definedName>
    <definedName name="acq" localSheetId="6">#REF!</definedName>
    <definedName name="acq" localSheetId="1">#REF!</definedName>
    <definedName name="acq" localSheetId="7">#REF!</definedName>
    <definedName name="acq" localSheetId="5">#REF!</definedName>
    <definedName name="acq">CFLO!#REF!</definedName>
    <definedName name="ap">#REF!</definedName>
    <definedName name="ar">#REF!</definedName>
    <definedName name="asdas" localSheetId="1">#REF!</definedName>
    <definedName name="asdas">#REF!</definedName>
    <definedName name="book">#REF!</definedName>
    <definedName name="by.00">#REF!</definedName>
    <definedName name="by.01">#REF!</definedName>
    <definedName name="by.02">#REF!</definedName>
    <definedName name="by.03">#REF!</definedName>
    <definedName name="by.04">#REF!</definedName>
    <definedName name="by.05">#REF!</definedName>
    <definedName name="by.06">#REF!</definedName>
    <definedName name="by.07">#REF!</definedName>
    <definedName name="by.08">#REF!</definedName>
    <definedName name="by.09">#REF!</definedName>
    <definedName name="by.10">#REF!</definedName>
    <definedName name="by.11">#REF!</definedName>
    <definedName name="by.12">#REF!</definedName>
    <definedName name="by.13">#REF!</definedName>
    <definedName name="by.14">#REF!</definedName>
    <definedName name="by.15">#REF!</definedName>
    <definedName name="by.16">#REF!</definedName>
    <definedName name="by.17">#REF!</definedName>
    <definedName name="by.18">#REF!</definedName>
    <definedName name="by.19">#REF!</definedName>
    <definedName name="by.1q04">#REF!</definedName>
    <definedName name="by.1q05">#REF!</definedName>
    <definedName name="by.1q06">#REF!</definedName>
    <definedName name="by.1q07">#REF!</definedName>
    <definedName name="by.1q08">#REF!</definedName>
    <definedName name="by.1q09">#REF!</definedName>
    <definedName name="by.1q10">#REF!</definedName>
    <definedName name="by.1q11">#REF!</definedName>
    <definedName name="by.1q12">#REF!</definedName>
    <definedName name="by.1q13">#REF!</definedName>
    <definedName name="by.1q14">#REF!</definedName>
    <definedName name="by.20">#REF!</definedName>
    <definedName name="by.21">#REF!</definedName>
    <definedName name="by.22">#REF!</definedName>
    <definedName name="by.23">#REF!</definedName>
    <definedName name="by.2q04">#REF!</definedName>
    <definedName name="by.2q05">#REF!</definedName>
    <definedName name="by.2q06">#REF!</definedName>
    <definedName name="by.2q07">#REF!</definedName>
    <definedName name="by.2q08">#REF!</definedName>
    <definedName name="by.2q09">#REF!</definedName>
    <definedName name="by.2q10">#REF!</definedName>
    <definedName name="by.2q11">#REF!</definedName>
    <definedName name="by.2q12">#REF!</definedName>
    <definedName name="by.2q13">#REF!</definedName>
    <definedName name="by.2q14">#REF!</definedName>
    <definedName name="by.3q04">#REF!</definedName>
    <definedName name="by.3q05">#REF!</definedName>
    <definedName name="by.3q06">#REF!</definedName>
    <definedName name="by.3q07">#REF!</definedName>
    <definedName name="by.3q08">#REF!</definedName>
    <definedName name="by.3q09">#REF!</definedName>
    <definedName name="by.3q10">#REF!</definedName>
    <definedName name="by.3q11">#REF!</definedName>
    <definedName name="by.3q12">#REF!</definedName>
    <definedName name="by.3q13">#REF!</definedName>
    <definedName name="by.3q14">#REF!</definedName>
    <definedName name="by.4q04">#REF!</definedName>
    <definedName name="by.4q05">#REF!</definedName>
    <definedName name="by.4q06">#REF!</definedName>
    <definedName name="by.4q07">#REF!</definedName>
    <definedName name="by.4q08">#REF!</definedName>
    <definedName name="by.4q09">#REF!</definedName>
    <definedName name="by.4q10">#REF!</definedName>
    <definedName name="by.4q11">#REF!</definedName>
    <definedName name="by.4q12">#REF!</definedName>
    <definedName name="by.4q13">#REF!</definedName>
    <definedName name="by.4q14">#REF!</definedName>
    <definedName name="by.97">#REF!</definedName>
    <definedName name="by.98">#REF!</definedName>
    <definedName name="by.99">#REF!</definedName>
    <definedName name="ca">#REF!</definedName>
    <definedName name="capex" localSheetId="6">#REF!</definedName>
    <definedName name="capex" localSheetId="1">#REF!</definedName>
    <definedName name="capex" localSheetId="7">#REF!</definedName>
    <definedName name="capex" localSheetId="5">#REF!</definedName>
    <definedName name="capex">CFLO!#REF!</definedName>
    <definedName name="cash">#REF!</definedName>
    <definedName name="cashdiv" localSheetId="6">#REF!</definedName>
    <definedName name="cashdiv" localSheetId="1">#REF!</definedName>
    <definedName name="cashdiv" localSheetId="7">#REF!</definedName>
    <definedName name="cashdiv" localSheetId="5">#REF!</definedName>
    <definedName name="cashdiv">CFLO!$27:$27</definedName>
    <definedName name="cff" localSheetId="6">#REF!</definedName>
    <definedName name="cff" localSheetId="1">#REF!</definedName>
    <definedName name="cff" localSheetId="7">#REF!</definedName>
    <definedName name="cff" localSheetId="5">#REF!</definedName>
    <definedName name="cff">CFLO!#REF!</definedName>
    <definedName name="cfi" localSheetId="6">#REF!</definedName>
    <definedName name="cfi" localSheetId="1">#REF!</definedName>
    <definedName name="cfi" localSheetId="7">#REF!</definedName>
    <definedName name="cfi" localSheetId="5">#REF!</definedName>
    <definedName name="cfi">CFLO!#REF!</definedName>
    <definedName name="cfo" localSheetId="6">#REF!</definedName>
    <definedName name="cfo" localSheetId="1">#REF!</definedName>
    <definedName name="cfo" localSheetId="7">#REF!</definedName>
    <definedName name="cfo" localSheetId="5">#REF!</definedName>
    <definedName name="cfo">CFLO!$19:$19</definedName>
    <definedName name="cl">#REF!</definedName>
    <definedName name="cogs">#REF!</definedName>
    <definedName name="common">#REF!</definedName>
    <definedName name="cy.00" localSheetId="6">#REF!</definedName>
    <definedName name="cy.00" localSheetId="1">#REF!</definedName>
    <definedName name="cy.00" localSheetId="7">#REF!</definedName>
    <definedName name="cy.00" localSheetId="5">#REF!</definedName>
    <definedName name="cy.00">CFLO!#REF!</definedName>
    <definedName name="cy.01" localSheetId="6">#REF!</definedName>
    <definedName name="cy.01" localSheetId="1">#REF!</definedName>
    <definedName name="cy.01" localSheetId="7">#REF!</definedName>
    <definedName name="cy.01" localSheetId="5">#REF!</definedName>
    <definedName name="cy.01">CFLO!#REF!</definedName>
    <definedName name="cy.02" localSheetId="6">#REF!</definedName>
    <definedName name="cy.02" localSheetId="1">#REF!</definedName>
    <definedName name="cy.02" localSheetId="7">#REF!</definedName>
    <definedName name="cy.02" localSheetId="5">#REF!</definedName>
    <definedName name="cy.02">CFLO!#REF!</definedName>
    <definedName name="cy.03" localSheetId="6">#REF!</definedName>
    <definedName name="cy.03" localSheetId="1">#REF!</definedName>
    <definedName name="cy.03" localSheetId="7">#REF!</definedName>
    <definedName name="cy.03" localSheetId="5">#REF!</definedName>
    <definedName name="cy.03">CFLO!#REF!</definedName>
    <definedName name="cy.04" localSheetId="6">#REF!</definedName>
    <definedName name="cy.04" localSheetId="1">#REF!</definedName>
    <definedName name="cy.04" localSheetId="7">#REF!</definedName>
    <definedName name="cy.04" localSheetId="5">#REF!</definedName>
    <definedName name="cy.04">CFLO!#REF!</definedName>
    <definedName name="cy.05" localSheetId="6">#REF!</definedName>
    <definedName name="cy.05" localSheetId="1">#REF!</definedName>
    <definedName name="cy.05" localSheetId="7">#REF!</definedName>
    <definedName name="cy.05" localSheetId="5">#REF!</definedName>
    <definedName name="cy.05">CFLO!#REF!</definedName>
    <definedName name="cy.06" localSheetId="6">#REF!</definedName>
    <definedName name="cy.06" localSheetId="1">#REF!</definedName>
    <definedName name="cy.06" localSheetId="7">#REF!</definedName>
    <definedName name="cy.06" localSheetId="5">#REF!</definedName>
    <definedName name="cy.06">CFLO!#REF!</definedName>
    <definedName name="cy.07" localSheetId="6">#REF!</definedName>
    <definedName name="cy.07" localSheetId="1">#REF!</definedName>
    <definedName name="cy.07" localSheetId="7">#REF!</definedName>
    <definedName name="cy.07" localSheetId="5">#REF!</definedName>
    <definedName name="cy.07">CFLO!#REF!</definedName>
    <definedName name="cy.08" localSheetId="6">#REF!</definedName>
    <definedName name="cy.08" localSheetId="1">#REF!</definedName>
    <definedName name="cy.08" localSheetId="7">#REF!</definedName>
    <definedName name="cy.08" localSheetId="5">#REF!</definedName>
    <definedName name="cy.08">CFLO!#REF!</definedName>
    <definedName name="cy.09" localSheetId="6">#REF!</definedName>
    <definedName name="cy.09" localSheetId="1">#REF!</definedName>
    <definedName name="cy.09" localSheetId="7">#REF!</definedName>
    <definedName name="cy.09" localSheetId="5">#REF!</definedName>
    <definedName name="cy.09">CFLO!#REF!</definedName>
    <definedName name="cy.10" localSheetId="6">#REF!</definedName>
    <definedName name="cy.10" localSheetId="1">#REF!</definedName>
    <definedName name="cy.10" localSheetId="7">#REF!</definedName>
    <definedName name="cy.10" localSheetId="5">#REF!</definedName>
    <definedName name="cy.10">CFLO!#REF!</definedName>
    <definedName name="cy.11" localSheetId="6">#REF!</definedName>
    <definedName name="cy.11" localSheetId="1">#REF!</definedName>
    <definedName name="cy.11" localSheetId="7">#REF!</definedName>
    <definedName name="cy.11" localSheetId="5">#REF!</definedName>
    <definedName name="cy.11">CFLO!#REF!</definedName>
    <definedName name="cy.12" localSheetId="6">#REF!</definedName>
    <definedName name="cy.12" localSheetId="1">#REF!</definedName>
    <definedName name="cy.12" localSheetId="7">#REF!</definedName>
    <definedName name="cy.12" localSheetId="5">#REF!</definedName>
    <definedName name="cy.12">CFLO!#REF!</definedName>
    <definedName name="cy.13" localSheetId="6">#REF!</definedName>
    <definedName name="cy.13" localSheetId="1">#REF!</definedName>
    <definedName name="cy.13" localSheetId="7">#REF!</definedName>
    <definedName name="cy.13" localSheetId="5">#REF!</definedName>
    <definedName name="cy.13">CFLO!#REF!</definedName>
    <definedName name="cy.14" localSheetId="6">#REF!</definedName>
    <definedName name="cy.14" localSheetId="1">#REF!</definedName>
    <definedName name="cy.14" localSheetId="7">#REF!</definedName>
    <definedName name="cy.14" localSheetId="5">#REF!</definedName>
    <definedName name="cy.14">CFLO!#REF!</definedName>
    <definedName name="cy.15" localSheetId="6">#REF!</definedName>
    <definedName name="cy.15" localSheetId="1">#REF!</definedName>
    <definedName name="cy.15" localSheetId="7">#REF!</definedName>
    <definedName name="cy.15" localSheetId="5">#REF!</definedName>
    <definedName name="cy.15">CFLO!#REF!</definedName>
    <definedName name="cy.16" localSheetId="6">#REF!</definedName>
    <definedName name="cy.16" localSheetId="1">#REF!</definedName>
    <definedName name="cy.16" localSheetId="7">#REF!</definedName>
    <definedName name="cy.16" localSheetId="5">#REF!</definedName>
    <definedName name="cy.16">CFLO!#REF!</definedName>
    <definedName name="cy.17" localSheetId="6">#REF!</definedName>
    <definedName name="cy.17" localSheetId="1">#REF!</definedName>
    <definedName name="cy.17" localSheetId="7">#REF!</definedName>
    <definedName name="cy.17" localSheetId="5">#REF!</definedName>
    <definedName name="cy.17">CFLO!#REF!</definedName>
    <definedName name="cy.18" localSheetId="6">#REF!</definedName>
    <definedName name="cy.18" localSheetId="1">#REF!</definedName>
    <definedName name="cy.18" localSheetId="7">#REF!</definedName>
    <definedName name="cy.18" localSheetId="5">#REF!</definedName>
    <definedName name="cy.18">CFLO!#REF!</definedName>
    <definedName name="cy.19" localSheetId="6">#REF!</definedName>
    <definedName name="cy.19" localSheetId="1">#REF!</definedName>
    <definedName name="cy.19" localSheetId="7">#REF!</definedName>
    <definedName name="cy.19" localSheetId="5">#REF!</definedName>
    <definedName name="cy.19">CFLO!#REF!</definedName>
    <definedName name="cy.1q04" localSheetId="6">#REF!</definedName>
    <definedName name="cy.1q04" localSheetId="1">#REF!</definedName>
    <definedName name="cy.1q04" localSheetId="7">#REF!</definedName>
    <definedName name="cy.1q04" localSheetId="5">#REF!</definedName>
    <definedName name="cy.1q04">CFLO!#REF!</definedName>
    <definedName name="cy.1q05" localSheetId="6">#REF!</definedName>
    <definedName name="cy.1q05" localSheetId="1">#REF!</definedName>
    <definedName name="cy.1q05" localSheetId="7">#REF!</definedName>
    <definedName name="cy.1q05" localSheetId="5">#REF!</definedName>
    <definedName name="cy.1q05">CFLO!#REF!</definedName>
    <definedName name="cy.1q06" localSheetId="6">#REF!</definedName>
    <definedName name="cy.1q06" localSheetId="1">#REF!</definedName>
    <definedName name="cy.1q06" localSheetId="7">#REF!</definedName>
    <definedName name="cy.1q06" localSheetId="5">#REF!</definedName>
    <definedName name="cy.1q06">CFLO!#REF!</definedName>
    <definedName name="cy.1q07" localSheetId="6">#REF!</definedName>
    <definedName name="cy.1q07" localSheetId="1">#REF!</definedName>
    <definedName name="cy.1q07" localSheetId="7">#REF!</definedName>
    <definedName name="cy.1q07" localSheetId="5">#REF!</definedName>
    <definedName name="cy.1q07">CFLO!#REF!</definedName>
    <definedName name="cy.1q08" localSheetId="6">#REF!</definedName>
    <definedName name="cy.1q08" localSheetId="1">#REF!</definedName>
    <definedName name="cy.1q08" localSheetId="7">#REF!</definedName>
    <definedName name="cy.1q08" localSheetId="5">#REF!</definedName>
    <definedName name="cy.1q08">CFLO!#REF!</definedName>
    <definedName name="cy.1q09" localSheetId="6">#REF!</definedName>
    <definedName name="cy.1q09" localSheetId="1">#REF!</definedName>
    <definedName name="cy.1q09" localSheetId="7">#REF!</definedName>
    <definedName name="cy.1q09" localSheetId="5">#REF!</definedName>
    <definedName name="cy.1q09">CFLO!#REF!</definedName>
    <definedName name="cy.1q10" localSheetId="6">#REF!</definedName>
    <definedName name="cy.1q10" localSheetId="1">#REF!</definedName>
    <definedName name="cy.1q10" localSheetId="7">#REF!</definedName>
    <definedName name="cy.1q10" localSheetId="5">#REF!</definedName>
    <definedName name="cy.1q10">CFLO!#REF!</definedName>
    <definedName name="cy.1q11" localSheetId="6">#REF!</definedName>
    <definedName name="cy.1q11" localSheetId="1">#REF!</definedName>
    <definedName name="cy.1q11" localSheetId="7">#REF!</definedName>
    <definedName name="cy.1q11" localSheetId="5">#REF!</definedName>
    <definedName name="cy.1q11">CFLO!#REF!</definedName>
    <definedName name="cy.1q12" localSheetId="6">#REF!</definedName>
    <definedName name="cy.1q12" localSheetId="1">#REF!</definedName>
    <definedName name="cy.1q12" localSheetId="7">#REF!</definedName>
    <definedName name="cy.1q12" localSheetId="5">#REF!</definedName>
    <definedName name="cy.1q12">CFLO!#REF!</definedName>
    <definedName name="cy.1q13" localSheetId="6">#REF!</definedName>
    <definedName name="cy.1q13" localSheetId="1">#REF!</definedName>
    <definedName name="cy.1q13" localSheetId="7">#REF!</definedName>
    <definedName name="cy.1q13" localSheetId="5">#REF!</definedName>
    <definedName name="cy.1q13">CFLO!#REF!</definedName>
    <definedName name="cy.1q14" localSheetId="6">#REF!</definedName>
    <definedName name="cy.1q14" localSheetId="1">#REF!</definedName>
    <definedName name="cy.1q14" localSheetId="7">#REF!</definedName>
    <definedName name="cy.1q14" localSheetId="5">#REF!</definedName>
    <definedName name="cy.1q14">CFLO!#REF!</definedName>
    <definedName name="cy.20" localSheetId="6">#REF!</definedName>
    <definedName name="cy.20" localSheetId="1">#REF!</definedName>
    <definedName name="cy.20" localSheetId="7">#REF!</definedName>
    <definedName name="cy.20" localSheetId="5">#REF!</definedName>
    <definedName name="cy.20">CFLO!#REF!</definedName>
    <definedName name="cy.21" localSheetId="6">#REF!</definedName>
    <definedName name="cy.21" localSheetId="1">#REF!</definedName>
    <definedName name="cy.21" localSheetId="7">#REF!</definedName>
    <definedName name="cy.21" localSheetId="5">#REF!</definedName>
    <definedName name="cy.21">CFLO!#REF!</definedName>
    <definedName name="cy.22" localSheetId="6">#REF!</definedName>
    <definedName name="cy.22" localSheetId="1">#REF!</definedName>
    <definedName name="cy.22" localSheetId="7">#REF!</definedName>
    <definedName name="cy.22" localSheetId="5">#REF!</definedName>
    <definedName name="cy.22">CFLO!#REF!</definedName>
    <definedName name="cy.23" localSheetId="6">#REF!</definedName>
    <definedName name="cy.23" localSheetId="1">#REF!</definedName>
    <definedName name="cy.23" localSheetId="7">#REF!</definedName>
    <definedName name="cy.23" localSheetId="5">#REF!</definedName>
    <definedName name="cy.23">CFLO!#REF!</definedName>
    <definedName name="cy.2q04" localSheetId="6">#REF!</definedName>
    <definedName name="cy.2q04" localSheetId="1">#REF!</definedName>
    <definedName name="cy.2q04" localSheetId="7">#REF!</definedName>
    <definedName name="cy.2q04" localSheetId="5">#REF!</definedName>
    <definedName name="cy.2q04">CFLO!#REF!</definedName>
    <definedName name="cy.2q05" localSheetId="6">#REF!</definedName>
    <definedName name="cy.2q05" localSheetId="1">#REF!</definedName>
    <definedName name="cy.2q05" localSheetId="7">#REF!</definedName>
    <definedName name="cy.2q05" localSheetId="5">#REF!</definedName>
    <definedName name="cy.2q05">CFLO!#REF!</definedName>
    <definedName name="cy.2q06" localSheetId="6">#REF!</definedName>
    <definedName name="cy.2q06" localSheetId="1">#REF!</definedName>
    <definedName name="cy.2q06" localSheetId="7">#REF!</definedName>
    <definedName name="cy.2q06" localSheetId="5">#REF!</definedName>
    <definedName name="cy.2q06">CFLO!#REF!</definedName>
    <definedName name="cy.2q07" localSheetId="6">#REF!</definedName>
    <definedName name="cy.2q07" localSheetId="1">#REF!</definedName>
    <definedName name="cy.2q07" localSheetId="7">#REF!</definedName>
    <definedName name="cy.2q07" localSheetId="5">#REF!</definedName>
    <definedName name="cy.2q07">CFLO!#REF!</definedName>
    <definedName name="cy.2q08" localSheetId="6">#REF!</definedName>
    <definedName name="cy.2q08" localSheetId="1">#REF!</definedName>
    <definedName name="cy.2q08" localSheetId="7">#REF!</definedName>
    <definedName name="cy.2q08" localSheetId="5">#REF!</definedName>
    <definedName name="cy.2q08">CFLO!#REF!</definedName>
    <definedName name="cy.2q09" localSheetId="6">#REF!</definedName>
    <definedName name="cy.2q09" localSheetId="1">#REF!</definedName>
    <definedName name="cy.2q09" localSheetId="7">#REF!</definedName>
    <definedName name="cy.2q09" localSheetId="5">#REF!</definedName>
    <definedName name="cy.2q09">CFLO!#REF!</definedName>
    <definedName name="cy.2q10" localSheetId="6">#REF!</definedName>
    <definedName name="cy.2q10" localSheetId="1">#REF!</definedName>
    <definedName name="cy.2q10" localSheetId="7">#REF!</definedName>
    <definedName name="cy.2q10" localSheetId="5">#REF!</definedName>
    <definedName name="cy.2q10">CFLO!#REF!</definedName>
    <definedName name="cy.2q11" localSheetId="6">#REF!</definedName>
    <definedName name="cy.2q11" localSheetId="1">#REF!</definedName>
    <definedName name="cy.2q11" localSheetId="7">#REF!</definedName>
    <definedName name="cy.2q11" localSheetId="5">#REF!</definedName>
    <definedName name="cy.2q11">CFLO!#REF!</definedName>
    <definedName name="cy.2q12" localSheetId="6">#REF!</definedName>
    <definedName name="cy.2q12" localSheetId="1">#REF!</definedName>
    <definedName name="cy.2q12" localSheetId="7">#REF!</definedName>
    <definedName name="cy.2q12" localSheetId="5">#REF!</definedName>
    <definedName name="cy.2q12">CFLO!#REF!</definedName>
    <definedName name="cy.2q13" localSheetId="6">#REF!</definedName>
    <definedName name="cy.2q13" localSheetId="1">#REF!</definedName>
    <definedName name="cy.2q13" localSheetId="7">#REF!</definedName>
    <definedName name="cy.2q13" localSheetId="5">#REF!</definedName>
    <definedName name="cy.2q13">CFLO!#REF!</definedName>
    <definedName name="cy.2q14" localSheetId="6">#REF!</definedName>
    <definedName name="cy.2q14" localSheetId="1">#REF!</definedName>
    <definedName name="cy.2q14" localSheetId="7">#REF!</definedName>
    <definedName name="cy.2q14" localSheetId="5">#REF!</definedName>
    <definedName name="cy.2q14">CFLO!#REF!</definedName>
    <definedName name="cy.3q04" localSheetId="6">#REF!</definedName>
    <definedName name="cy.3q04" localSheetId="1">#REF!</definedName>
    <definedName name="cy.3q04" localSheetId="7">#REF!</definedName>
    <definedName name="cy.3q04" localSheetId="5">#REF!</definedName>
    <definedName name="cy.3q04">CFLO!#REF!</definedName>
    <definedName name="cy.3q05" localSheetId="6">#REF!</definedName>
    <definedName name="cy.3q05" localSheetId="1">#REF!</definedName>
    <definedName name="cy.3q05" localSheetId="7">#REF!</definedName>
    <definedName name="cy.3q05" localSheetId="5">#REF!</definedName>
    <definedName name="cy.3q05">CFLO!#REF!</definedName>
    <definedName name="cy.3q06" localSheetId="6">#REF!</definedName>
    <definedName name="cy.3q06" localSheetId="1">#REF!</definedName>
    <definedName name="cy.3q06" localSheetId="7">#REF!</definedName>
    <definedName name="cy.3q06" localSheetId="5">#REF!</definedName>
    <definedName name="cy.3q06">CFLO!#REF!</definedName>
    <definedName name="cy.3q07" localSheetId="6">#REF!</definedName>
    <definedName name="cy.3q07" localSheetId="1">#REF!</definedName>
    <definedName name="cy.3q07" localSheetId="7">#REF!</definedName>
    <definedName name="cy.3q07" localSheetId="5">#REF!</definedName>
    <definedName name="cy.3q07">CFLO!#REF!</definedName>
    <definedName name="cy.3q08" localSheetId="6">#REF!</definedName>
    <definedName name="cy.3q08" localSheetId="1">#REF!</definedName>
    <definedName name="cy.3q08" localSheetId="7">#REF!</definedName>
    <definedName name="cy.3q08" localSheetId="5">#REF!</definedName>
    <definedName name="cy.3q08">CFLO!#REF!</definedName>
    <definedName name="cy.3q09" localSheetId="6">#REF!</definedName>
    <definedName name="cy.3q09" localSheetId="1">#REF!</definedName>
    <definedName name="cy.3q09" localSheetId="7">#REF!</definedName>
    <definedName name="cy.3q09" localSheetId="5">#REF!</definedName>
    <definedName name="cy.3q09">CFLO!#REF!</definedName>
    <definedName name="cy.3q10" localSheetId="6">#REF!</definedName>
    <definedName name="cy.3q10" localSheetId="1">#REF!</definedName>
    <definedName name="cy.3q10" localSheetId="7">#REF!</definedName>
    <definedName name="cy.3q10" localSheetId="5">#REF!</definedName>
    <definedName name="cy.3q10">CFLO!#REF!</definedName>
    <definedName name="cy.3q11" localSheetId="6">#REF!</definedName>
    <definedName name="cy.3q11" localSheetId="1">#REF!</definedName>
    <definedName name="cy.3q11" localSheetId="7">#REF!</definedName>
    <definedName name="cy.3q11" localSheetId="5">#REF!</definedName>
    <definedName name="cy.3q11">CFLO!#REF!</definedName>
    <definedName name="cy.3q12" localSheetId="6">#REF!</definedName>
    <definedName name="cy.3q12" localSheetId="1">#REF!</definedName>
    <definedName name="cy.3q12" localSheetId="7">#REF!</definedName>
    <definedName name="cy.3q12" localSheetId="5">#REF!</definedName>
    <definedName name="cy.3q12">CFLO!#REF!</definedName>
    <definedName name="cy.3q13" localSheetId="6">#REF!</definedName>
    <definedName name="cy.3q13" localSheetId="1">#REF!</definedName>
    <definedName name="cy.3q13" localSheetId="7">#REF!</definedName>
    <definedName name="cy.3q13" localSheetId="5">#REF!</definedName>
    <definedName name="cy.3q13">CFLO!#REF!</definedName>
    <definedName name="cy.3q14" localSheetId="6">#REF!</definedName>
    <definedName name="cy.3q14" localSheetId="1">#REF!</definedName>
    <definedName name="cy.3q14" localSheetId="7">#REF!</definedName>
    <definedName name="cy.3q14" localSheetId="5">#REF!</definedName>
    <definedName name="cy.3q14">CFLO!#REF!</definedName>
    <definedName name="cy.4q04" localSheetId="6">#REF!</definedName>
    <definedName name="cy.4q04" localSheetId="1">#REF!</definedName>
    <definedName name="cy.4q04" localSheetId="7">#REF!</definedName>
    <definedName name="cy.4q04" localSheetId="5">#REF!</definedName>
    <definedName name="cy.4q04">CFLO!#REF!</definedName>
    <definedName name="cy.4q05" localSheetId="6">#REF!</definedName>
    <definedName name="cy.4q05" localSheetId="1">#REF!</definedName>
    <definedName name="cy.4q05" localSheetId="7">#REF!</definedName>
    <definedName name="cy.4q05" localSheetId="5">#REF!</definedName>
    <definedName name="cy.4q05">CFLO!#REF!</definedName>
    <definedName name="cy.4q06" localSheetId="6">#REF!</definedName>
    <definedName name="cy.4q06" localSheetId="1">#REF!</definedName>
    <definedName name="cy.4q06" localSheetId="7">#REF!</definedName>
    <definedName name="cy.4q06" localSheetId="5">#REF!</definedName>
    <definedName name="cy.4q06">CFLO!#REF!</definedName>
    <definedName name="cy.4q07" localSheetId="6">#REF!</definedName>
    <definedName name="cy.4q07" localSheetId="1">#REF!</definedName>
    <definedName name="cy.4q07" localSheetId="7">#REF!</definedName>
    <definedName name="cy.4q07" localSheetId="5">#REF!</definedName>
    <definedName name="cy.4q07">CFLO!#REF!</definedName>
    <definedName name="cy.4q08" localSheetId="6">#REF!</definedName>
    <definedName name="cy.4q08" localSheetId="1">#REF!</definedName>
    <definedName name="cy.4q08" localSheetId="7">#REF!</definedName>
    <definedName name="cy.4q08" localSheetId="5">#REF!</definedName>
    <definedName name="cy.4q08">CFLO!#REF!</definedName>
    <definedName name="cy.4q09" localSheetId="6">#REF!</definedName>
    <definedName name="cy.4q09" localSheetId="1">#REF!</definedName>
    <definedName name="cy.4q09" localSheetId="7">#REF!</definedName>
    <definedName name="cy.4q09" localSheetId="5">#REF!</definedName>
    <definedName name="cy.4q09">CFLO!#REF!</definedName>
    <definedName name="cy.4q10" localSheetId="6">#REF!</definedName>
    <definedName name="cy.4q10" localSheetId="1">#REF!</definedName>
    <definedName name="cy.4q10" localSheetId="7">#REF!</definedName>
    <definedName name="cy.4q10" localSheetId="5">#REF!</definedName>
    <definedName name="cy.4q10">CFLO!#REF!</definedName>
    <definedName name="cy.4q11" localSheetId="6">#REF!</definedName>
    <definedName name="cy.4q11" localSheetId="1">#REF!</definedName>
    <definedName name="cy.4q11" localSheetId="7">#REF!</definedName>
    <definedName name="cy.4q11" localSheetId="5">#REF!</definedName>
    <definedName name="cy.4q11">CFLO!#REF!</definedName>
    <definedName name="cy.4q12" localSheetId="6">#REF!</definedName>
    <definedName name="cy.4q12" localSheetId="1">#REF!</definedName>
    <definedName name="cy.4q12" localSheetId="7">#REF!</definedName>
    <definedName name="cy.4q12" localSheetId="5">#REF!</definedName>
    <definedName name="cy.4q12">CFLO!#REF!</definedName>
    <definedName name="cy.4q13" localSheetId="6">#REF!</definedName>
    <definedName name="cy.4q13" localSheetId="1">#REF!</definedName>
    <definedName name="cy.4q13" localSheetId="7">#REF!</definedName>
    <definedName name="cy.4q13" localSheetId="5">#REF!</definedName>
    <definedName name="cy.4q13">CFLO!#REF!</definedName>
    <definedName name="cy.4q14" localSheetId="6">#REF!</definedName>
    <definedName name="cy.4q14" localSheetId="1">#REF!</definedName>
    <definedName name="cy.4q14" localSheetId="7">#REF!</definedName>
    <definedName name="cy.4q14" localSheetId="5">#REF!</definedName>
    <definedName name="cy.4q14">CFLO!#REF!</definedName>
    <definedName name="cy.97" localSheetId="6">#REF!</definedName>
    <definedName name="cy.97" localSheetId="1">#REF!</definedName>
    <definedName name="cy.97" localSheetId="7">#REF!</definedName>
    <definedName name="cy.97" localSheetId="5">#REF!</definedName>
    <definedName name="cy.97">CFLO!#REF!</definedName>
    <definedName name="cy.98" localSheetId="6">#REF!</definedName>
    <definedName name="cy.98" localSheetId="1">#REF!</definedName>
    <definedName name="cy.98" localSheetId="7">#REF!</definedName>
    <definedName name="cy.98" localSheetId="5">#REF!</definedName>
    <definedName name="cy.98">CFLO!#REF!</definedName>
    <definedName name="cy.99" localSheetId="6">#REF!</definedName>
    <definedName name="cy.99" localSheetId="1">#REF!</definedName>
    <definedName name="cy.99" localSheetId="7">#REF!</definedName>
    <definedName name="cy.99" localSheetId="5">#REF!</definedName>
    <definedName name="cy.99">CFLO!#REF!</definedName>
    <definedName name="da">#REF!</definedName>
    <definedName name="date">#REF!</definedName>
    <definedName name="debt">#REF!</definedName>
    <definedName name="debttocap">#REF!</definedName>
    <definedName name="div">#REF!</definedName>
    <definedName name="E_ALL_HXL">#REF!</definedName>
    <definedName name="E_ALL_KEYWORDS_TYPE_ScalarContributed_EQTY_200007558">#REF!,#REF!,#REF!,#REF!</definedName>
    <definedName name="E_ALL_KEYWORDS_TYPE_ScalarContributed_ISSR_208002922">#REF!,#REF!</definedName>
    <definedName name="E_ALL_KEYWORDS_TYPE_ScalarReference_EQTY_200007558">#REF!</definedName>
    <definedName name="E_ALL_KEYWORDS_TYPE_ScalarReference_ISSR_208002922">#REF!</definedName>
    <definedName name="E_ALL_KEYWORDS_TYPE_Vector_EQTY_200007558">#REF!,#REF!,#REF!,#REF!,#REF!,#REF!,#REF!</definedName>
    <definedName name="E_ALL_KEYWORDS_TYPE_Vector_ISSR_208002922">#REF!,#REF!,#REF!,#REF!,#REF!,#REF!,#REF!,#REF!,#REF!</definedName>
    <definedName name="E_ALL_SECTION_KEYWORDS_EQTY_200007558_1314">#REF!</definedName>
    <definedName name="E_ALL_SECTION_KEYWORDS_EQTY_200007558_1319">#REF!</definedName>
    <definedName name="E_ALL_SECTION_KEYWORDS_EQTY_200007558_131E">#REF!</definedName>
    <definedName name="E_ALL_SECTION_KEYWORDS_EQTY_200007558_131O">#REF!</definedName>
    <definedName name="E_ALL_SECTION_KEYWORDS_EQTY_200007558_13A">#REF!</definedName>
    <definedName name="E_ALL_SECTION_KEYWORDS_EQTY_200007558_13K">#REF!</definedName>
    <definedName name="E_ALL_SECTION_KEYWORDS_EQTY_200007558_13U">#REF!</definedName>
    <definedName name="E_ALL_SECTION_KEYWORDS_EQTY_200007558_13V">#REF!</definedName>
    <definedName name="E_ALL_SECTION_KEYWORDS_EQTY_200007558_13W">#REF!</definedName>
    <definedName name="E_ALL_SECTION_KEYWORDS_EQTY_200007558_Reference_Data">#REF!</definedName>
    <definedName name="E_ALL_SECTION_KEYWORDS_ISSR_208002922_1314">#REF!</definedName>
    <definedName name="E_ALL_SECTION_KEYWORDS_ISSR_208002922_13168">#REF!</definedName>
    <definedName name="E_ALL_SECTION_KEYWORDS_ISSR_208002922_1316S">#REF!</definedName>
    <definedName name="E_ALL_SECTION_KEYWORDS_ISSR_208002922_1316T">#REF!</definedName>
    <definedName name="E_ALL_SECTION_KEYWORDS_ISSR_208002922_1316U">#REF!</definedName>
    <definedName name="E_ALL_SECTION_KEYWORDS_ISSR_208002922_1319">#REF!</definedName>
    <definedName name="E_ALL_SECTION_KEYWORDS_ISSR_208002922_131E">#REF!</definedName>
    <definedName name="E_ALL_SECTION_KEYWORDS_ISSR_208002922_131J">#REF!</definedName>
    <definedName name="E_ALL_SECTION_KEYWORDS_ISSR_208002922_131O">#REF!</definedName>
    <definedName name="E_ALL_SECTION_KEYWORDS_ISSR_208002922_13A">#REF!</definedName>
    <definedName name="E_ALL_SECTION_KEYWORDS_ISSR_208002922_13U">#REF!</definedName>
    <definedName name="E_ALL_SECTION_KEYWORDS_ISSR_208002922_13V">#REF!</definedName>
    <definedName name="E_ALL_SECTION_KEYWORDS_ISSR_208002922_Reference_Data">#REF!</definedName>
    <definedName name="E_ALL_SECTIONS_EQTY_200007558">#REF!,#REF!,#REF!,#REF!,#REF!,#REF!,#REF!,#REF!,#REF!,#REF!</definedName>
    <definedName name="E_CURRENCY_EQTY_200007558_PRI">#REF!</definedName>
    <definedName name="E_CURRENCY_EQTY_200007558_PUB">#REF!</definedName>
    <definedName name="E_CURRENCY_EQTY_200007558_REP">#REF!</definedName>
    <definedName name="E_CURRENCY_ISSR_208002922_REP">#REF!</definedName>
    <definedName name="E_ENTITY_DATA_ISSR_208002922">#REF!</definedName>
    <definedName name="E_KEYWORD_EQTY_200007558_AMER_CONVICTION">#REF!</definedName>
    <definedName name="E_KEYWORD_EQTY_200007558_AMER_LIST">#REF!</definedName>
    <definedName name="E_KEYWORD_EQTY_200007558_BETA_ANALYST">#REF!</definedName>
    <definedName name="E_KEYWORD_EQTY_200007558_BVPS">#REF!</definedName>
    <definedName name="E_KEYWORD_EQTY_200007558_BVPS_PUB">#REF!</definedName>
    <definedName name="E_KEYWORD_EQTY_200007558_CEEE_EPS">#REF!</definedName>
    <definedName name="E_KEYWORD_EQTY_200007558_CF_NI_PRE_PREF">#REF!</definedName>
    <definedName name="E_KEYWORD_EQTY_200007558_COMMON_DIV_PAID">#REF!</definedName>
    <definedName name="E_KEYWORD_EQTY_200007558_CURRENCY_ISO">#REF!</definedName>
    <definedName name="E_KEYWORD_EQTY_200007558_DILUTE_SHARES">#REF!</definedName>
    <definedName name="E_KEYWORD_EQTY_200007558_DPS">#REF!</definedName>
    <definedName name="E_KEYWORD_EQTY_200007558_DPS_PUB">#REF!</definedName>
    <definedName name="E_KEYWORD_EQTY_200007558_EBIT_PUB">#REF!</definedName>
    <definedName name="E_KEYWORD_EQTY_200007558_EBITDA_PUB">#REF!</definedName>
    <definedName name="E_KEYWORD_EQTY_200007558_EPS">#REF!</definedName>
    <definedName name="E_KEYWORD_EQTY_200007558_EPS_EX_ESO_B">#REF!</definedName>
    <definedName name="E_KEYWORD_EQTY_200007558_EPS_EX_ESO_D">#REF!</definedName>
    <definedName name="E_KEYWORD_EQTY_200007558_EPS_FUL_DIL">#REF!</definedName>
    <definedName name="E_KEYWORD_EQTY_200007558_EPS_POST_BASIC">#REF!</definedName>
    <definedName name="E_KEYWORD_EQTY_200007558_EPS_PUB">#REF!</definedName>
    <definedName name="E_KEYWORD_EQTY_200007558_EPS_PUB_EX_ESO">#REF!</definedName>
    <definedName name="E_KEYWORD_EQTY_200007558_EQ_PUB">#REF!</definedName>
    <definedName name="E_KEYWORD_EQTY_200007558_ESO_POST_TAX">#REF!</definedName>
    <definedName name="E_KEYWORD_EQTY_200007558_ESO_YEAR">#REF!</definedName>
    <definedName name="E_KEYWORD_EQTY_200007558_EV_ADJ_PUB">#REF!</definedName>
    <definedName name="E_KEYWORD_EQTY_200007558_FREE_FLOAT">#REF!</definedName>
    <definedName name="E_KEYWORD_EQTY_200007558_FULLY_DIL_EPS">#REF!</definedName>
    <definedName name="E_KEYWORD_EQTY_200007558_FV_GRANT">#REF!</definedName>
    <definedName name="E_KEYWORD_EQTY_200007558_INC_MINORITY">#REF!</definedName>
    <definedName name="E_KEYWORD_EQTY_200007558_Interim_Type">#REF!</definedName>
    <definedName name="E_KEYWORD_EQTY_200007558_LEGAL_RATING">#REF!</definedName>
    <definedName name="E_KEYWORD_EQTY_200007558_MARGIN_TAX_RATE">#REF!</definedName>
    <definedName name="E_KEYWORD_EQTY_200007558_MKT_EQ_RISK_PREM">#REF!</definedName>
    <definedName name="E_KEYWORD_EQTY_200007558_NET_DEBT_PUB">#REF!</definedName>
    <definedName name="E_KEYWORD_EQTY_200007558_NET_EARNING">#REF!</definedName>
    <definedName name="E_KEYWORD_EQTY_200007558_NET_INC">#REF!</definedName>
    <definedName name="E_KEYWORD_EQTY_200007558_NI_PRE_PREF">#REF!</definedName>
    <definedName name="E_KEYWORD_EQTY_200007558_NI_PUB">#REF!</definedName>
    <definedName name="E_KEYWORD_EQTY_200007558_NON_OP_ADD">#REF!</definedName>
    <definedName name="E_KEYWORD_EQTY_200007558_NUM_SH">#REF!</definedName>
    <definedName name="E_KEYWORD_EQTY_200007558_PREF_DIV">#REF!</definedName>
    <definedName name="E_KEYWORD_EQTY_200007558_PRICE_CURRENCY_ISO">#REF!</definedName>
    <definedName name="E_KEYWORD_EQTY_200007558_PROV_INC_TAX">#REF!</definedName>
    <definedName name="E_KEYWORD_EQTY_200007558_PTP_PUB">#REF!</definedName>
    <definedName name="E_KEYWORD_EQTY_200007558_PUB_CURRENCY_ISO">#REF!</definedName>
    <definedName name="E_KEYWORD_EQTY_200007558_REPUR_ACTUAL">#REF!</definedName>
    <definedName name="E_KEYWORD_EQTY_200007558_REPUR_REMAINING">#REF!</definedName>
    <definedName name="E_KEYWORD_EQTY_200007558_REPUR_SUSPENDED">#REF!</definedName>
    <definedName name="E_KEYWORD_EQTY_200007558_REPUR_TOT_AUTH">#REF!</definedName>
    <definedName name="E_KEYWORD_EQTY_200007558_REVS_PUB">#REF!</definedName>
    <definedName name="E_KEYWORD_EQTY_200007558_RISK_FR_RATE">#REF!</definedName>
    <definedName name="E_KEYWORD_EQTY_200007558_Security_Name">#REF!</definedName>
    <definedName name="E_KEYWORD_EQTY_200007558_SH">#REF!</definedName>
    <definedName name="E_KEYWORD_EQTY_200007558_TARGET_PRICE">#REF!</definedName>
    <definedName name="E_KEYWORD_EQTY_200007558_TAX_EXC">#REF!</definedName>
    <definedName name="E_KEYWORD_EQTY_200007558_Ticker">#REF!</definedName>
    <definedName name="E_KEYWORD_EQTY_200007558_TP_PERIOD">#REF!</definedName>
    <definedName name="E_KEYWORD_ISSR_208002922_ACC_AMORT">#REF!</definedName>
    <definedName name="E_KEYWORD_ISSR_208002922_ACC_DDA">#REF!</definedName>
    <definedName name="E_KEYWORD_ISSR_208002922_ACC_END_DATE">#REF!</definedName>
    <definedName name="E_KEYWORD_ISSR_208002922_ACC_PAY_GQ">#REF!</definedName>
    <definedName name="E_KEYWORD_ISSR_208002922_ACQ">#REF!</definedName>
    <definedName name="E_KEYWORD_ISSR_208002922_ADJ_UNF_PENS_GOOD">#REF!</definedName>
    <definedName name="E_KEYWORD_ISSR_208002922_ASSOC_JV_ADDBK">#REF!</definedName>
    <definedName name="E_KEYWORD_ISSR_208002922_ASSOCIATE">#REF!</definedName>
    <definedName name="E_KEYWORD_ISSR_208002922_ASSOCIATE_OP">#REF!</definedName>
    <definedName name="E_KEYWORD_ISSR_208002922_BAL_MINO_INT">#REF!</definedName>
    <definedName name="E_KEYWORD_ISSR_208002922_CAP_LEASES">#REF!</definedName>
    <definedName name="E_KEYWORD_ISSR_208002922_CAPEX">#REF!</definedName>
    <definedName name="E_KEYWORD_ISSR_208002922_CAPEX_EXPANSION">#REF!</definedName>
    <definedName name="E_KEYWORD_ISSR_208002922_CAPEX_MAINTENANCE">#REF!</definedName>
    <definedName name="E_KEYWORD_ISSR_208002922_CASH_EQ">#REF!</definedName>
    <definedName name="E_KEYWORD_ISSR_208002922_CASH_INT_EXP">#REF!</definedName>
    <definedName name="E_KEYWORD_ISSR_208002922_CASH_PCT_OS_US">#REF!</definedName>
    <definedName name="E_KEYWORD_ISSR_208002922_CASH_TAX_EXP">#REF!</definedName>
    <definedName name="E_KEYWORD_ISSR_208002922_CF_FIN">#REF!</definedName>
    <definedName name="E_KEYWORD_ISSR_208002922_CF_INC_MINORITY">#REF!</definedName>
    <definedName name="E_KEYWORD_ISSR_208002922_CF_INV">#REF!</definedName>
    <definedName name="E_KEYWORD_ISSR_208002922_CF_OPS">#REF!</definedName>
    <definedName name="E_KEYWORD_ISSR_208002922_CHG_LT_DEBT">#REF!</definedName>
    <definedName name="E_KEYWORD_ISSR_208002922_CO_BOR_MARGIN">#REF!</definedName>
    <definedName name="E_KEYWORD_ISSR_208002922_COST_GD_SD">#REF!</definedName>
    <definedName name="E_KEYWORD_ISSR_208002922_CUR_ASS">#REF!</definedName>
    <definedName name="E_KEYWORD_ISSR_208002922_CURRENCY_ISO">#REF!</definedName>
    <definedName name="E_KEYWORD_ISSR_208002922_DEBTORS">#REF!</definedName>
    <definedName name="E_KEYWORD_ISSR_208002922_DEF_INC_TAX">#REF!</definedName>
    <definedName name="E_KEYWORD_ISSR_208002922_DEPR_AMORT">#REF!</definedName>
    <definedName name="E_KEYWORD_ISSR_208002922_DEPREC">#REF!</definedName>
    <definedName name="E_KEYWORD_ISSR_208002922_DIV_PAID">#REF!</definedName>
    <definedName name="E_KEYWORD_ISSR_208002922_DIVDS_ASSOC_JV">#REF!</definedName>
    <definedName name="E_KEYWORD_ISSR_208002922_DIVDS_PD_MINORITIES">#REF!</definedName>
    <definedName name="E_KEYWORD_ISSR_208002922_DIVEST">#REF!</definedName>
    <definedName name="E_KEYWORD_ISSR_208002922_EBIT">#REF!</definedName>
    <definedName name="E_KEYWORD_ISSR_208002922_EBIT_FIN_SEGMENT">#REF!</definedName>
    <definedName name="E_KEYWORD_ISSR_208002922_EBITDA_CALC">#REF!</definedName>
    <definedName name="E_KEYWORD_ISSR_208002922_EMPLOYEES">#REF!</definedName>
    <definedName name="E_KEYWORD_ISSR_208002922_EQ">#REF!</definedName>
    <definedName name="E_KEYWORD_ISSR_208002922_ESO_PRE_TAX">#REF!</definedName>
    <definedName name="E_KEYWORD_ISSR_208002922_EXP_ALUMINIUM">#REF!</definedName>
    <definedName name="E_KEYWORD_ISSR_208002922_EXP_COPPER">#REF!</definedName>
    <definedName name="E_KEYWORD_ISSR_208002922_EXP_GLASS">#REF!</definedName>
    <definedName name="E_KEYWORD_ISSR_208002922_EXP_GOLD">#REF!</definedName>
    <definedName name="E_KEYWORD_ISSR_208002922_EXP_NAT_GAS">#REF!</definedName>
    <definedName name="E_KEYWORD_ISSR_208002922_EXP_NICKEL">#REF!</definedName>
    <definedName name="E_KEYWORD_ISSR_208002922_EXP_OIL_DERIV_NGLS_PLASTICS">#REF!</definedName>
    <definedName name="E_KEYWORD_ISSR_208002922_EXP_OIL_PETRO_FUEL">#REF!</definedName>
    <definedName name="E_KEYWORD_ISSR_208002922_EXP_OTH_COMMODITY">#REF!</definedName>
    <definedName name="E_KEYWORD_ISSR_208002922_EXP_OTH_COST">#REF!</definedName>
    <definedName name="E_KEYWORD_ISSR_208002922_EXP_PALLADIUM">#REF!</definedName>
    <definedName name="E_KEYWORD_ISSR_208002922_EXP_PLATINUM">#REF!</definedName>
    <definedName name="E_KEYWORD_ISSR_208002922_EXP_RUBBER">#REF!</definedName>
    <definedName name="E_KEYWORD_ISSR_208002922_EXP_SILVER">#REF!</definedName>
    <definedName name="E_KEYWORD_ISSR_208002922_EXP_STEEL">#REF!</definedName>
    <definedName name="E_KEYWORD_ISSR_208002922_EXP_WATER">#REF!</definedName>
    <definedName name="E_KEYWORD_ISSR_208002922_EXP_ZINC">#REF!</definedName>
    <definedName name="E_KEYWORD_ISSR_208002922_FIX_ASS_INV">#REF!</definedName>
    <definedName name="E_KEYWORD_ISSR_208002922_GCI_INFL">#REF!</definedName>
    <definedName name="E_KEYWORD_ISSR_208002922_GOODWILL_AMORT">#REF!</definedName>
    <definedName name="E_KEYWORD_ISSR_208002922_GR_FIX_ASS">#REF!</definedName>
    <definedName name="E_KEYWORD_ISSR_208002922_GR_INTANG">#REF!</definedName>
    <definedName name="E_KEYWORD_ISSR_208002922_INT_EXP_IND">#REF!</definedName>
    <definedName name="E_KEYWORD_ISSR_208002922_INT_INC_IND">#REF!</definedName>
    <definedName name="E_KEYWORD_ISSR_208002922_INV_SECUR">#REF!</definedName>
    <definedName name="E_KEYWORD_ISSR_208002922_Issuer_Name">#REF!</definedName>
    <definedName name="E_KEYWORD_ISSR_208002922_LEASE_DEEM_DEPR">#REF!</definedName>
    <definedName name="E_KEYWORD_ISSR_208002922_LEASE_DEEM_INT">#REF!</definedName>
    <definedName name="E_KEYWORD_ISSR_208002922_LEASE_PAY">#REF!</definedName>
    <definedName name="E_KEYWORD_ISSR_208002922_LT_DEBT">#REF!</definedName>
    <definedName name="E_KEYWORD_ISSR_208002922_MA_PROB">#REF!</definedName>
    <definedName name="E_KEYWORD_ISSR_208002922_MINORITIES">#REF!</definedName>
    <definedName name="E_KEYWORD_ISSR_208002922_MV_ASSOCIATES">#REF!</definedName>
    <definedName name="E_KEYWORD_ISSR_208002922_NET_DEBT">#REF!</definedName>
    <definedName name="E_KEYWORD_ISSR_208002922_NET_DEBT_ADJ">#REF!</definedName>
    <definedName name="E_KEYWORD_ISSR_208002922_NET_FIX_ASS">#REF!</definedName>
    <definedName name="E_KEYWORD_ISSR_208002922_NET_INT_CH">#REF!</definedName>
    <definedName name="E_KEYWORD_ISSR_208002922_NET_INT_EXP">#REF!</definedName>
    <definedName name="E_KEYWORD_ISSR_208002922_NET_INTANG">#REF!</definedName>
    <definedName name="E_KEYWORD_ISSR_208002922_NONPPE_CAPEX">#REF!</definedName>
    <definedName name="E_KEYWORD_ISSR_208002922_OP_COST">#REF!</definedName>
    <definedName name="E_KEYWORD_ISSR_208002922_ORD_SH_FUND">#REF!</definedName>
    <definedName name="E_KEYWORD_ISSR_208002922_OTH_COST_INC">#REF!</definedName>
    <definedName name="E_KEYWORD_ISSR_208002922_OTH_CUR_ASS">#REF!</definedName>
    <definedName name="E_KEYWORD_ISSR_208002922_OTH_CUR_LIABS">#REF!</definedName>
    <definedName name="E_KEYWORD_ISSR_208002922_OTH_DACF_ADJ">#REF!</definedName>
    <definedName name="E_KEYWORD_ISSR_208002922_OTH_FIN_CF">#REF!</definedName>
    <definedName name="E_KEYWORD_ISSR_208002922_OTH_GCI_ADJ">#REF!</definedName>
    <definedName name="E_KEYWORD_ISSR_208002922_OTH_INV_CF">#REF!</definedName>
    <definedName name="E_KEYWORD_ISSR_208002922_OTH_LT_ASS">#REF!</definedName>
    <definedName name="E_KEYWORD_ISSR_208002922_OTH_LT_CRED_GQ">#REF!</definedName>
    <definedName name="E_KEYWORD_ISSR_208002922_OTH_NONCASH_ADJ">#REF!</definedName>
    <definedName name="E_KEYWORD_ISSR_208002922_OTH_OP_CF">#REF!</definedName>
    <definedName name="E_KEYWORD_ISSR_208002922_OTH_OP_INC_EXP">#REF!</definedName>
    <definedName name="E_KEYWORD_ISSR_208002922_PERIOD_MILESTONE">#REF!</definedName>
    <definedName name="E_KEYWORD_ISSR_208002922_PL_SALE_ASSETS">#REF!</definedName>
    <definedName name="E_KEYWORD_ISSR_208002922_PREF_SH">#REF!</definedName>
    <definedName name="E_KEYWORD_ISSR_208002922_PROFIT_ON_DISP">#REF!</definedName>
    <definedName name="E_KEYWORD_ISSR_208002922_PT_PROF">#REF!</definedName>
    <definedName name="E_KEYWORD_ISSR_208002922_RD_EXP">#REF!</definedName>
    <definedName name="E_KEYWORD_ISSR_208002922_REV_FIN_SEGMENT">#REF!</definedName>
    <definedName name="E_KEYWORD_ISSR_208002922_SALES">#REF!</definedName>
    <definedName name="E_KEYWORD_ISSR_208002922_SALES_ARGENTINA">#REF!</definedName>
    <definedName name="E_KEYWORD_ISSR_208002922_SALES_BRAZIL">#REF!</definedName>
    <definedName name="E_KEYWORD_ISSR_208002922_SALES_CANADA">#REF!</definedName>
    <definedName name="E_KEYWORD_ISSR_208002922_SALES_CEE">#REF!</definedName>
    <definedName name="E_KEYWORD_ISSR_208002922_SALES_CHILE">#REF!</definedName>
    <definedName name="E_KEYWORD_ISSR_208002922_SALES_CHINA">#REF!</definedName>
    <definedName name="E_KEYWORD_ISSR_208002922_SALES_COLOMBIA">#REF!</definedName>
    <definedName name="E_KEYWORD_ISSR_208002922_SALES_CONS">#REF!</definedName>
    <definedName name="E_KEYWORD_ISSR_208002922_SALES_EU_EX_UK">#REF!</definedName>
    <definedName name="E_KEYWORD_ISSR_208002922_SALES_FINAN">#REF!</definedName>
    <definedName name="E_KEYWORD_ISSR_208002922_SALES_FX_ARS">#REF!</definedName>
    <definedName name="E_KEYWORD_ISSR_208002922_SALES_FX_BRL">#REF!</definedName>
    <definedName name="E_KEYWORD_ISSR_208002922_SALES_FX_CAD">#REF!</definedName>
    <definedName name="E_KEYWORD_ISSR_208002922_SALES_FX_CLP">#REF!</definedName>
    <definedName name="E_KEYWORD_ISSR_208002922_SALES_FX_CNY">#REF!</definedName>
    <definedName name="E_KEYWORD_ISSR_208002922_SALES_FX_COP">#REF!</definedName>
    <definedName name="E_KEYWORD_ISSR_208002922_SALES_FX_EUR">#REF!</definedName>
    <definedName name="E_KEYWORD_ISSR_208002922_SALES_FX_GPB">#REF!</definedName>
    <definedName name="E_KEYWORD_ISSR_208002922_SALES_FX_INR">#REF!</definedName>
    <definedName name="E_KEYWORD_ISSR_208002922_SALES_FX_MXN">#REF!</definedName>
    <definedName name="E_KEYWORD_ISSR_208002922_SALES_FX_OTH">#REF!</definedName>
    <definedName name="E_KEYWORD_ISSR_208002922_SALES_FX_RUB">#REF!</definedName>
    <definedName name="E_KEYWORD_ISSR_208002922_SALES_FX_USD">#REF!</definedName>
    <definedName name="E_KEYWORD_ISSR_208002922_SALES_FX_VEF">#REF!</definedName>
    <definedName name="E_KEYWORD_ISSR_208002922_SALES_FX_YEN">#REF!</definedName>
    <definedName name="E_KEYWORD_ISSR_208002922_SALES_GOV">#REF!</definedName>
    <definedName name="E_KEYWORD_ISSR_208002922_SALES_IND">#REF!</definedName>
    <definedName name="E_KEYWORD_ISSR_208002922_SALES_INDIA">#REF!</definedName>
    <definedName name="E_KEYWORD_ISSR_208002922_SALES_JAPAN">#REF!</definedName>
    <definedName name="E_KEYWORD_ISSR_208002922_SALES_ME">#REF!</definedName>
    <definedName name="E_KEYWORD_ISSR_208002922_SALES_MEXICO">#REF!</definedName>
    <definedName name="E_KEYWORD_ISSR_208002922_SALES_OTH_AEJ">#REF!</definedName>
    <definedName name="E_KEYWORD_ISSR_208002922_SALES_OTH_AM">#REF!</definedName>
    <definedName name="E_KEYWORD_ISSR_208002922_SALES_OTH_COMMODITY">#REF!</definedName>
    <definedName name="E_KEYWORD_ISSR_208002922_SALES_OTH_EMEA">#REF!</definedName>
    <definedName name="E_KEYWORD_ISSR_208002922_SALES_OTH_SALES_SOURCES">#REF!</definedName>
    <definedName name="E_KEYWORD_ISSR_208002922_SALES_OTHER">#REF!</definedName>
    <definedName name="E_KEYWORD_ISSR_208002922_SALES_RUSSIA">#REF!</definedName>
    <definedName name="E_KEYWORD_ISSR_208002922_SALES_SMB">#REF!</definedName>
    <definedName name="E_KEYWORD_ISSR_208002922_SALES_TOT_AFRICA">#REF!</definedName>
    <definedName name="E_KEYWORD_ISSR_208002922_SALES_TOT_AM">#REF!</definedName>
    <definedName name="E_KEYWORD_ISSR_208002922_SALES_TOT_ASIA">#REF!</definedName>
    <definedName name="E_KEYWORD_ISSR_208002922_SALES_TOT_EMEA">#REF!</definedName>
    <definedName name="E_KEYWORD_ISSR_208002922_SALES_UK">#REF!</definedName>
    <definedName name="E_KEYWORD_ISSR_208002922_SALES_US">#REF!</definedName>
    <definedName name="E_KEYWORD_ISSR_208002922_SALES_VENEZUELA">#REF!</definedName>
    <definedName name="E_KEYWORD_ISSR_208002922_SEL_GL_AD">#REF!</definedName>
    <definedName name="E_KEYWORD_ISSR_208002922_SH_REPUR">#REF!</definedName>
    <definedName name="E_KEYWORD_ISSR_208002922_SHORT_T_DEBT">#REF!</definedName>
    <definedName name="E_KEYWORD_ISSR_208002922_SHORT_TERM_LIABS">#REF!</definedName>
    <definedName name="E_KEYWORD_ISSR_208002922_STOCKS">#REF!</definedName>
    <definedName name="E_KEYWORD_ISSR_208002922_TOT_ASSET">#REF!</definedName>
    <definedName name="E_KEYWORD_ISSR_208002922_TOT_CF">#REF!</definedName>
    <definedName name="E_KEYWORD_ISSR_208002922_TOT_LIAB">#REF!</definedName>
    <definedName name="E_KEYWORD_ISSR_208002922_TOT_LIAB_EQ">#REF!</definedName>
    <definedName name="E_KEYWORD_ISSR_208002922_TOT_LT_LIAB">#REF!</definedName>
    <definedName name="E_KEYWORD_ISSR_208002922_TOT_OPS_EXP">#REF!</definedName>
    <definedName name="E_KEYWORD_ISSR_208002922_TOT_OPS_EXP_DDA">#REF!</definedName>
    <definedName name="E_KEYWORD_ISSR_208002922_UNF_PENS">#REF!</definedName>
    <definedName name="E_KEYWORD_ISSR_208002922_UNF_PENS_LIAB_OTH">#REF!</definedName>
    <definedName name="E_KEYWORD_ISSR_208002922_UNF_PENS_OFF">#REF!</definedName>
    <definedName name="E_KEYWORD_ISSR_208002922_WORK_CAP">#REF!</definedName>
    <definedName name="E_LIVEDATA_EQTY_200007558">#REF!</definedName>
    <definedName name="E_LIVEDATA_ISSR_208002922">#REF!</definedName>
    <definedName name="E_PERIOD_1996">#REF!</definedName>
    <definedName name="E_PERIOD_1997">#REF!</definedName>
    <definedName name="E_PERIOD_1998">#REF!</definedName>
    <definedName name="E_PERIOD_1999">#REF!</definedName>
    <definedName name="E_PERIOD_2000">#REF!</definedName>
    <definedName name="E_PERIOD_2001">#REF!</definedName>
    <definedName name="E_PERIOD_2002">#REF!</definedName>
    <definedName name="E_PERIOD_2003">#REF!</definedName>
    <definedName name="E_PERIOD_2003_Q1">#REF!</definedName>
    <definedName name="E_PERIOD_2003_Q2">#REF!</definedName>
    <definedName name="E_PERIOD_2003_Q3">#REF!</definedName>
    <definedName name="E_PERIOD_2003_Q4">#REF!</definedName>
    <definedName name="E_PERIOD_2004">#REF!</definedName>
    <definedName name="E_PERIOD_2004_Q1">#REF!</definedName>
    <definedName name="E_PERIOD_2004_Q2">#REF!</definedName>
    <definedName name="E_PERIOD_2004_Q3">#REF!</definedName>
    <definedName name="E_PERIOD_2004_Q4">#REF!</definedName>
    <definedName name="E_PERIOD_2005">#REF!</definedName>
    <definedName name="E_PERIOD_2005_Q1">#REF!</definedName>
    <definedName name="E_PERIOD_2005_Q2">#REF!</definedName>
    <definedName name="E_PERIOD_2005_Q3">#REF!</definedName>
    <definedName name="E_PERIOD_2005_Q4">#REF!</definedName>
    <definedName name="E_PERIOD_2006">#REF!</definedName>
    <definedName name="E_PERIOD_2006_Q1">#REF!</definedName>
    <definedName name="E_PERIOD_2006_Q2">#REF!</definedName>
    <definedName name="E_PERIOD_2006_Q3">#REF!</definedName>
    <definedName name="E_PERIOD_2006_Q4">#REF!</definedName>
    <definedName name="E_PERIOD_2007">#REF!</definedName>
    <definedName name="E_PERIOD_2007_Q1">#REF!</definedName>
    <definedName name="E_PERIOD_2007_Q2">#REF!</definedName>
    <definedName name="E_PERIOD_2007_Q3">#REF!</definedName>
    <definedName name="E_PERIOD_2007_Q4">#REF!</definedName>
    <definedName name="E_PERIOD_2008">#REF!</definedName>
    <definedName name="E_PERIOD_2008_Q1">#REF!</definedName>
    <definedName name="E_PERIOD_2008_Q2">#REF!</definedName>
    <definedName name="E_PERIOD_2008_Q3">#REF!</definedName>
    <definedName name="E_PERIOD_2008_Q4">#REF!</definedName>
    <definedName name="E_PERIOD_2009">#REF!</definedName>
    <definedName name="E_PERIOD_2009_Q1">#REF!</definedName>
    <definedName name="E_PERIOD_2009_Q2">#REF!</definedName>
    <definedName name="E_PERIOD_2009_Q3">#REF!</definedName>
    <definedName name="E_PERIOD_2009_Q4">#REF!</definedName>
    <definedName name="E_PERIOD_2010">#REF!</definedName>
    <definedName name="E_PERIOD_2010_Q1">#REF!</definedName>
    <definedName name="E_PERIOD_2010_Q2">#REF!</definedName>
    <definedName name="E_PERIOD_2010_Q3">#REF!</definedName>
    <definedName name="E_PERIOD_2010_Q4">#REF!</definedName>
    <definedName name="E_PERIOD_2011">#REF!</definedName>
    <definedName name="E_PERIOD_2011_Q1">#REF!</definedName>
    <definedName name="E_PERIOD_2011_Q2">#REF!</definedName>
    <definedName name="E_PERIOD_2011_Q3">#REF!</definedName>
    <definedName name="E_PERIOD_2011_Q4">#REF!</definedName>
    <definedName name="E_PERIOD_2012">#REF!</definedName>
    <definedName name="E_PERIOD_2012_Q1">#REF!</definedName>
    <definedName name="E_PERIOD_2012_Q2">#REF!</definedName>
    <definedName name="E_PERIOD_2012_Q3">#REF!</definedName>
    <definedName name="E_PERIOD_2012_Q4">#REF!</definedName>
    <definedName name="E_PERIOD_2013">#REF!</definedName>
    <definedName name="E_PERIOD_2013_Q1">#REF!</definedName>
    <definedName name="E_PERIOD_2013_Q2">#REF!</definedName>
    <definedName name="E_PERIOD_2013_Q3">#REF!</definedName>
    <definedName name="E_PERIOD_2013_Q4">#REF!</definedName>
    <definedName name="E_PERIOD_2014">#REF!</definedName>
    <definedName name="E_PERIOD_2014_Q1">#REF!</definedName>
    <definedName name="E_PERIOD_2014_Q2">#REF!</definedName>
    <definedName name="E_PERIOD_2014_Q3">#REF!</definedName>
    <definedName name="E_PERIOD_2014_Q4">#REF!</definedName>
    <definedName name="E_PERIOD_2015">#REF!</definedName>
    <definedName name="E_PERIOD_2016">#REF!</definedName>
    <definedName name="E_SECTION_EQTY_200007558_1314">#REF!</definedName>
    <definedName name="E_SECTION_EQTY_200007558_1319">#REF!</definedName>
    <definedName name="E_SECTION_EQTY_200007558_131E">#REF!</definedName>
    <definedName name="E_SECTION_EQTY_200007558_131O">#REF!</definedName>
    <definedName name="E_SECTION_EQTY_200007558_13A">#REF!</definedName>
    <definedName name="E_SECTION_EQTY_200007558_13K">#REF!</definedName>
    <definedName name="E_SECTION_EQTY_200007558_13U">#REF!</definedName>
    <definedName name="E_SECTION_EQTY_200007558_13V">#REF!</definedName>
    <definedName name="E_SECTION_EQTY_200007558_13W">#REF!</definedName>
    <definedName name="E_SECTION_EQTY_200007558_Reference_Data">#REF!</definedName>
    <definedName name="E_SECTION_ISSR_208002922_1314">#REF!</definedName>
    <definedName name="E_SECTION_ISSR_208002922_13168">#REF!</definedName>
    <definedName name="E_SECTION_ISSR_208002922_1316S">#REF!</definedName>
    <definedName name="E_SECTION_ISSR_208002922_1316T">#REF!</definedName>
    <definedName name="E_SECTION_ISSR_208002922_1316U">#REF!</definedName>
    <definedName name="E_SECTION_ISSR_208002922_1319">#REF!</definedName>
    <definedName name="E_SECTION_ISSR_208002922_131E">#REF!</definedName>
    <definedName name="E_SECTION_ISSR_208002922_131J">#REF!</definedName>
    <definedName name="E_SECTION_ISSR_208002922_131O">#REF!</definedName>
    <definedName name="E_SECTION_ISSR_208002922_13A">#REF!</definedName>
    <definedName name="E_SECTION_ISSR_208002922_13U">#REF!</definedName>
    <definedName name="E_SECTION_ISSR_208002922_13V">#REF!</definedName>
    <definedName name="E_SECTION_ISSR_208002922_Reference_Data">#REF!</definedName>
    <definedName name="ebitda">#REF!</definedName>
    <definedName name="eps">#REF!</definedName>
    <definedName name="epsbas">#REF!</definedName>
    <definedName name="epsbasop">#REF!</definedName>
    <definedName name="epsop">#REF!</definedName>
    <definedName name="fcf" localSheetId="6">#REF!</definedName>
    <definedName name="fcf" localSheetId="1">#REF!</definedName>
    <definedName name="fcf" localSheetId="7">#REF!</definedName>
    <definedName name="fcf" localSheetId="5">#REF!</definedName>
    <definedName name="fcf">CFLO!#REF!</definedName>
    <definedName name="fcfni" localSheetId="6">#REF!</definedName>
    <definedName name="fcfni" localSheetId="1">#REF!</definedName>
    <definedName name="fcfni" localSheetId="7">#REF!</definedName>
    <definedName name="fcfni" localSheetId="5">#REF!</definedName>
    <definedName name="fcfni">CFLO!#REF!</definedName>
    <definedName name="fy.00">#REF!</definedName>
    <definedName name="fy.01">#REF!</definedName>
    <definedName name="fy.02">#REF!</definedName>
    <definedName name="fy.03">#REF!</definedName>
    <definedName name="fy.04">#REF!</definedName>
    <definedName name="fy.05">#REF!</definedName>
    <definedName name="fy.06">#REF!</definedName>
    <definedName name="fy.07">#REF!</definedName>
    <definedName name="fy.08">#REF!</definedName>
    <definedName name="fy.09">#REF!</definedName>
    <definedName name="fy.10">#REF!</definedName>
    <definedName name="fy.11">#REF!</definedName>
    <definedName name="fy.12">#REF!</definedName>
    <definedName name="fy.13">#REF!</definedName>
    <definedName name="fy.14">#REF!</definedName>
    <definedName name="fy.15">#REF!</definedName>
    <definedName name="fy.16">#REF!</definedName>
    <definedName name="fy.17">#REF!</definedName>
    <definedName name="fy.18">#REF!</definedName>
    <definedName name="fy.19">#REF!</definedName>
    <definedName name="fy.20">#REF!</definedName>
    <definedName name="fy.21">#REF!</definedName>
    <definedName name="fy.22">#REF!</definedName>
    <definedName name="fy.23">#REF!</definedName>
    <definedName name="fy.97">#REF!</definedName>
    <definedName name="fy.98">#REF!</definedName>
    <definedName name="fy.99">#REF!</definedName>
    <definedName name="goodwill">#REF!</definedName>
    <definedName name="grossprofit">#REF!</definedName>
    <definedName name="intexp">#REF!</definedName>
    <definedName name="inv">#REF!</definedName>
    <definedName name="L_ALL_HXL">#REF!</definedName>
    <definedName name="L_ALL_HXL_">#REF!</definedName>
    <definedName name="L_ALL_KEYWORDS_TYPE_ScalarContributed_EQTY_200007558">#REF!,#REF!,#REF!,#REF!</definedName>
    <definedName name="L_ALL_KEYWORDS_TYPE_ScalarContributed_ISSR_208002922">#REF!,#REF!</definedName>
    <definedName name="L_ALL_KEYWORDS_TYPE_ScalarReference_EQTY_200007558">#REF!</definedName>
    <definedName name="L_ALL_KEYWORDS_TYPE_ScalarReference_ISSR_208002922">#REF!</definedName>
    <definedName name="L_ALL_KEYWORDS_TYPE_Vector_EQTY_200007558">#REF!,#REF!,#REF!,#REF!,#REF!,#REF!,#REF!</definedName>
    <definedName name="L_ALL_KEYWORDS_TYPE_Vector_ISSR_208002922">#REF!,#REF!,#REF!,#REF!,#REF!,#REF!,#REF!,#REF!,#REF!</definedName>
    <definedName name="L_ALL_SECTION_KEYWORDS_EQTY_200007558_1314">#REF!</definedName>
    <definedName name="L_ALL_SECTION_KEYWORDS_EQTY_200007558_1319">#REF!</definedName>
    <definedName name="L_ALL_SECTION_KEYWORDS_EQTY_200007558_131E">#REF!</definedName>
    <definedName name="L_ALL_SECTION_KEYWORDS_EQTY_200007558_131O">#REF!</definedName>
    <definedName name="L_ALL_SECTION_KEYWORDS_EQTY_200007558_13A">#REF!</definedName>
    <definedName name="L_ALL_SECTION_KEYWORDS_EQTY_200007558_13K">#REF!</definedName>
    <definedName name="L_ALL_SECTION_KEYWORDS_EQTY_200007558_13U">#REF!</definedName>
    <definedName name="L_ALL_SECTION_KEYWORDS_EQTY_200007558_13V">#REF!</definedName>
    <definedName name="L_ALL_SECTION_KEYWORDS_EQTY_200007558_13W">#REF!</definedName>
    <definedName name="L_ALL_SECTION_KEYWORDS_EQTY_200007558_Reference_Data">#REF!</definedName>
    <definedName name="L_ALL_SECTION_KEYWORDS_ISSR_208002922_1314">#REF!</definedName>
    <definedName name="L_ALL_SECTION_KEYWORDS_ISSR_208002922_13168">#REF!</definedName>
    <definedName name="L_ALL_SECTION_KEYWORDS_ISSR_208002922_1316S">#REF!</definedName>
    <definedName name="L_ALL_SECTION_KEYWORDS_ISSR_208002922_1316T">#REF!</definedName>
    <definedName name="L_ALL_SECTION_KEYWORDS_ISSR_208002922_1316U">#REF!</definedName>
    <definedName name="L_ALL_SECTION_KEYWORDS_ISSR_208002922_1319">#REF!</definedName>
    <definedName name="L_ALL_SECTION_KEYWORDS_ISSR_208002922_131E">#REF!</definedName>
    <definedName name="L_ALL_SECTION_KEYWORDS_ISSR_208002922_131J">#REF!</definedName>
    <definedName name="L_ALL_SECTION_KEYWORDS_ISSR_208002922_131O">#REF!</definedName>
    <definedName name="L_ALL_SECTION_KEYWORDS_ISSR_208002922_136E">#REF!,#REF!</definedName>
    <definedName name="L_ALL_SECTION_KEYWORDS_ISSR_208002922_13A">#REF!</definedName>
    <definedName name="L_ALL_SECTION_KEYWORDS_ISSR_208002922_13U">#REF!</definedName>
    <definedName name="L_ALL_SECTION_KEYWORDS_ISSR_208002922_13V">#REF!</definedName>
    <definedName name="L_ALL_SECTION_KEYWORDS_ISSR_208002922_Reference_Data">#REF!</definedName>
    <definedName name="L_ALL_SECTIONS_EQTY_200007558">#REF!,#REF!,#REF!,#REF!,#REF!,#REF!,#REF!,#REF!,#REF!,#REF!</definedName>
    <definedName name="L_CURRENCY_EQTY_200007558_PRI">#REF!</definedName>
    <definedName name="L_CURRENCY_EQTY_200007558_PUB">#REF!</definedName>
    <definedName name="L_CURRENCY_EQTY_200007558_REP">#REF!</definedName>
    <definedName name="L_CURRENCY_ISSR_208002922_REP">#REF!</definedName>
    <definedName name="L_KEYWORD_EQTY_200007558_AMER_CONVICTION">#REF!</definedName>
    <definedName name="L_KEYWORD_EQTY_200007558_AMER_LIST">#REF!</definedName>
    <definedName name="L_KEYWORD_EQTY_200007558_BETA_ANALYST">#REF!</definedName>
    <definedName name="L_KEYWORD_EQTY_200007558_BVPS">#REF!</definedName>
    <definedName name="L_KEYWORD_EQTY_200007558_BVPS_PUB">#REF!</definedName>
    <definedName name="L_KEYWORD_EQTY_200007558_CEEE_EPS">#REF!</definedName>
    <definedName name="L_KEYWORD_EQTY_200007558_CF_NI_PRE_PREF">#REF!</definedName>
    <definedName name="L_KEYWORD_EQTY_200007558_COMMON_DIV_PAID">#REF!</definedName>
    <definedName name="L_KEYWORD_EQTY_200007558_CURRENCY_ISO">#REF!</definedName>
    <definedName name="L_KEYWORD_EQTY_200007558_DILUTE_SHARES">#REF!</definedName>
    <definedName name="L_KEYWORD_EQTY_200007558_DPS">#REF!</definedName>
    <definedName name="L_KEYWORD_EQTY_200007558_DPS_PUB">#REF!</definedName>
    <definedName name="L_KEYWORD_EQTY_200007558_EBIT_PUB">#REF!</definedName>
    <definedName name="L_KEYWORD_EQTY_200007558_EBITDA_PUB">#REF!</definedName>
    <definedName name="L_KEYWORD_EQTY_200007558_EPS">#REF!</definedName>
    <definedName name="L_KEYWORD_EQTY_200007558_EPS_EX_ESO_B">#REF!</definedName>
    <definedName name="L_KEYWORD_EQTY_200007558_EPS_EX_ESO_D">#REF!</definedName>
    <definedName name="L_KEYWORD_EQTY_200007558_EPS_FUL_DIL">#REF!</definedName>
    <definedName name="L_KEYWORD_EQTY_200007558_EPS_POST_BASIC">#REF!</definedName>
    <definedName name="L_KEYWORD_EQTY_200007558_EPS_PUB">#REF!</definedName>
    <definedName name="L_KEYWORD_EQTY_200007558_EPS_PUB_EX_ESO">#REF!</definedName>
    <definedName name="L_KEYWORD_EQTY_200007558_EQ_PUB">#REF!</definedName>
    <definedName name="L_KEYWORD_EQTY_200007558_ESO_POST_TAX">#REF!</definedName>
    <definedName name="L_KEYWORD_EQTY_200007558_ESO_YEAR">#REF!</definedName>
    <definedName name="L_KEYWORD_EQTY_200007558_EV_ADJ_PUB">#REF!</definedName>
    <definedName name="L_KEYWORD_EQTY_200007558_FREE_FLOAT">#REF!</definedName>
    <definedName name="L_KEYWORD_EQTY_200007558_FULLY_DIL_EPS">#REF!</definedName>
    <definedName name="L_KEYWORD_EQTY_200007558_FV_GRANT">#REF!</definedName>
    <definedName name="L_KEYWORD_EQTY_200007558_INC_MINORITY">#REF!</definedName>
    <definedName name="L_KEYWORD_EQTY_200007558_Interim_Type">#REF!</definedName>
    <definedName name="L_KEYWORD_EQTY_200007558_LEGAL_RATING">#REF!</definedName>
    <definedName name="L_KEYWORD_EQTY_200007558_MARGIN_TAX_RATE">#REF!</definedName>
    <definedName name="L_KEYWORD_EQTY_200007558_MKT_EQ_RISK_PREM">#REF!</definedName>
    <definedName name="L_KEYWORD_EQTY_200007558_NET_DEBT_PUB">#REF!</definedName>
    <definedName name="L_KEYWORD_EQTY_200007558_NET_EARNING">#REF!</definedName>
    <definedName name="L_KEYWORD_EQTY_200007558_NET_INC">#REF!</definedName>
    <definedName name="L_KEYWORD_EQTY_200007558_NI_PRE_PREF">#REF!</definedName>
    <definedName name="L_KEYWORD_EQTY_200007558_NI_PUB">#REF!</definedName>
    <definedName name="L_KEYWORD_EQTY_200007558_NON_OP_ADD">#REF!</definedName>
    <definedName name="L_KEYWORD_EQTY_200007558_NUM_SH">#REF!</definedName>
    <definedName name="L_KEYWORD_EQTY_200007558_PREF_DIV">#REF!</definedName>
    <definedName name="L_KEYWORD_EQTY_200007558_PRICE_CURRENCY_ISO">#REF!</definedName>
    <definedName name="L_KEYWORD_EQTY_200007558_PROV_INC_TAX">#REF!</definedName>
    <definedName name="L_KEYWORD_EQTY_200007558_PTP_PUB">#REF!</definedName>
    <definedName name="L_KEYWORD_EQTY_200007558_PUB_CURRENCY_ISO">#REF!</definedName>
    <definedName name="L_KEYWORD_EQTY_200007558_REPUR_ACTUAL">#REF!</definedName>
    <definedName name="L_KEYWORD_EQTY_200007558_REPUR_REMAINING">#REF!</definedName>
    <definedName name="L_KEYWORD_EQTY_200007558_REPUR_SUSPENDED">#REF!</definedName>
    <definedName name="L_KEYWORD_EQTY_200007558_REPUR_TOT_AUTH">#REF!</definedName>
    <definedName name="L_KEYWORD_EQTY_200007558_REVS_PUB">#REF!</definedName>
    <definedName name="L_KEYWORD_EQTY_200007558_RISK_FR_RATE">#REF!</definedName>
    <definedName name="L_KEYWORD_EQTY_200007558_Security_Name">#REF!</definedName>
    <definedName name="L_KEYWORD_EQTY_200007558_SH">#REF!</definedName>
    <definedName name="L_KEYWORD_EQTY_200007558_TARGET_PRICE">#REF!</definedName>
    <definedName name="L_KEYWORD_EQTY_200007558_TAX_EXC">#REF!</definedName>
    <definedName name="L_KEYWORD_EQTY_200007558_Ticker">#REF!</definedName>
    <definedName name="L_KEYWORD_EQTY_200007558_TP_PERIOD">#REF!</definedName>
    <definedName name="L_KEYWORD_ISSR_208002922_ACC_AMORT">#REF!</definedName>
    <definedName name="L_KEYWORD_ISSR_208002922_ACC_DDA">#REF!</definedName>
    <definedName name="L_KEYWORD_ISSR_208002922_ACC_END_DATE">#REF!</definedName>
    <definedName name="L_KEYWORD_ISSR_208002922_ACC_PAY_GQ">#REF!</definedName>
    <definedName name="L_KEYWORD_ISSR_208002922_ACQ">#REF!</definedName>
    <definedName name="L_KEYWORD_ISSR_208002922_ADJ_UNF_PENS_GOOD">#REF!</definedName>
    <definedName name="L_KEYWORD_ISSR_208002922_ASSOC_JV_ADDBK">#REF!</definedName>
    <definedName name="L_KEYWORD_ISSR_208002922_ASSOCIATE">#REF!</definedName>
    <definedName name="L_KEYWORD_ISSR_208002922_ASSOCIATE_OP">#REF!</definedName>
    <definedName name="L_KEYWORD_ISSR_208002922_BAL_MINO_INT">#REF!</definedName>
    <definedName name="L_KEYWORD_ISSR_208002922_CAP_LEASES">#REF!</definedName>
    <definedName name="L_KEYWORD_ISSR_208002922_CAPEX">#REF!</definedName>
    <definedName name="L_KEYWORD_ISSR_208002922_CAPEX_EXPANSION">#REF!</definedName>
    <definedName name="L_KEYWORD_ISSR_208002922_CAPEX_MAINTENANCE">#REF!</definedName>
    <definedName name="L_KEYWORD_ISSR_208002922_CASH_EQ">#REF!</definedName>
    <definedName name="L_KEYWORD_ISSR_208002922_CASH_INT_EXP">#REF!</definedName>
    <definedName name="L_KEYWORD_ISSR_208002922_CASH_PCT_OS_US">#REF!</definedName>
    <definedName name="L_KEYWORD_ISSR_208002922_CASH_TAX_EXP">#REF!</definedName>
    <definedName name="L_KEYWORD_ISSR_208002922_CF_FIN">#REF!</definedName>
    <definedName name="L_KEYWORD_ISSR_208002922_CF_INC_MINORITY">#REF!</definedName>
    <definedName name="L_KEYWORD_ISSR_208002922_CF_INV">#REF!</definedName>
    <definedName name="L_KEYWORD_ISSR_208002922_CF_OPS">#REF!</definedName>
    <definedName name="L_KEYWORD_ISSR_208002922_CHG_LT_DEBT">#REF!</definedName>
    <definedName name="L_KEYWORD_ISSR_208002922_CO_BOR_MARGIN">#REF!</definedName>
    <definedName name="L_KEYWORD_ISSR_208002922_COST_GD_SD">#REF!</definedName>
    <definedName name="L_KEYWORD_ISSR_208002922_CUR_ASS">#REF!</definedName>
    <definedName name="L_KEYWORD_ISSR_208002922_CURRENCY_ISO">#REF!</definedName>
    <definedName name="L_KEYWORD_ISSR_208002922_DEBTORS">#REF!</definedName>
    <definedName name="L_KEYWORD_ISSR_208002922_DEF_INC_TAX">#REF!</definedName>
    <definedName name="L_KEYWORD_ISSR_208002922_DEPR_AMORT">#REF!</definedName>
    <definedName name="L_KEYWORD_ISSR_208002922_DEPREC">#REF!</definedName>
    <definedName name="L_KEYWORD_ISSR_208002922_DIV_PAID">#REF!</definedName>
    <definedName name="L_KEYWORD_ISSR_208002922_DIVDS_ASSOC_JV">#REF!</definedName>
    <definedName name="L_KEYWORD_ISSR_208002922_DIVDS_PD_MINORITIES">#REF!</definedName>
    <definedName name="L_KEYWORD_ISSR_208002922_DIVEST">#REF!</definedName>
    <definedName name="L_KEYWORD_ISSR_208002922_EBIT">#REF!</definedName>
    <definedName name="L_KEYWORD_ISSR_208002922_EBIT_FIN_SEGMENT">#REF!</definedName>
    <definedName name="L_KEYWORD_ISSR_208002922_EBITDA_CALC">#REF!</definedName>
    <definedName name="L_KEYWORD_ISSR_208002922_EMPLOYEES">#REF!</definedName>
    <definedName name="L_KEYWORD_ISSR_208002922_EQ">#REF!</definedName>
    <definedName name="L_KEYWORD_ISSR_208002922_ESO_PRE_TAX">#REF!</definedName>
    <definedName name="L_KEYWORD_ISSR_208002922_EXP_ALUMINIUM">#REF!</definedName>
    <definedName name="L_KEYWORD_ISSR_208002922_EXP_COPPER">#REF!</definedName>
    <definedName name="L_KEYWORD_ISSR_208002922_EXP_GLASS">#REF!</definedName>
    <definedName name="L_KEYWORD_ISSR_208002922_EXP_GOLD">#REF!</definedName>
    <definedName name="L_KEYWORD_ISSR_208002922_EXP_NAT_GAS">#REF!</definedName>
    <definedName name="L_KEYWORD_ISSR_208002922_EXP_NICKEL">#REF!</definedName>
    <definedName name="L_KEYWORD_ISSR_208002922_EXP_OIL_DERIV_NGLS_PLASTICS">#REF!</definedName>
    <definedName name="L_KEYWORD_ISSR_208002922_EXP_OIL_PETRO_FUEL">#REF!</definedName>
    <definedName name="L_KEYWORD_ISSR_208002922_EXP_OTH_COMMODITY">#REF!</definedName>
    <definedName name="L_KEYWORD_ISSR_208002922_EXP_OTH_COST">#REF!</definedName>
    <definedName name="L_KEYWORD_ISSR_208002922_EXP_PALLADIUM">#REF!</definedName>
    <definedName name="L_KEYWORD_ISSR_208002922_EXP_PLATINUM">#REF!</definedName>
    <definedName name="L_KEYWORD_ISSR_208002922_EXP_RUBBER">#REF!</definedName>
    <definedName name="L_KEYWORD_ISSR_208002922_EXP_SILVER">#REF!</definedName>
    <definedName name="L_KEYWORD_ISSR_208002922_EXP_STEEL">#REF!</definedName>
    <definedName name="L_KEYWORD_ISSR_208002922_EXP_WATER">#REF!</definedName>
    <definedName name="L_KEYWORD_ISSR_208002922_EXP_ZINC">#REF!</definedName>
    <definedName name="L_KEYWORD_ISSR_208002922_FIX_ASS_INV">#REF!</definedName>
    <definedName name="L_KEYWORD_ISSR_208002922_GCI_INFL">#REF!</definedName>
    <definedName name="L_KEYWORD_ISSR_208002922_GOODWILL_AMORT">#REF!</definedName>
    <definedName name="L_KEYWORD_ISSR_208002922_GR_FIX_ASS">#REF!</definedName>
    <definedName name="L_KEYWORD_ISSR_208002922_GR_INTANG">#REF!</definedName>
    <definedName name="L_KEYWORD_ISSR_208002922_INT_EXP_IND">#REF!</definedName>
    <definedName name="L_KEYWORD_ISSR_208002922_INT_INC_IND">#REF!</definedName>
    <definedName name="L_KEYWORD_ISSR_208002922_INV_SECUR">#REF!</definedName>
    <definedName name="L_KEYWORD_ISSR_208002922_Issuer_Name">#REF!</definedName>
    <definedName name="L_KEYWORD_ISSR_208002922_LEASE_DEEM_DEPR">#REF!</definedName>
    <definedName name="L_KEYWORD_ISSR_208002922_LEASE_DEEM_INT">#REF!</definedName>
    <definedName name="L_KEYWORD_ISSR_208002922_LEASE_PAY">#REF!</definedName>
    <definedName name="L_KEYWORD_ISSR_208002922_LT_DEBT">#REF!</definedName>
    <definedName name="L_KEYWORD_ISSR_208002922_MA_PROB">#REF!</definedName>
    <definedName name="L_KEYWORD_ISSR_208002922_MINORITIES">#REF!</definedName>
    <definedName name="L_KEYWORD_ISSR_208002922_MV_ASSOCIATES">#REF!</definedName>
    <definedName name="L_KEYWORD_ISSR_208002922_NET_DEBT">#REF!</definedName>
    <definedName name="L_KEYWORD_ISSR_208002922_NET_DEBT_ADJ">#REF!</definedName>
    <definedName name="L_KEYWORD_ISSR_208002922_NET_FIX_ASS">#REF!</definedName>
    <definedName name="L_KEYWORD_ISSR_208002922_NET_INT_CH">#REF!</definedName>
    <definedName name="L_KEYWORD_ISSR_208002922_NET_INT_EXP">#REF!</definedName>
    <definedName name="L_KEYWORD_ISSR_208002922_NET_INTANG">#REF!</definedName>
    <definedName name="L_KEYWORD_ISSR_208002922_NONPPE_CAPEX">#REF!</definedName>
    <definedName name="L_KEYWORD_ISSR_208002922_OP_COST">#REF!</definedName>
    <definedName name="L_KEYWORD_ISSR_208002922_ORD_SH_FUND">#REF!</definedName>
    <definedName name="L_KEYWORD_ISSR_208002922_OTH_COST_INC">#REF!</definedName>
    <definedName name="L_KEYWORD_ISSR_208002922_OTH_CUR_ASS">#REF!</definedName>
    <definedName name="L_KEYWORD_ISSR_208002922_OTH_CUR_LIABS">#REF!</definedName>
    <definedName name="L_KEYWORD_ISSR_208002922_OTH_DACF_ADJ">#REF!</definedName>
    <definedName name="L_KEYWORD_ISSR_208002922_OTH_FIN_CF">#REF!</definedName>
    <definedName name="L_KEYWORD_ISSR_208002922_OTH_GCI_ADJ">#REF!</definedName>
    <definedName name="L_KEYWORD_ISSR_208002922_OTH_INV_CF">#REF!</definedName>
    <definedName name="L_KEYWORD_ISSR_208002922_OTH_LT_ASS">#REF!</definedName>
    <definedName name="L_KEYWORD_ISSR_208002922_OTH_LT_CRED_GQ">#REF!</definedName>
    <definedName name="L_KEYWORD_ISSR_208002922_OTH_NONCASH_ADJ">#REF!</definedName>
    <definedName name="L_KEYWORD_ISSR_208002922_OTH_OP_CF">#REF!</definedName>
    <definedName name="L_KEYWORD_ISSR_208002922_OTH_OP_INC_EXP">#REF!</definedName>
    <definedName name="L_KEYWORD_ISSR_208002922_PERIOD_MILESTONE">#REF!</definedName>
    <definedName name="L_KEYWORD_ISSR_208002922_PL_SALE_ASSETS">#REF!</definedName>
    <definedName name="L_KEYWORD_ISSR_208002922_PREF_SH">#REF!</definedName>
    <definedName name="L_KEYWORD_ISSR_208002922_PROFIT_ON_DISP">#REF!</definedName>
    <definedName name="L_KEYWORD_ISSR_208002922_PT_PROF">#REF!</definedName>
    <definedName name="L_KEYWORD_ISSR_208002922_RD_EXP">#REF!</definedName>
    <definedName name="L_KEYWORD_ISSR_208002922_REV_FIN_SEGMENT">#REF!</definedName>
    <definedName name="L_KEYWORD_ISSR_208002922_SALES">#REF!</definedName>
    <definedName name="L_KEYWORD_ISSR_208002922_SALES_ARGENTINA">#REF!</definedName>
    <definedName name="L_KEYWORD_ISSR_208002922_SALES_BRAZIL">#REF!</definedName>
    <definedName name="L_KEYWORD_ISSR_208002922_SALES_CANADA">#REF!</definedName>
    <definedName name="L_KEYWORD_ISSR_208002922_SALES_CEE">#REF!</definedName>
    <definedName name="L_KEYWORD_ISSR_208002922_SALES_CHILE">#REF!</definedName>
    <definedName name="L_KEYWORD_ISSR_208002922_SALES_CHINA">#REF!</definedName>
    <definedName name="L_KEYWORD_ISSR_208002922_SALES_COLOMBIA">#REF!</definedName>
    <definedName name="L_KEYWORD_ISSR_208002922_SALES_CONS">#REF!</definedName>
    <definedName name="L_KEYWORD_ISSR_208002922_SALES_EU_EX_UK">#REF!</definedName>
    <definedName name="L_KEYWORD_ISSR_208002922_SALES_FINAN">#REF!</definedName>
    <definedName name="L_KEYWORD_ISSR_208002922_SALES_FX_ARS">#REF!</definedName>
    <definedName name="L_KEYWORD_ISSR_208002922_SALES_FX_BRL">#REF!</definedName>
    <definedName name="L_KEYWORD_ISSR_208002922_SALES_FX_CAD">#REF!</definedName>
    <definedName name="L_KEYWORD_ISSR_208002922_SALES_FX_CLP">#REF!</definedName>
    <definedName name="L_KEYWORD_ISSR_208002922_SALES_FX_CNY">#REF!</definedName>
    <definedName name="L_KEYWORD_ISSR_208002922_SALES_FX_COP">#REF!</definedName>
    <definedName name="L_KEYWORD_ISSR_208002922_SALES_FX_EUR">#REF!</definedName>
    <definedName name="L_KEYWORD_ISSR_208002922_SALES_FX_GPB">#REF!</definedName>
    <definedName name="L_KEYWORD_ISSR_208002922_SALES_FX_INR">#REF!</definedName>
    <definedName name="L_KEYWORD_ISSR_208002922_SALES_FX_MXN">#REF!</definedName>
    <definedName name="L_KEYWORD_ISSR_208002922_SALES_FX_OTH">#REF!</definedName>
    <definedName name="L_KEYWORD_ISSR_208002922_SALES_FX_RUB">#REF!</definedName>
    <definedName name="L_KEYWORD_ISSR_208002922_SALES_FX_USD">#REF!</definedName>
    <definedName name="L_KEYWORD_ISSR_208002922_SALES_FX_VEF">#REF!</definedName>
    <definedName name="L_KEYWORD_ISSR_208002922_SALES_FX_YEN">#REF!</definedName>
    <definedName name="L_KEYWORD_ISSR_208002922_SALES_GOV">#REF!</definedName>
    <definedName name="L_KEYWORD_ISSR_208002922_SALES_IND">#REF!</definedName>
    <definedName name="L_KEYWORD_ISSR_208002922_SALES_INDIA">#REF!</definedName>
    <definedName name="L_KEYWORD_ISSR_208002922_SALES_JAPAN">#REF!</definedName>
    <definedName name="L_KEYWORD_ISSR_208002922_SALES_ME">#REF!</definedName>
    <definedName name="L_KEYWORD_ISSR_208002922_SALES_MEXICO">#REF!</definedName>
    <definedName name="L_KEYWORD_ISSR_208002922_SALES_OTH_AEJ">#REF!</definedName>
    <definedName name="L_KEYWORD_ISSR_208002922_SALES_OTH_AM">#REF!</definedName>
    <definedName name="L_KEYWORD_ISSR_208002922_SALES_OTH_COMMODITY">#REF!</definedName>
    <definedName name="L_KEYWORD_ISSR_208002922_SALES_OTH_EMEA">#REF!</definedName>
    <definedName name="L_KEYWORD_ISSR_208002922_SALES_OTH_SALES_SOURCES">#REF!</definedName>
    <definedName name="L_KEYWORD_ISSR_208002922_SALES_OTHER">#REF!</definedName>
    <definedName name="L_KEYWORD_ISSR_208002922_SALES_RUSSIA">#REF!</definedName>
    <definedName name="L_KEYWORD_ISSR_208002922_SALES_SMB">#REF!</definedName>
    <definedName name="L_KEYWORD_ISSR_208002922_SALES_TOT_AFRICA">#REF!</definedName>
    <definedName name="L_KEYWORD_ISSR_208002922_SALES_TOT_AM">#REF!</definedName>
    <definedName name="L_KEYWORD_ISSR_208002922_SALES_TOT_ASIA">#REF!</definedName>
    <definedName name="L_KEYWORD_ISSR_208002922_SALES_TOT_EMEA">#REF!</definedName>
    <definedName name="L_KEYWORD_ISSR_208002922_SALES_UK">#REF!</definedName>
    <definedName name="L_KEYWORD_ISSR_208002922_SALES_US">#REF!</definedName>
    <definedName name="L_KEYWORD_ISSR_208002922_SALES_VENEZUELA">#REF!</definedName>
    <definedName name="L_KEYWORD_ISSR_208002922_SEL_GL_AD">#REF!</definedName>
    <definedName name="L_KEYWORD_ISSR_208002922_SH_REPUR">#REF!</definedName>
    <definedName name="L_KEYWORD_ISSR_208002922_SHORT_T_DEBT">#REF!</definedName>
    <definedName name="L_KEYWORD_ISSR_208002922_SHORT_TERM_LIABS">#REF!</definedName>
    <definedName name="L_KEYWORD_ISSR_208002922_STOCKS">#REF!</definedName>
    <definedName name="L_KEYWORD_ISSR_208002922_TOT_ASSET">#REF!</definedName>
    <definedName name="L_KEYWORD_ISSR_208002922_TOT_CF">#REF!</definedName>
    <definedName name="L_KEYWORD_ISSR_208002922_TOT_LIAB">#REF!</definedName>
    <definedName name="L_KEYWORD_ISSR_208002922_TOT_LIAB_EQ">#REF!</definedName>
    <definedName name="L_KEYWORD_ISSR_208002922_TOT_LT_LIAB">#REF!</definedName>
    <definedName name="L_KEYWORD_ISSR_208002922_TOT_OPS_EXP">#REF!</definedName>
    <definedName name="L_KEYWORD_ISSR_208002922_TOT_OPS_EXP_DDA">#REF!</definedName>
    <definedName name="L_KEYWORD_ISSR_208002922_UNF_PENS">#REF!</definedName>
    <definedName name="L_KEYWORD_ISSR_208002922_UNF_PENS_LIAB_OTH">#REF!</definedName>
    <definedName name="L_KEYWORD_ISSR_208002922_UNF_PENS_OFF">#REF!</definedName>
    <definedName name="L_KEYWORD_ISSR_208002922_WORK_CAP">#REF!</definedName>
    <definedName name="L_LIVEDATA_EQTY_200007558">#REF!</definedName>
    <definedName name="L_LIVEDATA_ISSR_208002922">#REF!</definedName>
    <definedName name="L_PERIOD_1996">#REF!</definedName>
    <definedName name="L_PERIOD_1997">#REF!</definedName>
    <definedName name="L_PERIOD_1998">#REF!</definedName>
    <definedName name="L_PERIOD_1999">#REF!</definedName>
    <definedName name="L_PERIOD_2000">#REF!</definedName>
    <definedName name="L_PERIOD_2001">#REF!</definedName>
    <definedName name="L_PERIOD_2002">#REF!</definedName>
    <definedName name="L_PERIOD_2003">#REF!</definedName>
    <definedName name="L_PERIOD_2003_Q1">#REF!</definedName>
    <definedName name="L_PERIOD_2003_Q2">#REF!</definedName>
    <definedName name="L_PERIOD_2003_Q3">#REF!</definedName>
    <definedName name="L_PERIOD_2003_Q4">#REF!</definedName>
    <definedName name="L_PERIOD_2004">#REF!</definedName>
    <definedName name="L_PERIOD_2004_Q1">#REF!</definedName>
    <definedName name="L_PERIOD_2004_Q2">#REF!</definedName>
    <definedName name="L_PERIOD_2004_Q3">#REF!</definedName>
    <definedName name="L_PERIOD_2004_Q4">#REF!</definedName>
    <definedName name="L_PERIOD_2005">#REF!</definedName>
    <definedName name="L_PERIOD_2005_Q1">#REF!</definedName>
    <definedName name="L_PERIOD_2005_Q2">#REF!</definedName>
    <definedName name="L_PERIOD_2005_Q3">#REF!</definedName>
    <definedName name="L_PERIOD_2005_Q4">#REF!</definedName>
    <definedName name="L_PERIOD_2006">#REF!</definedName>
    <definedName name="L_PERIOD_2006_Q1">#REF!</definedName>
    <definedName name="L_PERIOD_2006_Q2">#REF!</definedName>
    <definedName name="L_PERIOD_2006_Q3">#REF!</definedName>
    <definedName name="L_PERIOD_2006_Q4">#REF!</definedName>
    <definedName name="L_PERIOD_2007">#REF!</definedName>
    <definedName name="L_PERIOD_2007_Q1">#REF!</definedName>
    <definedName name="L_PERIOD_2007_Q2">#REF!</definedName>
    <definedName name="L_PERIOD_2007_Q3">#REF!</definedName>
    <definedName name="L_PERIOD_2007_Q4">#REF!</definedName>
    <definedName name="L_PERIOD_2008">#REF!</definedName>
    <definedName name="L_PERIOD_2008_Q1">#REF!</definedName>
    <definedName name="L_PERIOD_2008_Q2">#REF!</definedName>
    <definedName name="L_PERIOD_2008_Q3">#REF!</definedName>
    <definedName name="L_PERIOD_2008_Q4">#REF!</definedName>
    <definedName name="L_PERIOD_2009">#REF!</definedName>
    <definedName name="L_PERIOD_2009_Q1">#REF!</definedName>
    <definedName name="L_PERIOD_2009_Q2">#REF!</definedName>
    <definedName name="L_PERIOD_2009_Q3">#REF!</definedName>
    <definedName name="L_PERIOD_2009_Q4">#REF!</definedName>
    <definedName name="L_PERIOD_2010">#REF!</definedName>
    <definedName name="L_PERIOD_2010_Q1">#REF!</definedName>
    <definedName name="L_PERIOD_2010_Q2">#REF!</definedName>
    <definedName name="L_PERIOD_2010_Q3">#REF!</definedName>
    <definedName name="L_PERIOD_2010_Q4">#REF!</definedName>
    <definedName name="L_PERIOD_2011">#REF!</definedName>
    <definedName name="L_PERIOD_2011_Q1">#REF!</definedName>
    <definedName name="L_PERIOD_2011_Q2">#REF!</definedName>
    <definedName name="L_PERIOD_2011_Q3">#REF!</definedName>
    <definedName name="L_PERIOD_2011_Q4">#REF!</definedName>
    <definedName name="L_PERIOD_2012">#REF!</definedName>
    <definedName name="L_PERIOD_2012_Q1">#REF!</definedName>
    <definedName name="L_PERIOD_2012_Q2">#REF!</definedName>
    <definedName name="L_PERIOD_2012_Q3">#REF!</definedName>
    <definedName name="L_PERIOD_2012_Q4">#REF!</definedName>
    <definedName name="L_PERIOD_2013">#REF!</definedName>
    <definedName name="L_PERIOD_2013_Q1">#REF!</definedName>
    <definedName name="L_PERIOD_2013_Q2">#REF!</definedName>
    <definedName name="L_PERIOD_2013_Q3">#REF!</definedName>
    <definedName name="L_PERIOD_2013_Q4">#REF!</definedName>
    <definedName name="L_PERIOD_2014">#REF!</definedName>
    <definedName name="L_PERIOD_2014_Q1">#REF!</definedName>
    <definedName name="L_PERIOD_2014_Q2">#REF!</definedName>
    <definedName name="L_PERIOD_2014_Q3">#REF!</definedName>
    <definedName name="L_PERIOD_2014_Q4">#REF!</definedName>
    <definedName name="L_PERIOD_2015">#REF!</definedName>
    <definedName name="L_PERIOD_2016">#REF!</definedName>
    <definedName name="L_SECTION_EQTY_200007558_1314">#REF!</definedName>
    <definedName name="L_SECTION_EQTY_200007558_1319">#REF!</definedName>
    <definedName name="L_SECTION_EQTY_200007558_131E">#REF!</definedName>
    <definedName name="L_SECTION_EQTY_200007558_131O">#REF!</definedName>
    <definedName name="L_SECTION_EQTY_200007558_13A">#REF!</definedName>
    <definedName name="L_SECTION_EQTY_200007558_13K">#REF!</definedName>
    <definedName name="L_SECTION_EQTY_200007558_13U">#REF!</definedName>
    <definedName name="L_SECTION_EQTY_200007558_13V">#REF!</definedName>
    <definedName name="L_SECTION_EQTY_200007558_13W">#REF!</definedName>
    <definedName name="L_SECTION_EQTY_200007558_Reference_Data">#REF!</definedName>
    <definedName name="L_SECTION_ISSR_208002922_1314">#REF!</definedName>
    <definedName name="L_SECTION_ISSR_208002922_13168">#REF!</definedName>
    <definedName name="L_SECTION_ISSR_208002922_1316S">#REF!</definedName>
    <definedName name="L_SECTION_ISSR_208002922_1316T">#REF!</definedName>
    <definedName name="L_SECTION_ISSR_208002922_1316U">#REF!</definedName>
    <definedName name="L_SECTION_ISSR_208002922_1319">#REF!</definedName>
    <definedName name="L_SECTION_ISSR_208002922_131E">#REF!</definedName>
    <definedName name="L_SECTION_ISSR_208002922_131J">#REF!</definedName>
    <definedName name="L_SECTION_ISSR_208002922_131O">#REF!</definedName>
    <definedName name="L_SECTION_ISSR_208002922_13A">#REF!</definedName>
    <definedName name="L_SECTION_ISSR_208002922_13U">#REF!</definedName>
    <definedName name="L_SECTION_ISSR_208002922_13V">#REF!</definedName>
    <definedName name="L_SECTION_ISSR_208002922_Reference_Data">#REF!</definedName>
    <definedName name="lands">#REF!</definedName>
    <definedName name="ltdebt">#REF!</definedName>
    <definedName name="ltdefinc">#REF!</definedName>
    <definedName name="netdebt">#REF!</definedName>
    <definedName name="netdebttocap">#REF!</definedName>
    <definedName name="netinc">#REF!</definedName>
    <definedName name="netlev">#REF!</definedName>
    <definedName name="opinc">#REF!</definedName>
    <definedName name="pensionadj">#REF!</definedName>
    <definedName name="pensiondebttocap">#REF!</definedName>
    <definedName name="pensionequity">#REF!</definedName>
    <definedName name="pensionexpense">#REF!</definedName>
    <definedName name="pensionshare">#REF!</definedName>
    <definedName name="pensionstatus">#REF!</definedName>
    <definedName name="pic">#REF!</definedName>
    <definedName name="ppe">#REF!</definedName>
    <definedName name="pretax">#REF!</definedName>
    <definedName name="_xlnm.Print_Area" localSheetId="6">'BS (2)'!$B$2:$CS$87</definedName>
    <definedName name="_xlnm.Print_Area" localSheetId="2">'Cash Flow'!$B$2:$CS$58</definedName>
    <definedName name="_xlnm.Print_Area" localSheetId="0">CFLO!#REF!</definedName>
    <definedName name="_xlnm.Print_Area" localSheetId="1">'Commercial Build up (2)'!$B$2:$W$133</definedName>
    <definedName name="_xlnm.Print_Area" localSheetId="7">'Data (2)'!$B$2:$CA$357</definedName>
    <definedName name="_xlnm.Print_Area" localSheetId="3">'End Market (2)'!$B$2:$CA$55</definedName>
    <definedName name="_xlnm.Print_Area" localSheetId="5">'IS (2)'!$B$2:$CS$72</definedName>
    <definedName name="_xlnm.Print_Area" localSheetId="4">'SEG (2)'!$B$2:$CS$159</definedName>
    <definedName name="_xlnm.Print_Area">#REF!</definedName>
    <definedName name="_xlnm.Print_Titles" localSheetId="7">'Data (2)'!$2:$3</definedName>
    <definedName name="q1.04">#REF!</definedName>
    <definedName name="q1.05">#REF!</definedName>
    <definedName name="q1.06">#REF!</definedName>
    <definedName name="q1.07">#REF!</definedName>
    <definedName name="q1.08">#REF!</definedName>
    <definedName name="q1.09">#REF!</definedName>
    <definedName name="q1.10">#REF!</definedName>
    <definedName name="q1.11">#REF!</definedName>
    <definedName name="q1.12">#REF!</definedName>
    <definedName name="Q1.13">#REF!</definedName>
    <definedName name="q1.14">#REF!</definedName>
    <definedName name="q1.15">#REF!</definedName>
    <definedName name="q1.16">#REF!</definedName>
    <definedName name="q1.17">#REF!</definedName>
    <definedName name="q1.18">#REF!</definedName>
    <definedName name="q1.19">#REF!</definedName>
    <definedName name="q1.20">'IS (2)'!$CL:$CL</definedName>
    <definedName name="q2.04">#REF!</definedName>
    <definedName name="q2.05">#REF!</definedName>
    <definedName name="q2.06">#REF!</definedName>
    <definedName name="q2.07">#REF!</definedName>
    <definedName name="q2.08">#REF!</definedName>
    <definedName name="q2.09">#REF!</definedName>
    <definedName name="q2.10">#REF!</definedName>
    <definedName name="q2.11">#REF!</definedName>
    <definedName name="q2.12">#REF!</definedName>
    <definedName name="Q2.13">#REF!</definedName>
    <definedName name="q2.14">#REF!</definedName>
    <definedName name="q2.15">#REF!</definedName>
    <definedName name="q2.16">#REF!</definedName>
    <definedName name="q2.17">#REF!</definedName>
    <definedName name="q2.18">#REF!</definedName>
    <definedName name="q2.19">#REF!</definedName>
    <definedName name="q2.20">'IS (2)'!$CM:$CM</definedName>
    <definedName name="q3.04">#REF!</definedName>
    <definedName name="q3.05">#REF!</definedName>
    <definedName name="q3.06">#REF!</definedName>
    <definedName name="q3.07">#REF!</definedName>
    <definedName name="q3.08">#REF!</definedName>
    <definedName name="q3.09">#REF!</definedName>
    <definedName name="q3.10">#REF!</definedName>
    <definedName name="q3.11">#REF!</definedName>
    <definedName name="q3.12">#REF!</definedName>
    <definedName name="Q3.13">#REF!</definedName>
    <definedName name="q3.14">#REF!</definedName>
    <definedName name="q3.15">#REF!</definedName>
    <definedName name="q3.16">#REF!</definedName>
    <definedName name="q3.17">#REF!</definedName>
    <definedName name="q3.18">#REF!</definedName>
    <definedName name="q3.19">#REF!</definedName>
    <definedName name="q3.20">'IS (2)'!$CN:$CN</definedName>
    <definedName name="q4.04">#REF!</definedName>
    <definedName name="q4.05">#REF!</definedName>
    <definedName name="q4.06">#REF!</definedName>
    <definedName name="q4.07">#REF!</definedName>
    <definedName name="q4.08">#REF!</definedName>
    <definedName name="q4.09">#REF!</definedName>
    <definedName name="q4.10">#REF!</definedName>
    <definedName name="q4.11">#REF!</definedName>
    <definedName name="q4.12">#REF!</definedName>
    <definedName name="Q4.13">#REF!</definedName>
    <definedName name="q4.14">#REF!</definedName>
    <definedName name="q4.15">#REF!</definedName>
    <definedName name="q4.16">#REF!</definedName>
    <definedName name="q4.17">#REF!</definedName>
    <definedName name="q4.18">#REF!</definedName>
    <definedName name="q4.19">#REF!</definedName>
    <definedName name="q4.20">'IS (2)'!$CO:$CO</definedName>
    <definedName name="rd">#REF!</definedName>
    <definedName name="re">#REF!</definedName>
    <definedName name="repurch" localSheetId="6">#REF!</definedName>
    <definedName name="repurch" localSheetId="1">#REF!</definedName>
    <definedName name="repurch" localSheetId="7">#REF!</definedName>
    <definedName name="repurch" localSheetId="5">#REF!</definedName>
    <definedName name="repurch">CFLO!$28:$28</definedName>
    <definedName name="ROIC">#REF!</definedName>
    <definedName name="sales">#REF!</definedName>
    <definedName name="sga">#REF!</definedName>
    <definedName name="shares">#REF!</definedName>
    <definedName name="sharesfd">#REF!</definedName>
    <definedName name="stdebt">#REF!</definedName>
    <definedName name="taxes">#REF!</definedName>
    <definedName name="taxrate">#REF!</definedName>
    <definedName name="totalassets">#REF!</definedName>
    <definedName name="treasury">#REF!</definedName>
    <definedName name="V_ALL_HXL">#REF!</definedName>
    <definedName name="V_ALL_HXL_">#REF!</definedName>
    <definedName name="V_ALL_KEYWORDS_TYPE_ScalarContributed_EQTY_200007558">#REF!,#REF!,#REF!,#REF!</definedName>
    <definedName name="V_ALL_KEYWORDS_TYPE_ScalarContributed_ISSR_208002922">#REF!,#REF!</definedName>
    <definedName name="V_ALL_KEYWORDS_TYPE_ScalarReference_EQTY_200007558">#REF!</definedName>
    <definedName name="V_ALL_KEYWORDS_TYPE_ScalarReference_ISSR_208002922">#REF!</definedName>
    <definedName name="V_ALL_KEYWORDS_TYPE_Vector_EQTY_200007558">#REF!,#REF!,#REF!,#REF!,#REF!,#REF!,#REF!</definedName>
    <definedName name="V_ALL_KEYWORDS_TYPE_Vector_ISSR_208002922">#REF!,#REF!,#REF!,#REF!,#REF!,#REF!,#REF!,#REF!,#REF!</definedName>
    <definedName name="V_ALL_SECTION_KEYWORDS_EQTY_200007558_1314">#REF!</definedName>
    <definedName name="V_ALL_SECTION_KEYWORDS_EQTY_200007558_1319">#REF!</definedName>
    <definedName name="V_ALL_SECTION_KEYWORDS_EQTY_200007558_131E">#REF!</definedName>
    <definedName name="V_ALL_SECTION_KEYWORDS_EQTY_200007558_131O">#REF!</definedName>
    <definedName name="V_ALL_SECTION_KEYWORDS_EQTY_200007558_13A">#REF!</definedName>
    <definedName name="V_ALL_SECTION_KEYWORDS_EQTY_200007558_13K">#REF!</definedName>
    <definedName name="V_ALL_SECTION_KEYWORDS_EQTY_200007558_13U">#REF!</definedName>
    <definedName name="V_ALL_SECTION_KEYWORDS_EQTY_200007558_13V">#REF!</definedName>
    <definedName name="V_ALL_SECTION_KEYWORDS_EQTY_200007558_13W">#REF!</definedName>
    <definedName name="V_ALL_SECTION_KEYWORDS_EQTY_200007558_Reference_Data">#REF!</definedName>
    <definedName name="V_ALL_SECTION_KEYWORDS_ISSR_208002922_1314">#REF!</definedName>
    <definedName name="V_ALL_SECTION_KEYWORDS_ISSR_208002922_13168">#REF!</definedName>
    <definedName name="V_ALL_SECTION_KEYWORDS_ISSR_208002922_1316S">#REF!</definedName>
    <definedName name="V_ALL_SECTION_KEYWORDS_ISSR_208002922_1316T">#REF!</definedName>
    <definedName name="V_ALL_SECTION_KEYWORDS_ISSR_208002922_1316U">#REF!</definedName>
    <definedName name="V_ALL_SECTION_KEYWORDS_ISSR_208002922_1319">#REF!</definedName>
    <definedName name="V_ALL_SECTION_KEYWORDS_ISSR_208002922_131E">#REF!</definedName>
    <definedName name="V_ALL_SECTION_KEYWORDS_ISSR_208002922_131J">#REF!</definedName>
    <definedName name="V_ALL_SECTION_KEYWORDS_ISSR_208002922_131O">#REF!</definedName>
    <definedName name="V_ALL_SECTION_KEYWORDS_ISSR_208002922_136E">#REF!,#REF!</definedName>
    <definedName name="V_ALL_SECTION_KEYWORDS_ISSR_208002922_13A">#REF!</definedName>
    <definedName name="V_ALL_SECTION_KEYWORDS_ISSR_208002922_13U">#REF!</definedName>
    <definedName name="V_ALL_SECTION_KEYWORDS_ISSR_208002922_13V">#REF!</definedName>
    <definedName name="V_ALL_SECTION_KEYWORDS_ISSR_208002922_Reference_Data">#REF!</definedName>
    <definedName name="V_ALL_SECTIONS_EQTY_200007558">#REF!,#REF!,#REF!,#REF!,#REF!,#REF!,#REF!,#REF!,#REF!,#REF!</definedName>
    <definedName name="V_CURRENCY_EQTY_200007558_PRI">#REF!</definedName>
    <definedName name="V_CURRENCY_EQTY_200007558_PUB">#REF!</definedName>
    <definedName name="V_CURRENCY_EQTY_200007558_REP">#REF!</definedName>
    <definedName name="V_CURRENCY_ISSR_208002922_REP">#REF!</definedName>
    <definedName name="V_KEYWORD_EQTY_200007558_AMER_CONVICTION">#REF!</definedName>
    <definedName name="V_KEYWORD_EQTY_200007558_AMER_LIST">#REF!</definedName>
    <definedName name="V_KEYWORD_EQTY_200007558_BETA_ANALYST">#REF!</definedName>
    <definedName name="V_KEYWORD_EQTY_200007558_BVPS">#REF!</definedName>
    <definedName name="V_KEYWORD_EQTY_200007558_BVPS_PUB">#REF!</definedName>
    <definedName name="V_KEYWORD_EQTY_200007558_CEEE_EPS">#REF!</definedName>
    <definedName name="V_KEYWORD_EQTY_200007558_CF_NI_PRE_PREF">#REF!</definedName>
    <definedName name="V_KEYWORD_EQTY_200007558_COMMON_DIV_PAID">#REF!</definedName>
    <definedName name="V_KEYWORD_EQTY_200007558_CURRENCY_ISO">#REF!</definedName>
    <definedName name="V_KEYWORD_EQTY_200007558_DILUTE_SHARES">#REF!</definedName>
    <definedName name="V_KEYWORD_EQTY_200007558_DPS">#REF!</definedName>
    <definedName name="V_KEYWORD_EQTY_200007558_DPS_PUB">#REF!</definedName>
    <definedName name="V_KEYWORD_EQTY_200007558_EBIT_PUB">#REF!</definedName>
    <definedName name="V_KEYWORD_EQTY_200007558_EBITDA_PUB">#REF!</definedName>
    <definedName name="V_KEYWORD_EQTY_200007558_EPS">#REF!</definedName>
    <definedName name="V_KEYWORD_EQTY_200007558_EPS_EX_ESO_B">#REF!</definedName>
    <definedName name="V_KEYWORD_EQTY_200007558_EPS_EX_ESO_D">#REF!</definedName>
    <definedName name="V_KEYWORD_EQTY_200007558_EPS_FUL_DIL">#REF!</definedName>
    <definedName name="V_KEYWORD_EQTY_200007558_EPS_POST_BASIC">#REF!</definedName>
    <definedName name="V_KEYWORD_EQTY_200007558_EPS_PUB">#REF!</definedName>
    <definedName name="V_KEYWORD_EQTY_200007558_EPS_PUB_EX_ESO">#REF!</definedName>
    <definedName name="V_KEYWORD_EQTY_200007558_EQ_PUB">#REF!</definedName>
    <definedName name="V_KEYWORD_EQTY_200007558_ESO_POST_TAX">#REF!</definedName>
    <definedName name="V_KEYWORD_EQTY_200007558_ESO_YEAR">#REF!</definedName>
    <definedName name="V_KEYWORD_EQTY_200007558_EV_ADJ_PUB">#REF!</definedName>
    <definedName name="V_KEYWORD_EQTY_200007558_FREE_FLOAT">#REF!</definedName>
    <definedName name="V_KEYWORD_EQTY_200007558_FULLY_DIL_EPS">#REF!</definedName>
    <definedName name="V_KEYWORD_EQTY_200007558_FV_GRANT">#REF!</definedName>
    <definedName name="V_KEYWORD_EQTY_200007558_INC_MINORITY">#REF!</definedName>
    <definedName name="V_KEYWORD_EQTY_200007558_Interim_Type">#REF!</definedName>
    <definedName name="V_KEYWORD_EQTY_200007558_LEGAL_RATING">#REF!</definedName>
    <definedName name="V_KEYWORD_EQTY_200007558_MARGIN_TAX_RATE">#REF!</definedName>
    <definedName name="V_KEYWORD_EQTY_200007558_MKT_EQ_RISK_PREM">#REF!</definedName>
    <definedName name="V_KEYWORD_EQTY_200007558_NET_DEBT_PUB">#REF!</definedName>
    <definedName name="V_KEYWORD_EQTY_200007558_NET_EARNING">#REF!</definedName>
    <definedName name="V_KEYWORD_EQTY_200007558_NET_INC">#REF!</definedName>
    <definedName name="V_KEYWORD_EQTY_200007558_NI_PRE_PREF">#REF!</definedName>
    <definedName name="V_KEYWORD_EQTY_200007558_NI_PUB">#REF!</definedName>
    <definedName name="V_KEYWORD_EQTY_200007558_NON_OP_ADD">#REF!</definedName>
    <definedName name="V_KEYWORD_EQTY_200007558_NUM_SH">#REF!</definedName>
    <definedName name="V_KEYWORD_EQTY_200007558_PREF_DIV">#REF!</definedName>
    <definedName name="V_KEYWORD_EQTY_200007558_PRICE_CURRENCY_ISO">#REF!</definedName>
    <definedName name="V_KEYWORD_EQTY_200007558_PROV_INC_TAX">#REF!</definedName>
    <definedName name="V_KEYWORD_EQTY_200007558_PTP_PUB">#REF!</definedName>
    <definedName name="V_KEYWORD_EQTY_200007558_PUB_CURRENCY_ISO">#REF!</definedName>
    <definedName name="V_KEYWORD_EQTY_200007558_REPUR_ACTUAL">#REF!</definedName>
    <definedName name="V_KEYWORD_EQTY_200007558_REPUR_REMAINING">#REF!</definedName>
    <definedName name="V_KEYWORD_EQTY_200007558_REPUR_SUSPENDED">#REF!</definedName>
    <definedName name="V_KEYWORD_EQTY_200007558_REPUR_TOT_AUTH">#REF!</definedName>
    <definedName name="V_KEYWORD_EQTY_200007558_REVS_PUB">#REF!</definedName>
    <definedName name="V_KEYWORD_EQTY_200007558_RISK_FR_RATE">#REF!</definedName>
    <definedName name="V_KEYWORD_EQTY_200007558_Security_Name">#REF!</definedName>
    <definedName name="V_KEYWORD_EQTY_200007558_SH">#REF!</definedName>
    <definedName name="V_KEYWORD_EQTY_200007558_TARGET_PRICE">#REF!</definedName>
    <definedName name="V_KEYWORD_EQTY_200007558_TAX_EXC">#REF!</definedName>
    <definedName name="V_KEYWORD_EQTY_200007558_Ticker">#REF!</definedName>
    <definedName name="V_KEYWORD_EQTY_200007558_TP_PERIOD">#REF!</definedName>
    <definedName name="V_KEYWORD_ISSR_208002922_ACC_AMORT">#REF!</definedName>
    <definedName name="V_KEYWORD_ISSR_208002922_ACC_DDA">#REF!</definedName>
    <definedName name="V_KEYWORD_ISSR_208002922_ACC_END_DATE">#REF!</definedName>
    <definedName name="V_KEYWORD_ISSR_208002922_ACC_PAY_GQ">#REF!</definedName>
    <definedName name="V_KEYWORD_ISSR_208002922_ACQ">#REF!</definedName>
    <definedName name="V_KEYWORD_ISSR_208002922_ADJ_UNF_PENS_GOOD">#REF!</definedName>
    <definedName name="V_KEYWORD_ISSR_208002922_ASSOC_JV_ADDBK">#REF!</definedName>
    <definedName name="V_KEYWORD_ISSR_208002922_ASSOCIATE">#REF!</definedName>
    <definedName name="V_KEYWORD_ISSR_208002922_ASSOCIATE_OP">#REF!</definedName>
    <definedName name="V_KEYWORD_ISSR_208002922_BAL_MINO_INT">#REF!</definedName>
    <definedName name="V_KEYWORD_ISSR_208002922_CAP_LEASES">#REF!</definedName>
    <definedName name="V_KEYWORD_ISSR_208002922_CAPEX">#REF!</definedName>
    <definedName name="V_KEYWORD_ISSR_208002922_CAPEX_EXPANSION">#REF!</definedName>
    <definedName name="V_KEYWORD_ISSR_208002922_CAPEX_MAINTENANCE">#REF!</definedName>
    <definedName name="V_KEYWORD_ISSR_208002922_CASH_EQ">#REF!</definedName>
    <definedName name="V_KEYWORD_ISSR_208002922_CASH_INT_EXP">#REF!</definedName>
    <definedName name="V_KEYWORD_ISSR_208002922_CASH_PCT_OS_US">#REF!</definedName>
    <definedName name="V_KEYWORD_ISSR_208002922_CASH_TAX_EXP">#REF!</definedName>
    <definedName name="V_KEYWORD_ISSR_208002922_CF_FIN">#REF!</definedName>
    <definedName name="V_KEYWORD_ISSR_208002922_CF_INC_MINORITY">#REF!</definedName>
    <definedName name="V_KEYWORD_ISSR_208002922_CF_INV">#REF!</definedName>
    <definedName name="V_KEYWORD_ISSR_208002922_CF_OPS">#REF!</definedName>
    <definedName name="V_KEYWORD_ISSR_208002922_CHG_LT_DEBT">#REF!</definedName>
    <definedName name="V_KEYWORD_ISSR_208002922_CO_BOR_MARGIN">#REF!</definedName>
    <definedName name="V_KEYWORD_ISSR_208002922_COST_GD_SD">#REF!</definedName>
    <definedName name="V_KEYWORD_ISSR_208002922_CUR_ASS">#REF!</definedName>
    <definedName name="V_KEYWORD_ISSR_208002922_CURRENCY_ISO">#REF!</definedName>
    <definedName name="V_KEYWORD_ISSR_208002922_DEBTORS">#REF!</definedName>
    <definedName name="V_KEYWORD_ISSR_208002922_DEF_INC_TAX">#REF!</definedName>
    <definedName name="V_KEYWORD_ISSR_208002922_DEPR_AMORT">#REF!</definedName>
    <definedName name="V_KEYWORD_ISSR_208002922_DEPREC">#REF!</definedName>
    <definedName name="V_KEYWORD_ISSR_208002922_DIV_PAID">#REF!</definedName>
    <definedName name="V_KEYWORD_ISSR_208002922_DIVDS_ASSOC_JV">#REF!</definedName>
    <definedName name="V_KEYWORD_ISSR_208002922_DIVDS_PD_MINORITIES">#REF!</definedName>
    <definedName name="V_KEYWORD_ISSR_208002922_DIVEST">#REF!</definedName>
    <definedName name="V_KEYWORD_ISSR_208002922_EBIT">#REF!</definedName>
    <definedName name="V_KEYWORD_ISSR_208002922_EBIT_FIN_SEGMENT">#REF!</definedName>
    <definedName name="V_KEYWORD_ISSR_208002922_EBITDA_CALC">#REF!</definedName>
    <definedName name="V_KEYWORD_ISSR_208002922_EMPLOYEES">#REF!</definedName>
    <definedName name="V_KEYWORD_ISSR_208002922_EQ">#REF!</definedName>
    <definedName name="V_KEYWORD_ISSR_208002922_ESO_PRE_TAX">#REF!</definedName>
    <definedName name="V_KEYWORD_ISSR_208002922_EXP_ALUMINIUM">#REF!</definedName>
    <definedName name="V_KEYWORD_ISSR_208002922_EXP_COPPER">#REF!</definedName>
    <definedName name="V_KEYWORD_ISSR_208002922_EXP_GLASS">#REF!</definedName>
    <definedName name="V_KEYWORD_ISSR_208002922_EXP_GOLD">#REF!</definedName>
    <definedName name="V_KEYWORD_ISSR_208002922_EXP_NAT_GAS">#REF!</definedName>
    <definedName name="V_KEYWORD_ISSR_208002922_EXP_NICKEL">#REF!</definedName>
    <definedName name="V_KEYWORD_ISSR_208002922_EXP_OIL_DERIV_NGLS_PLASTICS">#REF!</definedName>
    <definedName name="V_KEYWORD_ISSR_208002922_EXP_OIL_PETRO_FUEL">#REF!</definedName>
    <definedName name="V_KEYWORD_ISSR_208002922_EXP_OTH_COMMODITY">#REF!</definedName>
    <definedName name="V_KEYWORD_ISSR_208002922_EXP_OTH_COST">#REF!</definedName>
    <definedName name="V_KEYWORD_ISSR_208002922_EXP_PALLADIUM">#REF!</definedName>
    <definedName name="V_KEYWORD_ISSR_208002922_EXP_PLATINUM">#REF!</definedName>
    <definedName name="V_KEYWORD_ISSR_208002922_EXP_RUBBER">#REF!</definedName>
    <definedName name="V_KEYWORD_ISSR_208002922_EXP_SILVER">#REF!</definedName>
    <definedName name="V_KEYWORD_ISSR_208002922_EXP_STEEL">#REF!</definedName>
    <definedName name="V_KEYWORD_ISSR_208002922_EXP_WATER">#REF!</definedName>
    <definedName name="V_KEYWORD_ISSR_208002922_EXP_ZINC">#REF!</definedName>
    <definedName name="V_KEYWORD_ISSR_208002922_FIX_ASS_INV">#REF!</definedName>
    <definedName name="V_KEYWORD_ISSR_208002922_GCI_INFL">#REF!</definedName>
    <definedName name="V_KEYWORD_ISSR_208002922_GOODWILL_AMORT">#REF!</definedName>
    <definedName name="V_KEYWORD_ISSR_208002922_GR_FIX_ASS">#REF!</definedName>
    <definedName name="V_KEYWORD_ISSR_208002922_GR_INTANG">#REF!</definedName>
    <definedName name="V_KEYWORD_ISSR_208002922_INT_EXP_IND">#REF!</definedName>
    <definedName name="V_KEYWORD_ISSR_208002922_INT_INC_IND">#REF!</definedName>
    <definedName name="V_KEYWORD_ISSR_208002922_INV_SECUR">#REF!</definedName>
    <definedName name="V_KEYWORD_ISSR_208002922_Issuer_Name">#REF!</definedName>
    <definedName name="V_KEYWORD_ISSR_208002922_LEASE_DEEM_DEPR">#REF!</definedName>
    <definedName name="V_KEYWORD_ISSR_208002922_LEASE_DEEM_INT">#REF!</definedName>
    <definedName name="V_KEYWORD_ISSR_208002922_LEASE_PAY">#REF!</definedName>
    <definedName name="V_KEYWORD_ISSR_208002922_LT_DEBT">#REF!</definedName>
    <definedName name="V_KEYWORD_ISSR_208002922_MA_PROB">#REF!</definedName>
    <definedName name="V_KEYWORD_ISSR_208002922_MINORITIES">#REF!</definedName>
    <definedName name="V_KEYWORD_ISSR_208002922_MV_ASSOCIATES">#REF!</definedName>
    <definedName name="V_KEYWORD_ISSR_208002922_NET_DEBT">#REF!</definedName>
    <definedName name="V_KEYWORD_ISSR_208002922_NET_DEBT_ADJ">#REF!</definedName>
    <definedName name="V_KEYWORD_ISSR_208002922_NET_FIX_ASS">#REF!</definedName>
    <definedName name="V_KEYWORD_ISSR_208002922_NET_INT_CH">#REF!</definedName>
    <definedName name="V_KEYWORD_ISSR_208002922_NET_INT_EXP">#REF!</definedName>
    <definedName name="V_KEYWORD_ISSR_208002922_NET_INTANG">#REF!</definedName>
    <definedName name="V_KEYWORD_ISSR_208002922_NONPPE_CAPEX">#REF!</definedName>
    <definedName name="V_KEYWORD_ISSR_208002922_OP_COST">#REF!</definedName>
    <definedName name="V_KEYWORD_ISSR_208002922_ORD_SH_FUND">#REF!</definedName>
    <definedName name="V_KEYWORD_ISSR_208002922_OTH_COST_INC">#REF!</definedName>
    <definedName name="V_KEYWORD_ISSR_208002922_OTH_CUR_ASS">#REF!</definedName>
    <definedName name="V_KEYWORD_ISSR_208002922_OTH_CUR_LIABS">#REF!</definedName>
    <definedName name="V_KEYWORD_ISSR_208002922_OTH_DACF_ADJ">#REF!</definedName>
    <definedName name="V_KEYWORD_ISSR_208002922_OTH_FIN_CF">#REF!</definedName>
    <definedName name="V_KEYWORD_ISSR_208002922_OTH_GCI_ADJ">#REF!</definedName>
    <definedName name="V_KEYWORD_ISSR_208002922_OTH_INV_CF">#REF!</definedName>
    <definedName name="V_KEYWORD_ISSR_208002922_OTH_LT_ASS">#REF!</definedName>
    <definedName name="V_KEYWORD_ISSR_208002922_OTH_LT_CRED_GQ">#REF!</definedName>
    <definedName name="V_KEYWORD_ISSR_208002922_OTH_NONCASH_ADJ">#REF!</definedName>
    <definedName name="V_KEYWORD_ISSR_208002922_OTH_OP_CF">#REF!</definedName>
    <definedName name="V_KEYWORD_ISSR_208002922_OTH_OP_INC_EXP">#REF!</definedName>
    <definedName name="V_KEYWORD_ISSR_208002922_PERIOD_MILESTONE">#REF!</definedName>
    <definedName name="V_KEYWORD_ISSR_208002922_PL_SALE_ASSETS">#REF!</definedName>
    <definedName name="V_KEYWORD_ISSR_208002922_PREF_SH">#REF!</definedName>
    <definedName name="V_KEYWORD_ISSR_208002922_PROFIT_ON_DISP">#REF!</definedName>
    <definedName name="V_KEYWORD_ISSR_208002922_PT_PROF">#REF!</definedName>
    <definedName name="V_KEYWORD_ISSR_208002922_RD_EXP">#REF!</definedName>
    <definedName name="V_KEYWORD_ISSR_208002922_REV_FIN_SEGMENT">#REF!</definedName>
    <definedName name="V_KEYWORD_ISSR_208002922_SALES">#REF!</definedName>
    <definedName name="V_KEYWORD_ISSR_208002922_SALES_ARGENTINA">#REF!</definedName>
    <definedName name="V_KEYWORD_ISSR_208002922_SALES_BRAZIL">#REF!</definedName>
    <definedName name="V_KEYWORD_ISSR_208002922_SALES_CANADA">#REF!</definedName>
    <definedName name="V_KEYWORD_ISSR_208002922_SALES_CEE">#REF!</definedName>
    <definedName name="V_KEYWORD_ISSR_208002922_SALES_CHILE">#REF!</definedName>
    <definedName name="V_KEYWORD_ISSR_208002922_SALES_CHINA">#REF!</definedName>
    <definedName name="V_KEYWORD_ISSR_208002922_SALES_COLOMBIA">#REF!</definedName>
    <definedName name="V_KEYWORD_ISSR_208002922_SALES_CONS">#REF!</definedName>
    <definedName name="V_KEYWORD_ISSR_208002922_SALES_EU_EX_UK">#REF!</definedName>
    <definedName name="V_KEYWORD_ISSR_208002922_SALES_FINAN">#REF!</definedName>
    <definedName name="V_KEYWORD_ISSR_208002922_SALES_FX_ARS">#REF!</definedName>
    <definedName name="V_KEYWORD_ISSR_208002922_SALES_FX_BRL">#REF!</definedName>
    <definedName name="V_KEYWORD_ISSR_208002922_SALES_FX_CAD">#REF!</definedName>
    <definedName name="V_KEYWORD_ISSR_208002922_SALES_FX_CLP">#REF!</definedName>
    <definedName name="V_KEYWORD_ISSR_208002922_SALES_FX_CNY">#REF!</definedName>
    <definedName name="V_KEYWORD_ISSR_208002922_SALES_FX_COP">#REF!</definedName>
    <definedName name="V_KEYWORD_ISSR_208002922_SALES_FX_EUR">#REF!</definedName>
    <definedName name="V_KEYWORD_ISSR_208002922_SALES_FX_GPB">#REF!</definedName>
    <definedName name="V_KEYWORD_ISSR_208002922_SALES_FX_INR">#REF!</definedName>
    <definedName name="V_KEYWORD_ISSR_208002922_SALES_FX_MXN">#REF!</definedName>
    <definedName name="V_KEYWORD_ISSR_208002922_SALES_FX_OTH">#REF!</definedName>
    <definedName name="V_KEYWORD_ISSR_208002922_SALES_FX_RUB">#REF!</definedName>
    <definedName name="V_KEYWORD_ISSR_208002922_SALES_FX_USD">#REF!</definedName>
    <definedName name="V_KEYWORD_ISSR_208002922_SALES_FX_VEF">#REF!</definedName>
    <definedName name="V_KEYWORD_ISSR_208002922_SALES_FX_YEN">#REF!</definedName>
    <definedName name="V_KEYWORD_ISSR_208002922_SALES_GOV">#REF!</definedName>
    <definedName name="V_KEYWORD_ISSR_208002922_SALES_IND">#REF!</definedName>
    <definedName name="V_KEYWORD_ISSR_208002922_SALES_INDIA">#REF!</definedName>
    <definedName name="V_KEYWORD_ISSR_208002922_SALES_JAPAN">#REF!</definedName>
    <definedName name="V_KEYWORD_ISSR_208002922_SALES_ME">#REF!</definedName>
    <definedName name="V_KEYWORD_ISSR_208002922_SALES_MEXICO">#REF!</definedName>
    <definedName name="V_KEYWORD_ISSR_208002922_SALES_OTH_AEJ">#REF!</definedName>
    <definedName name="V_KEYWORD_ISSR_208002922_SALES_OTH_AM">#REF!</definedName>
    <definedName name="V_KEYWORD_ISSR_208002922_SALES_OTH_COMMODITY">#REF!</definedName>
    <definedName name="V_KEYWORD_ISSR_208002922_SALES_OTH_EMEA">#REF!</definedName>
    <definedName name="V_KEYWORD_ISSR_208002922_SALES_OTH_SALES_SOURCES">#REF!</definedName>
    <definedName name="V_KEYWORD_ISSR_208002922_SALES_OTHER">#REF!</definedName>
    <definedName name="V_KEYWORD_ISSR_208002922_SALES_RUSSIA">#REF!</definedName>
    <definedName name="V_KEYWORD_ISSR_208002922_SALES_SMB">#REF!</definedName>
    <definedName name="V_KEYWORD_ISSR_208002922_SALES_TOT_AFRICA">#REF!</definedName>
    <definedName name="V_KEYWORD_ISSR_208002922_SALES_TOT_AM">#REF!</definedName>
    <definedName name="V_KEYWORD_ISSR_208002922_SALES_TOT_ASIA">#REF!</definedName>
    <definedName name="V_KEYWORD_ISSR_208002922_SALES_TOT_EMEA">#REF!</definedName>
    <definedName name="V_KEYWORD_ISSR_208002922_SALES_UK">#REF!</definedName>
    <definedName name="V_KEYWORD_ISSR_208002922_SALES_US">#REF!</definedName>
    <definedName name="V_KEYWORD_ISSR_208002922_SALES_VENEZUELA">#REF!</definedName>
    <definedName name="V_KEYWORD_ISSR_208002922_SEL_GL_AD">#REF!</definedName>
    <definedName name="V_KEYWORD_ISSR_208002922_SH_REPUR">#REF!</definedName>
    <definedName name="V_KEYWORD_ISSR_208002922_SHORT_T_DEBT">#REF!</definedName>
    <definedName name="V_KEYWORD_ISSR_208002922_SHORT_TERM_LIABS">#REF!</definedName>
    <definedName name="V_KEYWORD_ISSR_208002922_STOCKS">#REF!</definedName>
    <definedName name="V_KEYWORD_ISSR_208002922_TOT_ASSET">#REF!</definedName>
    <definedName name="V_KEYWORD_ISSR_208002922_TOT_CF">#REF!</definedName>
    <definedName name="V_KEYWORD_ISSR_208002922_TOT_LIAB">#REF!</definedName>
    <definedName name="V_KEYWORD_ISSR_208002922_TOT_LIAB_EQ">#REF!</definedName>
    <definedName name="V_KEYWORD_ISSR_208002922_TOT_LT_LIAB">#REF!</definedName>
    <definedName name="V_KEYWORD_ISSR_208002922_TOT_OPS_EXP">#REF!</definedName>
    <definedName name="V_KEYWORD_ISSR_208002922_TOT_OPS_EXP_DDA">#REF!</definedName>
    <definedName name="V_KEYWORD_ISSR_208002922_UNF_PENS">#REF!</definedName>
    <definedName name="V_KEYWORD_ISSR_208002922_UNF_PENS_LIAB_OTH">#REF!</definedName>
    <definedName name="V_KEYWORD_ISSR_208002922_UNF_PENS_OFF">#REF!</definedName>
    <definedName name="V_KEYWORD_ISSR_208002922_WORK_CAP">#REF!</definedName>
    <definedName name="V_LIVEDATA_EQTY_200007558">#REF!</definedName>
    <definedName name="V_LIVEDATA_ISSR_208002922">#REF!</definedName>
    <definedName name="V_PERIOD_1996">#REF!</definedName>
    <definedName name="V_PERIOD_1997">#REF!</definedName>
    <definedName name="V_PERIOD_1998">#REF!</definedName>
    <definedName name="V_PERIOD_1999">#REF!</definedName>
    <definedName name="V_PERIOD_2000">#REF!</definedName>
    <definedName name="V_PERIOD_2001">#REF!</definedName>
    <definedName name="V_PERIOD_2002">#REF!</definedName>
    <definedName name="V_PERIOD_2003">#REF!</definedName>
    <definedName name="V_PERIOD_2003_Q1">#REF!</definedName>
    <definedName name="V_PERIOD_2003_Q2">#REF!</definedName>
    <definedName name="V_PERIOD_2003_Q3">#REF!</definedName>
    <definedName name="V_PERIOD_2003_Q4">#REF!</definedName>
    <definedName name="V_PERIOD_2004">#REF!</definedName>
    <definedName name="V_PERIOD_2004_Q1">#REF!</definedName>
    <definedName name="V_PERIOD_2004_Q2">#REF!</definedName>
    <definedName name="V_PERIOD_2004_Q3">#REF!</definedName>
    <definedName name="V_PERIOD_2004_Q4">#REF!</definedName>
    <definedName name="V_PERIOD_2005">#REF!</definedName>
    <definedName name="V_PERIOD_2005_Q1">#REF!</definedName>
    <definedName name="V_PERIOD_2005_Q2">#REF!</definedName>
    <definedName name="V_PERIOD_2005_Q3">#REF!</definedName>
    <definedName name="V_PERIOD_2005_Q4">#REF!</definedName>
    <definedName name="V_PERIOD_2006">#REF!</definedName>
    <definedName name="V_PERIOD_2006_Q1">#REF!</definedName>
    <definedName name="V_PERIOD_2006_Q2">#REF!</definedName>
    <definedName name="V_PERIOD_2006_Q3">#REF!</definedName>
    <definedName name="V_PERIOD_2006_Q4">#REF!</definedName>
    <definedName name="V_PERIOD_2007">#REF!</definedName>
    <definedName name="V_PERIOD_2007_Q1">#REF!</definedName>
    <definedName name="V_PERIOD_2007_Q2">#REF!</definedName>
    <definedName name="V_PERIOD_2007_Q3">#REF!</definedName>
    <definedName name="V_PERIOD_2007_Q4">#REF!</definedName>
    <definedName name="V_PERIOD_2008">#REF!</definedName>
    <definedName name="V_PERIOD_2008_Q1">#REF!</definedName>
    <definedName name="V_PERIOD_2008_Q2">#REF!</definedName>
    <definedName name="V_PERIOD_2008_Q3">#REF!</definedName>
    <definedName name="V_PERIOD_2008_Q4">#REF!</definedName>
    <definedName name="V_PERIOD_2009">#REF!</definedName>
    <definedName name="V_PERIOD_2009_Q1">#REF!</definedName>
    <definedName name="V_PERIOD_2009_Q2">#REF!</definedName>
    <definedName name="V_PERIOD_2009_Q3">#REF!</definedName>
    <definedName name="V_PERIOD_2009_Q4">#REF!</definedName>
    <definedName name="V_PERIOD_2010">#REF!</definedName>
    <definedName name="V_PERIOD_2010_Q1">#REF!</definedName>
    <definedName name="V_PERIOD_2010_Q2">#REF!</definedName>
    <definedName name="V_PERIOD_2010_Q3">#REF!</definedName>
    <definedName name="V_PERIOD_2010_Q4">#REF!</definedName>
    <definedName name="V_PERIOD_2011">#REF!</definedName>
    <definedName name="V_PERIOD_2011_Q1">#REF!</definedName>
    <definedName name="V_PERIOD_2011_Q2">#REF!</definedName>
    <definedName name="V_PERIOD_2011_Q3">#REF!</definedName>
    <definedName name="V_PERIOD_2011_Q4">#REF!</definedName>
    <definedName name="V_PERIOD_2012">#REF!</definedName>
    <definedName name="V_PERIOD_2012_Q1">#REF!</definedName>
    <definedName name="V_PERIOD_2012_Q2">#REF!</definedName>
    <definedName name="V_PERIOD_2012_Q3">#REF!</definedName>
    <definedName name="V_PERIOD_2012_Q4">#REF!</definedName>
    <definedName name="V_PERIOD_2013">#REF!</definedName>
    <definedName name="V_PERIOD_2013_Q1">#REF!</definedName>
    <definedName name="V_PERIOD_2013_Q2">#REF!</definedName>
    <definedName name="V_PERIOD_2013_Q3">#REF!</definedName>
    <definedName name="V_PERIOD_2013_Q4">#REF!</definedName>
    <definedName name="V_PERIOD_2014">#REF!</definedName>
    <definedName name="V_PERIOD_2014_Q1">#REF!</definedName>
    <definedName name="V_PERIOD_2014_Q2">#REF!</definedName>
    <definedName name="V_PERIOD_2014_Q3">#REF!</definedName>
    <definedName name="V_PERIOD_2014_Q4">#REF!</definedName>
    <definedName name="V_PERIOD_2015">#REF!</definedName>
    <definedName name="V_PERIOD_2016">#REF!</definedName>
    <definedName name="V_SECTION_EQTY_200007558_1314">#REF!</definedName>
    <definedName name="V_SECTION_EQTY_200007558_1319">#REF!</definedName>
    <definedName name="V_SECTION_EQTY_200007558_131E">#REF!</definedName>
    <definedName name="V_SECTION_EQTY_200007558_131O">#REF!</definedName>
    <definedName name="V_SECTION_EQTY_200007558_13A">#REF!</definedName>
    <definedName name="V_SECTION_EQTY_200007558_13K">#REF!</definedName>
    <definedName name="V_SECTION_EQTY_200007558_13U">#REF!</definedName>
    <definedName name="V_SECTION_EQTY_200007558_13V">#REF!</definedName>
    <definedName name="V_SECTION_EQTY_200007558_13W">#REF!</definedName>
    <definedName name="V_SECTION_EQTY_200007558_Reference_Data">#REF!</definedName>
    <definedName name="V_SECTION_ISSR_208002922_1314">#REF!</definedName>
    <definedName name="V_SECTION_ISSR_208002922_13168">#REF!</definedName>
    <definedName name="V_SECTION_ISSR_208002922_1316S">#REF!</definedName>
    <definedName name="V_SECTION_ISSR_208002922_1316T">#REF!</definedName>
    <definedName name="V_SECTION_ISSR_208002922_1316U">#REF!</definedName>
    <definedName name="V_SECTION_ISSR_208002922_1319">#REF!</definedName>
    <definedName name="V_SECTION_ISSR_208002922_131E">#REF!</definedName>
    <definedName name="V_SECTION_ISSR_208002922_131J">#REF!</definedName>
    <definedName name="V_SECTION_ISSR_208002922_131O">#REF!</definedName>
    <definedName name="V_SECTION_ISSR_208002922_13A">#REF!</definedName>
    <definedName name="V_SECTION_ISSR_208002922_13U">#REF!</definedName>
    <definedName name="V_SECTION_ISSR_208002922_13V">#REF!</definedName>
    <definedName name="V_SECTION_ISSR_208002922_Reference_Data">#REF!</definedName>
    <definedName name="wc" localSheetId="6">#REF!</definedName>
    <definedName name="wc" localSheetId="1">#REF!</definedName>
    <definedName name="wc" localSheetId="7">#REF!</definedName>
    <definedName name="wc" localSheetId="5">#REF!</definedName>
    <definedName name="wc">CFLO!$13:$13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32" i="45" l="1"/>
  <c r="DB143" i="45"/>
  <c r="DD132" i="45"/>
  <c r="DB132" i="45"/>
  <c r="CZ132" i="45"/>
  <c r="CL35" i="45"/>
  <c r="CK35" i="45"/>
  <c r="CJ35" i="45"/>
  <c r="CI35" i="45"/>
  <c r="CH35" i="45"/>
  <c r="CG35" i="45"/>
  <c r="CF35" i="45"/>
  <c r="CE35" i="45"/>
  <c r="CD35" i="45"/>
  <c r="CC35" i="45"/>
  <c r="CB35" i="45"/>
  <c r="BZ35" i="45"/>
  <c r="BY35" i="45"/>
  <c r="BX35" i="45"/>
  <c r="BW35" i="45"/>
  <c r="BU35" i="45"/>
  <c r="BT35" i="45"/>
  <c r="BS35" i="45"/>
  <c r="BR35" i="45"/>
  <c r="BP35" i="45"/>
  <c r="BO35" i="45"/>
  <c r="BN35" i="45"/>
  <c r="BM35" i="45"/>
  <c r="BK35" i="45"/>
  <c r="BJ35" i="45"/>
  <c r="BI35" i="45"/>
  <c r="BH35" i="45"/>
  <c r="BF35" i="45"/>
  <c r="BE35" i="45"/>
  <c r="BD35" i="45"/>
  <c r="BC35" i="45"/>
  <c r="BA35" i="45"/>
  <c r="AZ35" i="45"/>
  <c r="AY35" i="45"/>
  <c r="AX35" i="45"/>
  <c r="AW35" i="45"/>
  <c r="AV35" i="45"/>
  <c r="AU35" i="45"/>
  <c r="AT35" i="45"/>
  <c r="AS35" i="45"/>
  <c r="AQ35" i="45"/>
  <c r="AP35" i="45"/>
  <c r="AO35" i="45"/>
  <c r="AN35" i="45"/>
  <c r="AL35" i="45"/>
  <c r="AK35" i="45"/>
  <c r="AJ35" i="45"/>
  <c r="AI35" i="45"/>
  <c r="AG35" i="45"/>
  <c r="AF35" i="45"/>
  <c r="AE35" i="45"/>
  <c r="AD35" i="45"/>
  <c r="AB35" i="45"/>
  <c r="AA35" i="45"/>
  <c r="Z35" i="45"/>
  <c r="Y35" i="45"/>
  <c r="W35" i="45"/>
  <c r="V35" i="45"/>
  <c r="U35" i="45"/>
  <c r="T35" i="45"/>
  <c r="S35" i="45"/>
  <c r="R35" i="45"/>
  <c r="Q35" i="45"/>
  <c r="P35" i="45"/>
  <c r="O35" i="45"/>
  <c r="M35" i="45"/>
  <c r="L35" i="45"/>
  <c r="K35" i="45"/>
  <c r="J35" i="45"/>
  <c r="I35" i="45"/>
  <c r="H35" i="45"/>
  <c r="G35" i="45"/>
  <c r="F35" i="45"/>
  <c r="E35" i="45"/>
  <c r="D35" i="45"/>
  <c r="C35" i="45"/>
  <c r="DB144" i="45" l="1"/>
  <c r="DB145" i="45" s="1"/>
  <c r="DB141" i="45"/>
  <c r="DB140" i="45"/>
  <c r="DB139" i="45"/>
  <c r="DB134" i="45"/>
  <c r="BR181" i="47" l="1"/>
  <c r="BW181" i="47" s="1"/>
  <c r="CB181" i="47" s="1"/>
  <c r="BS181" i="47"/>
  <c r="BT181" i="47"/>
  <c r="BU181" i="47"/>
  <c r="BZ181" i="47" s="1"/>
  <c r="CE181" i="47" s="1"/>
  <c r="BX181" i="47"/>
  <c r="CC181" i="47" s="1"/>
  <c r="BY181" i="47"/>
  <c r="CD181" i="47" s="1"/>
  <c r="BQ181" i="47"/>
  <c r="BV181" i="47" s="1"/>
  <c r="CA181" i="47" s="1"/>
  <c r="CF181" i="47" s="1"/>
  <c r="DB107" i="44"/>
  <c r="DC107" i="44" s="1"/>
  <c r="DD107" i="44" s="1"/>
  <c r="DE107" i="44" s="1"/>
  <c r="DF107" i="44" s="1"/>
  <c r="DG107" i="44" s="1"/>
  <c r="DH107" i="44" s="1"/>
  <c r="DA107" i="44"/>
  <c r="DD102" i="44"/>
  <c r="DD99" i="44"/>
  <c r="DD98" i="44"/>
  <c r="DD95" i="44"/>
  <c r="DD96" i="44" s="1"/>
  <c r="DB96" i="44"/>
  <c r="DB100" i="44" s="1"/>
  <c r="DB103" i="44" s="1"/>
  <c r="CZ96" i="44"/>
  <c r="CZ100" i="44" s="1"/>
  <c r="CZ103" i="44" s="1"/>
  <c r="DB95" i="44"/>
  <c r="DA95" i="44" s="1"/>
  <c r="DA96" i="44" s="1"/>
  <c r="DA98" i="44"/>
  <c r="DA99" i="44"/>
  <c r="DA100" i="44" s="1"/>
  <c r="DA103" i="44" s="1"/>
  <c r="DD100" i="44" l="1"/>
  <c r="DD103" i="44" l="1"/>
  <c r="C19" i="45" l="1"/>
  <c r="D19" i="45"/>
  <c r="E19" i="45"/>
  <c r="F19" i="45"/>
  <c r="G19" i="45"/>
  <c r="H19" i="45"/>
  <c r="I19" i="45"/>
  <c r="J19" i="45"/>
  <c r="K19" i="45"/>
  <c r="L19" i="45"/>
  <c r="O19" i="45"/>
  <c r="P19" i="45"/>
  <c r="Q19" i="45"/>
  <c r="T19" i="45"/>
  <c r="U19" i="45"/>
  <c r="V19" i="45"/>
  <c r="Z19" i="45"/>
  <c r="AD19" i="45"/>
  <c r="AE19" i="45"/>
  <c r="AF19" i="45"/>
  <c r="AI19" i="45"/>
  <c r="AJ19" i="45"/>
  <c r="AK19" i="45"/>
  <c r="AL19" i="45"/>
  <c r="AN19" i="45"/>
  <c r="AO19" i="45"/>
  <c r="AP19" i="45"/>
  <c r="AS19" i="45"/>
  <c r="AT19" i="45"/>
  <c r="AX19" i="45"/>
  <c r="AY19" i="45"/>
  <c r="AZ19" i="45"/>
  <c r="BA19" i="45"/>
  <c r="BC19" i="45"/>
  <c r="BD19" i="45"/>
  <c r="BE19" i="45"/>
  <c r="BF19" i="45"/>
  <c r="BH19" i="45"/>
  <c r="BL19" i="45" s="1"/>
  <c r="BM19" i="45"/>
  <c r="BN19" i="45"/>
  <c r="BO19" i="45"/>
  <c r="BR19" i="45"/>
  <c r="BS19" i="45"/>
  <c r="BW19" i="45"/>
  <c r="BX19" i="45"/>
  <c r="BY19" i="45"/>
  <c r="BZ19" i="45"/>
  <c r="CB19" i="45"/>
  <c r="CF19" i="45" s="1"/>
  <c r="CK19" i="45"/>
  <c r="CP19" i="45"/>
  <c r="BV19" i="45" l="1"/>
  <c r="BQ19" i="45"/>
  <c r="AW19" i="45"/>
  <c r="CA19" i="45"/>
  <c r="BB19" i="45"/>
  <c r="BG19" i="45"/>
  <c r="AM19" i="45"/>
  <c r="DN78" i="45"/>
  <c r="DO78" i="45"/>
  <c r="DP78" i="45"/>
  <c r="DM78" i="45"/>
  <c r="DN73" i="45"/>
  <c r="DO73" i="45" s="1"/>
  <c r="DP73" i="45" s="1"/>
  <c r="DQ73" i="45" s="1"/>
  <c r="DR73" i="45" s="1"/>
  <c r="DS73" i="45" s="1"/>
  <c r="DT73" i="45" s="1"/>
  <c r="DU73" i="45" s="1"/>
  <c r="CZ78" i="45" l="1"/>
  <c r="CZ79" i="45" s="1"/>
  <c r="CT27" i="44"/>
  <c r="R9" i="48" l="1"/>
  <c r="S9" i="48"/>
  <c r="S32" i="48" s="1"/>
  <c r="T9" i="48"/>
  <c r="T32" i="48" s="1"/>
  <c r="U9" i="48"/>
  <c r="U32" i="48" s="1"/>
  <c r="V9" i="48"/>
  <c r="W9" i="48"/>
  <c r="W32" i="48" s="1"/>
  <c r="X9" i="48"/>
  <c r="X32" i="48" s="1"/>
  <c r="Y9" i="48"/>
  <c r="Y10" i="48" s="1"/>
  <c r="Z9" i="48"/>
  <c r="AA9" i="48"/>
  <c r="AA10" i="48" s="1"/>
  <c r="AB9" i="48"/>
  <c r="AB32" i="48" s="1"/>
  <c r="AC9" i="48"/>
  <c r="AC10" i="48" s="1"/>
  <c r="R10" i="48"/>
  <c r="S10" i="48"/>
  <c r="T10" i="48"/>
  <c r="U10" i="48"/>
  <c r="V10" i="48"/>
  <c r="W10" i="48"/>
  <c r="X10" i="48"/>
  <c r="Z10" i="48"/>
  <c r="R12" i="48"/>
  <c r="S12" i="48"/>
  <c r="T12" i="48"/>
  <c r="U12" i="48"/>
  <c r="V12" i="48"/>
  <c r="W12" i="48"/>
  <c r="X12" i="48"/>
  <c r="Y12" i="48"/>
  <c r="Z12" i="48"/>
  <c r="AA12" i="48"/>
  <c r="AB12" i="48"/>
  <c r="AB29" i="48" s="1"/>
  <c r="AC12" i="48"/>
  <c r="R14" i="48"/>
  <c r="S14" i="48"/>
  <c r="T14" i="48"/>
  <c r="U14" i="48"/>
  <c r="V14" i="48"/>
  <c r="W14" i="48"/>
  <c r="X14" i="48"/>
  <c r="Y14" i="48"/>
  <c r="Z14" i="48"/>
  <c r="AA14" i="48"/>
  <c r="AB14" i="48"/>
  <c r="AC14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R18" i="48"/>
  <c r="S18" i="48"/>
  <c r="T18" i="48"/>
  <c r="U18" i="48"/>
  <c r="V18" i="48"/>
  <c r="W18" i="48"/>
  <c r="X18" i="48"/>
  <c r="Y18" i="48"/>
  <c r="Z18" i="48"/>
  <c r="AA18" i="48"/>
  <c r="AB18" i="48"/>
  <c r="AC18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R26" i="48"/>
  <c r="S26" i="48"/>
  <c r="T26" i="48"/>
  <c r="U26" i="48"/>
  <c r="V26" i="48"/>
  <c r="W26" i="48"/>
  <c r="X26" i="48"/>
  <c r="Y26" i="48"/>
  <c r="Z26" i="48"/>
  <c r="AA26" i="48"/>
  <c r="AB26" i="48"/>
  <c r="AC26" i="48"/>
  <c r="R28" i="48"/>
  <c r="S28" i="48"/>
  <c r="T28" i="48"/>
  <c r="U28" i="48"/>
  <c r="V28" i="48"/>
  <c r="W28" i="48"/>
  <c r="X28" i="48"/>
  <c r="X29" i="48" s="1"/>
  <c r="Y28" i="48"/>
  <c r="Z28" i="48"/>
  <c r="AA28" i="48"/>
  <c r="AB28" i="48"/>
  <c r="AC28" i="48"/>
  <c r="R29" i="48"/>
  <c r="S29" i="48"/>
  <c r="S74" i="48" s="1"/>
  <c r="T29" i="48"/>
  <c r="Y29" i="48"/>
  <c r="Z29" i="48"/>
  <c r="Z74" i="48" s="1"/>
  <c r="R32" i="48"/>
  <c r="V32" i="48"/>
  <c r="Z32" i="48"/>
  <c r="R35" i="48"/>
  <c r="S35" i="48"/>
  <c r="T35" i="48"/>
  <c r="U35" i="48"/>
  <c r="V35" i="48"/>
  <c r="W35" i="48"/>
  <c r="X35" i="48"/>
  <c r="Y35" i="48"/>
  <c r="Z35" i="48"/>
  <c r="AA35" i="48"/>
  <c r="AB35" i="48"/>
  <c r="AC35" i="48"/>
  <c r="R39" i="48"/>
  <c r="S39" i="48"/>
  <c r="T39" i="48"/>
  <c r="U39" i="48"/>
  <c r="V39" i="48"/>
  <c r="W39" i="48"/>
  <c r="X39" i="48"/>
  <c r="Y39" i="48"/>
  <c r="Z39" i="48"/>
  <c r="AA39" i="48"/>
  <c r="AB39" i="48"/>
  <c r="AC39" i="48"/>
  <c r="R42" i="48"/>
  <c r="S42" i="48"/>
  <c r="S57" i="48" s="1"/>
  <c r="T42" i="48"/>
  <c r="U42" i="48"/>
  <c r="U43" i="48" s="1"/>
  <c r="V42" i="48"/>
  <c r="V71" i="48" s="1"/>
  <c r="V70" i="48" s="1"/>
  <c r="W42" i="48"/>
  <c r="X42" i="48"/>
  <c r="Y42" i="48"/>
  <c r="Y43" i="48" s="1"/>
  <c r="Z42" i="48"/>
  <c r="AA42" i="48"/>
  <c r="AA43" i="48" s="1"/>
  <c r="AB42" i="48"/>
  <c r="AC42" i="48"/>
  <c r="AC43" i="48" s="1"/>
  <c r="R43" i="48"/>
  <c r="S43" i="48"/>
  <c r="T43" i="48"/>
  <c r="V43" i="48"/>
  <c r="X43" i="48"/>
  <c r="Z43" i="48"/>
  <c r="AB43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R47" i="48"/>
  <c r="S47" i="48"/>
  <c r="T47" i="48"/>
  <c r="U47" i="48"/>
  <c r="V47" i="48"/>
  <c r="W47" i="48"/>
  <c r="X47" i="48"/>
  <c r="Y47" i="48"/>
  <c r="Z47" i="48"/>
  <c r="AA47" i="48"/>
  <c r="AB47" i="48"/>
  <c r="AC47" i="48"/>
  <c r="R49" i="48"/>
  <c r="S49" i="48"/>
  <c r="T49" i="48"/>
  <c r="U49" i="48"/>
  <c r="V49" i="48"/>
  <c r="W49" i="48"/>
  <c r="X49" i="48"/>
  <c r="Y49" i="48"/>
  <c r="Z49" i="48"/>
  <c r="AA49" i="48"/>
  <c r="AB49" i="48"/>
  <c r="AC49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R53" i="48"/>
  <c r="S53" i="48"/>
  <c r="T53" i="48"/>
  <c r="U53" i="48"/>
  <c r="V53" i="48"/>
  <c r="W53" i="48"/>
  <c r="X53" i="48"/>
  <c r="Y53" i="48"/>
  <c r="Z53" i="48"/>
  <c r="AA53" i="48"/>
  <c r="AB53" i="48"/>
  <c r="AC53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R57" i="48"/>
  <c r="T57" i="48"/>
  <c r="V57" i="48"/>
  <c r="X57" i="48"/>
  <c r="Z57" i="48"/>
  <c r="AB57" i="48"/>
  <c r="R59" i="48"/>
  <c r="S59" i="48"/>
  <c r="T59" i="48"/>
  <c r="U59" i="48"/>
  <c r="V59" i="48"/>
  <c r="W59" i="48"/>
  <c r="X59" i="48"/>
  <c r="Y59" i="48"/>
  <c r="Z59" i="48"/>
  <c r="AA59" i="48"/>
  <c r="AB59" i="48"/>
  <c r="AC59" i="48"/>
  <c r="R60" i="48"/>
  <c r="S60" i="48"/>
  <c r="T60" i="48"/>
  <c r="V60" i="48"/>
  <c r="W60" i="48"/>
  <c r="Y60" i="48"/>
  <c r="Z60" i="48"/>
  <c r="AA60" i="48"/>
  <c r="AC60" i="48"/>
  <c r="R62" i="48"/>
  <c r="S62" i="48"/>
  <c r="T62" i="48"/>
  <c r="U62" i="48"/>
  <c r="V62" i="48"/>
  <c r="W62" i="48"/>
  <c r="X62" i="48"/>
  <c r="Y62" i="48"/>
  <c r="Z62" i="48"/>
  <c r="AA62" i="48"/>
  <c r="AB62" i="48"/>
  <c r="AC62" i="48"/>
  <c r="R64" i="48"/>
  <c r="S64" i="48"/>
  <c r="T64" i="48"/>
  <c r="U64" i="48"/>
  <c r="V64" i="48"/>
  <c r="W64" i="48"/>
  <c r="X64" i="48"/>
  <c r="Y64" i="48"/>
  <c r="Z64" i="48"/>
  <c r="AA64" i="48"/>
  <c r="AB64" i="48"/>
  <c r="AC64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R67" i="48"/>
  <c r="S67" i="48"/>
  <c r="T67" i="48"/>
  <c r="U67" i="48"/>
  <c r="V67" i="48"/>
  <c r="W67" i="48"/>
  <c r="X67" i="48"/>
  <c r="Y67" i="48"/>
  <c r="Z67" i="48"/>
  <c r="AA67" i="48"/>
  <c r="AB67" i="48"/>
  <c r="AC67" i="48"/>
  <c r="R71" i="48"/>
  <c r="R70" i="48" s="1"/>
  <c r="Z71" i="48"/>
  <c r="Z70" i="48" s="1"/>
  <c r="V80" i="48"/>
  <c r="W80" i="48"/>
  <c r="X80" i="48"/>
  <c r="Y80" i="48"/>
  <c r="Z80" i="48"/>
  <c r="AA80" i="48"/>
  <c r="AB80" i="48"/>
  <c r="AC80" i="48"/>
  <c r="R86" i="48"/>
  <c r="S86" i="48"/>
  <c r="T86" i="48"/>
  <c r="U86" i="48"/>
  <c r="V86" i="48"/>
  <c r="W86" i="48"/>
  <c r="X86" i="48"/>
  <c r="Y86" i="48"/>
  <c r="Z86" i="48"/>
  <c r="AA86" i="48"/>
  <c r="AB86" i="48"/>
  <c r="AC86" i="48"/>
  <c r="R88" i="48"/>
  <c r="S88" i="48"/>
  <c r="T88" i="48"/>
  <c r="U88" i="48"/>
  <c r="V88" i="48"/>
  <c r="W88" i="48"/>
  <c r="X88" i="48"/>
  <c r="Y88" i="48"/>
  <c r="Z88" i="48"/>
  <c r="AA88" i="48"/>
  <c r="AB88" i="48"/>
  <c r="AC88" i="48"/>
  <c r="R90" i="48"/>
  <c r="S90" i="48"/>
  <c r="T90" i="48"/>
  <c r="U90" i="48"/>
  <c r="V90" i="48"/>
  <c r="W90" i="48"/>
  <c r="X90" i="48"/>
  <c r="Y90" i="48"/>
  <c r="Z90" i="48"/>
  <c r="AA90" i="48"/>
  <c r="AB90" i="48"/>
  <c r="AC90" i="48"/>
  <c r="R92" i="48"/>
  <c r="S92" i="48"/>
  <c r="T92" i="48"/>
  <c r="U92" i="48"/>
  <c r="V92" i="48"/>
  <c r="W92" i="48"/>
  <c r="X92" i="48"/>
  <c r="Y92" i="48"/>
  <c r="Z92" i="48"/>
  <c r="AA92" i="48"/>
  <c r="AB92" i="48"/>
  <c r="AC92" i="48"/>
  <c r="R94" i="48"/>
  <c r="S94" i="48"/>
  <c r="T94" i="48"/>
  <c r="U94" i="48"/>
  <c r="V94" i="48"/>
  <c r="W94" i="48"/>
  <c r="X94" i="48"/>
  <c r="Y94" i="48"/>
  <c r="Z94" i="48"/>
  <c r="AA94" i="48"/>
  <c r="AB94" i="48"/>
  <c r="AC94" i="48"/>
  <c r="R95" i="48"/>
  <c r="S95" i="48"/>
  <c r="T95" i="48"/>
  <c r="U95" i="48"/>
  <c r="V95" i="48"/>
  <c r="W95" i="48"/>
  <c r="X95" i="48"/>
  <c r="Y95" i="48"/>
  <c r="Z95" i="48"/>
  <c r="AA95" i="48"/>
  <c r="AB95" i="48"/>
  <c r="AC95" i="48"/>
  <c r="R98" i="48"/>
  <c r="S98" i="48"/>
  <c r="T98" i="48"/>
  <c r="U98" i="48"/>
  <c r="V98" i="48"/>
  <c r="W98" i="48"/>
  <c r="X98" i="48"/>
  <c r="Y98" i="48"/>
  <c r="Z98" i="48"/>
  <c r="AA98" i="48"/>
  <c r="AB98" i="48"/>
  <c r="AC98" i="48"/>
  <c r="R100" i="48"/>
  <c r="S100" i="48"/>
  <c r="T100" i="48"/>
  <c r="U100" i="48"/>
  <c r="V100" i="48"/>
  <c r="W100" i="48"/>
  <c r="X100" i="48"/>
  <c r="Y100" i="48"/>
  <c r="Z100" i="48"/>
  <c r="AA100" i="48"/>
  <c r="AB100" i="48"/>
  <c r="AC100" i="48"/>
  <c r="R102" i="48"/>
  <c r="S102" i="48"/>
  <c r="T102" i="48"/>
  <c r="U102" i="48"/>
  <c r="V102" i="48"/>
  <c r="W102" i="48"/>
  <c r="X102" i="48"/>
  <c r="Y102" i="48"/>
  <c r="Z102" i="48"/>
  <c r="AA102" i="48"/>
  <c r="AB102" i="48"/>
  <c r="AC102" i="48"/>
  <c r="R104" i="48"/>
  <c r="S104" i="48"/>
  <c r="T104" i="48"/>
  <c r="U104" i="48"/>
  <c r="V104" i="48"/>
  <c r="W104" i="48"/>
  <c r="X104" i="48"/>
  <c r="Y104" i="48"/>
  <c r="Z104" i="48"/>
  <c r="AA104" i="48"/>
  <c r="AB104" i="48"/>
  <c r="AC104" i="48"/>
  <c r="R105" i="48"/>
  <c r="S105" i="48"/>
  <c r="T105" i="48"/>
  <c r="U105" i="48"/>
  <c r="V105" i="48"/>
  <c r="W105" i="48"/>
  <c r="X105" i="48"/>
  <c r="Y105" i="48"/>
  <c r="Z105" i="48"/>
  <c r="AA105" i="48"/>
  <c r="AB105" i="48"/>
  <c r="AC105" i="48"/>
  <c r="R107" i="48"/>
  <c r="S107" i="48"/>
  <c r="T107" i="48"/>
  <c r="U107" i="48"/>
  <c r="V107" i="48"/>
  <c r="W107" i="48"/>
  <c r="X107" i="48"/>
  <c r="Y107" i="48"/>
  <c r="Z107" i="48"/>
  <c r="AA107" i="48"/>
  <c r="AB107" i="48"/>
  <c r="AC107" i="48"/>
  <c r="R111" i="48"/>
  <c r="S111" i="48"/>
  <c r="T111" i="48"/>
  <c r="U111" i="48"/>
  <c r="V111" i="48"/>
  <c r="W111" i="48"/>
  <c r="X111" i="48"/>
  <c r="Y111" i="48"/>
  <c r="Z111" i="48"/>
  <c r="AA111" i="48"/>
  <c r="AB111" i="48"/>
  <c r="AC111" i="48"/>
  <c r="R112" i="48"/>
  <c r="S112" i="48"/>
  <c r="T112" i="48"/>
  <c r="U112" i="48"/>
  <c r="V112" i="48"/>
  <c r="W112" i="48"/>
  <c r="X112" i="48"/>
  <c r="Y112" i="48"/>
  <c r="Z112" i="48"/>
  <c r="AA112" i="48"/>
  <c r="AB112" i="48"/>
  <c r="AC112" i="48"/>
  <c r="R117" i="48"/>
  <c r="S117" i="48"/>
  <c r="T117" i="48"/>
  <c r="U117" i="48"/>
  <c r="V117" i="48"/>
  <c r="W117" i="48"/>
  <c r="X117" i="48"/>
  <c r="Y117" i="48"/>
  <c r="Z117" i="48"/>
  <c r="AA117" i="48"/>
  <c r="AB117" i="48"/>
  <c r="AC117" i="48"/>
  <c r="R118" i="48"/>
  <c r="S118" i="48"/>
  <c r="T118" i="48"/>
  <c r="U118" i="48"/>
  <c r="V118" i="48"/>
  <c r="W118" i="48"/>
  <c r="X118" i="48"/>
  <c r="Y118" i="48"/>
  <c r="Z118" i="48"/>
  <c r="AA118" i="48"/>
  <c r="AB118" i="48"/>
  <c r="AC118" i="48"/>
  <c r="R122" i="48"/>
  <c r="S122" i="48"/>
  <c r="T122" i="48"/>
  <c r="U122" i="48"/>
  <c r="V122" i="48"/>
  <c r="W122" i="48"/>
  <c r="X122" i="48"/>
  <c r="Y122" i="48"/>
  <c r="Z122" i="48"/>
  <c r="AA122" i="48"/>
  <c r="AB122" i="48"/>
  <c r="AC122" i="48"/>
  <c r="R126" i="48"/>
  <c r="R125" i="48" s="1"/>
  <c r="S126" i="48"/>
  <c r="S125" i="48" s="1"/>
  <c r="T126" i="48"/>
  <c r="T125" i="48" s="1"/>
  <c r="U126" i="48"/>
  <c r="U125" i="48" s="1"/>
  <c r="V126" i="48"/>
  <c r="V125" i="48" s="1"/>
  <c r="W126" i="48"/>
  <c r="W125" i="48" s="1"/>
  <c r="X126" i="48"/>
  <c r="X125" i="48" s="1"/>
  <c r="Y126" i="48"/>
  <c r="Y125" i="48" s="1"/>
  <c r="Z126" i="48"/>
  <c r="Z125" i="48" s="1"/>
  <c r="AA126" i="48"/>
  <c r="AA125" i="48" s="1"/>
  <c r="AB126" i="48"/>
  <c r="AB125" i="48" s="1"/>
  <c r="AC126" i="48"/>
  <c r="AC125" i="48" s="1"/>
  <c r="R129" i="48"/>
  <c r="S129" i="48"/>
  <c r="T129" i="48"/>
  <c r="U129" i="48"/>
  <c r="U130" i="48" s="1"/>
  <c r="V129" i="48"/>
  <c r="W129" i="48"/>
  <c r="X129" i="48"/>
  <c r="Y129" i="48"/>
  <c r="Y130" i="48" s="1"/>
  <c r="Z129" i="48"/>
  <c r="AA129" i="48"/>
  <c r="AA130" i="48" s="1"/>
  <c r="AB129" i="48"/>
  <c r="AC129" i="48"/>
  <c r="AC130" i="48" s="1"/>
  <c r="S130" i="48"/>
  <c r="T130" i="48"/>
  <c r="W130" i="48"/>
  <c r="X130" i="48"/>
  <c r="AB130" i="48"/>
  <c r="CA10" i="47"/>
  <c r="CA29" i="47" s="1"/>
  <c r="CF10" i="47"/>
  <c r="BV11" i="47"/>
  <c r="BV29" i="47" s="1"/>
  <c r="U13" i="47"/>
  <c r="V13" i="47"/>
  <c r="Y13" i="47"/>
  <c r="Z13" i="47"/>
  <c r="AA13" i="47"/>
  <c r="AD13" i="47"/>
  <c r="AE13" i="47"/>
  <c r="AF13" i="47"/>
  <c r="AI13" i="47"/>
  <c r="AJ13" i="47"/>
  <c r="AK13" i="47"/>
  <c r="AL13" i="47"/>
  <c r="AN13" i="47"/>
  <c r="AO13" i="47"/>
  <c r="AP13" i="47"/>
  <c r="AS13" i="47"/>
  <c r="AU13" i="47"/>
  <c r="AV13" i="47"/>
  <c r="AX13" i="47"/>
  <c r="AY13" i="47"/>
  <c r="AZ13" i="47"/>
  <c r="BA13" i="47"/>
  <c r="BC13" i="47"/>
  <c r="BC44" i="47" s="1"/>
  <c r="BD13" i="47"/>
  <c r="BE13" i="47"/>
  <c r="BF13" i="47"/>
  <c r="BH13" i="47"/>
  <c r="BH44" i="47" s="1"/>
  <c r="BI13" i="47"/>
  <c r="BJ13" i="47"/>
  <c r="BK13" i="47"/>
  <c r="BN13" i="47"/>
  <c r="BP13" i="47"/>
  <c r="BR13" i="47"/>
  <c r="BS13" i="47"/>
  <c r="BT13" i="47"/>
  <c r="BU13" i="47"/>
  <c r="BW13" i="47"/>
  <c r="BX13" i="47"/>
  <c r="BY13" i="47"/>
  <c r="BY44" i="47" s="1"/>
  <c r="BZ13" i="47"/>
  <c r="BZ44" i="47" s="1"/>
  <c r="CB13" i="47"/>
  <c r="CC13" i="47"/>
  <c r="CD13" i="47"/>
  <c r="CE13" i="47"/>
  <c r="CG13" i="47"/>
  <c r="CH13" i="47"/>
  <c r="CI13" i="47"/>
  <c r="CJ13" i="47"/>
  <c r="CJ44" i="47" s="1"/>
  <c r="CL13" i="47"/>
  <c r="CK16" i="47"/>
  <c r="CK30" i="47" s="1"/>
  <c r="F18" i="47"/>
  <c r="G18" i="47"/>
  <c r="G35" i="47" s="1"/>
  <c r="U19" i="47"/>
  <c r="V19" i="47"/>
  <c r="Y19" i="47"/>
  <c r="Z19" i="47"/>
  <c r="AA19" i="47"/>
  <c r="AD19" i="47"/>
  <c r="AE19" i="47"/>
  <c r="AF19" i="47"/>
  <c r="AI19" i="47"/>
  <c r="AJ19" i="47"/>
  <c r="AK19" i="47"/>
  <c r="AL19" i="47"/>
  <c r="AN19" i="47"/>
  <c r="AO19" i="47"/>
  <c r="AP19" i="47"/>
  <c r="AS19" i="47"/>
  <c r="AU19" i="47"/>
  <c r="AV19" i="47"/>
  <c r="AX19" i="47"/>
  <c r="AY19" i="47"/>
  <c r="AZ19" i="47"/>
  <c r="BA19" i="47"/>
  <c r="BC19" i="47"/>
  <c r="BD19" i="47"/>
  <c r="BE19" i="47"/>
  <c r="BF19" i="47"/>
  <c r="BH19" i="47"/>
  <c r="BI19" i="47"/>
  <c r="BJ19" i="47"/>
  <c r="BK19" i="47"/>
  <c r="BN19" i="47"/>
  <c r="BO19" i="47"/>
  <c r="BP19" i="47"/>
  <c r="BR19" i="47"/>
  <c r="BS19" i="47"/>
  <c r="BT19" i="47"/>
  <c r="BU19" i="47"/>
  <c r="BW19" i="47"/>
  <c r="BX19" i="47"/>
  <c r="BY19" i="47"/>
  <c r="BY45" i="47" s="1"/>
  <c r="BZ19" i="47"/>
  <c r="CB19" i="47"/>
  <c r="CC19" i="47"/>
  <c r="CD19" i="47"/>
  <c r="CD45" i="47" s="1"/>
  <c r="CE19" i="47"/>
  <c r="CG19" i="47"/>
  <c r="CH19" i="47"/>
  <c r="CI19" i="47"/>
  <c r="CJ19" i="47"/>
  <c r="CL19" i="47"/>
  <c r="C22" i="47"/>
  <c r="D22" i="47"/>
  <c r="E22" i="47"/>
  <c r="F22" i="47"/>
  <c r="G22" i="47"/>
  <c r="H22" i="47"/>
  <c r="I22" i="47"/>
  <c r="J22" i="47"/>
  <c r="K22" i="47"/>
  <c r="L22" i="47"/>
  <c r="O22" i="47"/>
  <c r="P22" i="47"/>
  <c r="Q22" i="47"/>
  <c r="T22" i="47"/>
  <c r="U22" i="47"/>
  <c r="V22" i="47"/>
  <c r="C23" i="47"/>
  <c r="D23" i="47"/>
  <c r="E23" i="47"/>
  <c r="F23" i="47"/>
  <c r="G23" i="47"/>
  <c r="H23" i="47"/>
  <c r="I23" i="47"/>
  <c r="J23" i="47"/>
  <c r="K23" i="47"/>
  <c r="L23" i="47"/>
  <c r="O23" i="47"/>
  <c r="P23" i="47"/>
  <c r="Q23" i="47"/>
  <c r="T23" i="47"/>
  <c r="U23" i="47"/>
  <c r="V23" i="47"/>
  <c r="C24" i="47"/>
  <c r="D24" i="47"/>
  <c r="E24" i="47"/>
  <c r="F24" i="47"/>
  <c r="G24" i="47"/>
  <c r="H24" i="47"/>
  <c r="I24" i="47"/>
  <c r="J24" i="47"/>
  <c r="K24" i="47"/>
  <c r="L24" i="47"/>
  <c r="L26" i="47" s="1"/>
  <c r="O24" i="47"/>
  <c r="P24" i="47"/>
  <c r="Q24" i="47"/>
  <c r="Q26" i="47" s="1"/>
  <c r="T24" i="47"/>
  <c r="U24" i="47"/>
  <c r="V24" i="47"/>
  <c r="T25" i="47"/>
  <c r="U25" i="47"/>
  <c r="V25" i="47"/>
  <c r="Y25" i="47"/>
  <c r="Z25" i="47"/>
  <c r="AA25" i="47"/>
  <c r="AD25" i="47"/>
  <c r="AE25" i="47"/>
  <c r="AF25" i="47"/>
  <c r="AI25" i="47"/>
  <c r="AJ25" i="47"/>
  <c r="AK25" i="47"/>
  <c r="AL25" i="47"/>
  <c r="AN25" i="47"/>
  <c r="AO25" i="47"/>
  <c r="AP25" i="47"/>
  <c r="AS25" i="47"/>
  <c r="AT25" i="47"/>
  <c r="AU25" i="47"/>
  <c r="AV25" i="47"/>
  <c r="AX25" i="47"/>
  <c r="AY25" i="47"/>
  <c r="AZ25" i="47"/>
  <c r="BA25" i="47"/>
  <c r="BC25" i="47"/>
  <c r="BD25" i="47"/>
  <c r="BD26" i="47" s="1"/>
  <c r="BE25" i="47"/>
  <c r="BF25" i="47"/>
  <c r="BH25" i="47"/>
  <c r="BI25" i="47"/>
  <c r="BJ25" i="47"/>
  <c r="BK25" i="47"/>
  <c r="BM25" i="47"/>
  <c r="BN25" i="47"/>
  <c r="BO25" i="47"/>
  <c r="BP25" i="47"/>
  <c r="BR25" i="47"/>
  <c r="BS25" i="47"/>
  <c r="BT25" i="47"/>
  <c r="BU25" i="47"/>
  <c r="BW25" i="47"/>
  <c r="BX25" i="47"/>
  <c r="BY25" i="47"/>
  <c r="BZ25" i="47"/>
  <c r="CB25" i="47"/>
  <c r="CC25" i="47"/>
  <c r="CD25" i="47"/>
  <c r="CE25" i="47"/>
  <c r="CG25" i="47"/>
  <c r="CH25" i="47"/>
  <c r="CI25" i="47"/>
  <c r="CJ25" i="47"/>
  <c r="CL25" i="47"/>
  <c r="CM25" i="47"/>
  <c r="CN25" i="47"/>
  <c r="CO25" i="47"/>
  <c r="CQ25" i="47"/>
  <c r="CR25" i="47"/>
  <c r="CS25" i="47"/>
  <c r="G26" i="47"/>
  <c r="G52" i="47" s="1"/>
  <c r="BH26" i="47"/>
  <c r="BH50" i="47" s="1"/>
  <c r="C29" i="47"/>
  <c r="D29" i="47"/>
  <c r="E29" i="47"/>
  <c r="F29" i="47"/>
  <c r="G29" i="47"/>
  <c r="G31" i="47" s="1"/>
  <c r="H29" i="47"/>
  <c r="I29" i="47"/>
  <c r="J29" i="47"/>
  <c r="K29" i="47"/>
  <c r="L29" i="47"/>
  <c r="M29" i="47"/>
  <c r="N29" i="47"/>
  <c r="O29" i="47"/>
  <c r="O39" i="47" s="1"/>
  <c r="P29" i="47"/>
  <c r="Q29" i="47"/>
  <c r="R29" i="47"/>
  <c r="S29" i="47"/>
  <c r="T29" i="47"/>
  <c r="U29" i="47"/>
  <c r="V29" i="47"/>
  <c r="W29" i="47"/>
  <c r="X29" i="47"/>
  <c r="X31" i="47" s="1"/>
  <c r="Y29" i="47"/>
  <c r="Z29" i="47"/>
  <c r="AA29" i="47"/>
  <c r="AB29" i="47"/>
  <c r="AC29" i="47"/>
  <c r="AD29" i="47"/>
  <c r="AE29" i="47"/>
  <c r="AE39" i="47" s="1"/>
  <c r="AF29" i="47"/>
  <c r="AG29" i="47"/>
  <c r="AH29" i="47"/>
  <c r="AI29" i="47"/>
  <c r="AI31" i="47" s="1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O31" i="47" s="1"/>
  <c r="BP29" i="47"/>
  <c r="BQ29" i="47"/>
  <c r="BR29" i="47"/>
  <c r="BS29" i="47"/>
  <c r="BT29" i="47"/>
  <c r="BU29" i="47"/>
  <c r="BW29" i="47"/>
  <c r="BX29" i="47"/>
  <c r="BY29" i="47"/>
  <c r="BZ29" i="47"/>
  <c r="CB29" i="47"/>
  <c r="CB31" i="47" s="1"/>
  <c r="CC29" i="47"/>
  <c r="CD29" i="47"/>
  <c r="CE29" i="47"/>
  <c r="CF29" i="47"/>
  <c r="CG29" i="47"/>
  <c r="CH29" i="47"/>
  <c r="CI29" i="47"/>
  <c r="CJ29" i="47"/>
  <c r="CK29" i="47"/>
  <c r="CL29" i="47"/>
  <c r="CM29" i="47"/>
  <c r="CN29" i="47"/>
  <c r="CO29" i="47"/>
  <c r="CP29" i="47"/>
  <c r="CQ29" i="47"/>
  <c r="CR29" i="47"/>
  <c r="CS29" i="47"/>
  <c r="C30" i="47"/>
  <c r="D30" i="47"/>
  <c r="E30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L30" i="47"/>
  <c r="CM30" i="47"/>
  <c r="CN30" i="47"/>
  <c r="CO30" i="47"/>
  <c r="CP30" i="47"/>
  <c r="CP31" i="47" s="1"/>
  <c r="CQ30" i="47"/>
  <c r="CR30" i="47"/>
  <c r="CS30" i="47"/>
  <c r="W31" i="47"/>
  <c r="AY31" i="47"/>
  <c r="C34" i="47"/>
  <c r="D34" i="47"/>
  <c r="E34" i="47"/>
  <c r="F34" i="47"/>
  <c r="G34" i="47"/>
  <c r="H34" i="47"/>
  <c r="I34" i="47"/>
  <c r="J34" i="47"/>
  <c r="K34" i="47"/>
  <c r="L34" i="47"/>
  <c r="M34" i="47"/>
  <c r="N34" i="47"/>
  <c r="O34" i="47"/>
  <c r="P34" i="47"/>
  <c r="Q34" i="47"/>
  <c r="R34" i="47"/>
  <c r="S34" i="47"/>
  <c r="T34" i="47"/>
  <c r="U34" i="47"/>
  <c r="V34" i="47"/>
  <c r="W34" i="47"/>
  <c r="X34" i="47"/>
  <c r="Y34" i="47"/>
  <c r="Z34" i="47"/>
  <c r="AA34" i="47"/>
  <c r="AB34" i="47"/>
  <c r="AC34" i="47"/>
  <c r="AD34" i="47"/>
  <c r="AE34" i="47"/>
  <c r="AF34" i="47"/>
  <c r="AG34" i="47"/>
  <c r="AH34" i="47"/>
  <c r="AI34" i="47"/>
  <c r="AJ34" i="47"/>
  <c r="AK34" i="47"/>
  <c r="AL34" i="47"/>
  <c r="AM34" i="47"/>
  <c r="AN34" i="47"/>
  <c r="AO34" i="47"/>
  <c r="AP34" i="47"/>
  <c r="AQ34" i="47"/>
  <c r="AR34" i="47"/>
  <c r="AS34" i="47"/>
  <c r="AT34" i="47"/>
  <c r="AU34" i="47"/>
  <c r="AV34" i="47"/>
  <c r="AW34" i="47"/>
  <c r="AX34" i="47"/>
  <c r="AY34" i="47"/>
  <c r="AZ34" i="47"/>
  <c r="BA34" i="47"/>
  <c r="BB34" i="47"/>
  <c r="BC34" i="47"/>
  <c r="BD34" i="47"/>
  <c r="BE34" i="47"/>
  <c r="BF34" i="47"/>
  <c r="BG34" i="47"/>
  <c r="BH34" i="47"/>
  <c r="BI34" i="47"/>
  <c r="BJ34" i="47"/>
  <c r="BK34" i="47"/>
  <c r="BL34" i="47"/>
  <c r="BM34" i="47"/>
  <c r="BN34" i="47"/>
  <c r="BO34" i="47"/>
  <c r="BP34" i="47"/>
  <c r="BQ34" i="47"/>
  <c r="BR34" i="47"/>
  <c r="BS34" i="47"/>
  <c r="BT34" i="47"/>
  <c r="BU34" i="47"/>
  <c r="BV34" i="47"/>
  <c r="BW34" i="47"/>
  <c r="BX34" i="47"/>
  <c r="BY34" i="47"/>
  <c r="BZ34" i="47"/>
  <c r="CA34" i="47"/>
  <c r="CB34" i="47"/>
  <c r="CC34" i="47"/>
  <c r="CD34" i="47"/>
  <c r="CE34" i="47"/>
  <c r="CF34" i="47"/>
  <c r="CG34" i="47"/>
  <c r="CH34" i="47"/>
  <c r="CI34" i="47"/>
  <c r="CJ34" i="47"/>
  <c r="CK34" i="47"/>
  <c r="CL34" i="47"/>
  <c r="CM34" i="47"/>
  <c r="CN34" i="47"/>
  <c r="CO34" i="47"/>
  <c r="CP34" i="47"/>
  <c r="CQ34" i="47"/>
  <c r="CR34" i="47"/>
  <c r="CS34" i="47"/>
  <c r="C35" i="47"/>
  <c r="D35" i="47"/>
  <c r="E35" i="47"/>
  <c r="E36" i="47" s="1"/>
  <c r="F35" i="47"/>
  <c r="H35" i="47"/>
  <c r="I35" i="47"/>
  <c r="J35" i="47"/>
  <c r="K35" i="47"/>
  <c r="L35" i="47"/>
  <c r="M35" i="47"/>
  <c r="N35" i="47"/>
  <c r="O35" i="47"/>
  <c r="P35" i="47"/>
  <c r="Q35" i="47"/>
  <c r="R35" i="47"/>
  <c r="R36" i="47" s="1"/>
  <c r="S35" i="47"/>
  <c r="T35" i="47"/>
  <c r="U35" i="47"/>
  <c r="V35" i="47"/>
  <c r="W35" i="47"/>
  <c r="X35" i="47"/>
  <c r="Y35" i="47"/>
  <c r="Z35" i="47"/>
  <c r="Z36" i="47" s="1"/>
  <c r="AA35" i="47"/>
  <c r="AB35" i="47"/>
  <c r="AC35" i="47"/>
  <c r="AD35" i="47"/>
  <c r="AE35" i="47"/>
  <c r="AF35" i="47"/>
  <c r="AG35" i="47"/>
  <c r="AH35" i="47"/>
  <c r="AI35" i="47"/>
  <c r="AJ35" i="47"/>
  <c r="AK35" i="47"/>
  <c r="AL35" i="47"/>
  <c r="AM35" i="47"/>
  <c r="AN35" i="47"/>
  <c r="AO35" i="47"/>
  <c r="AP35" i="47"/>
  <c r="AP36" i="47" s="1"/>
  <c r="AQ35" i="47"/>
  <c r="AR35" i="47"/>
  <c r="AS35" i="47"/>
  <c r="AT35" i="47"/>
  <c r="AU35" i="47"/>
  <c r="AV35" i="47"/>
  <c r="AW35" i="47"/>
  <c r="AX35" i="47"/>
  <c r="AY35" i="47"/>
  <c r="AZ35" i="47"/>
  <c r="BA35" i="47"/>
  <c r="BB35" i="47"/>
  <c r="BC35" i="47"/>
  <c r="BD35" i="47"/>
  <c r="BE35" i="47"/>
  <c r="BF35" i="47"/>
  <c r="BF36" i="47" s="1"/>
  <c r="BG35" i="47"/>
  <c r="BH35" i="47"/>
  <c r="BI35" i="47"/>
  <c r="BJ35" i="47"/>
  <c r="BK35" i="47"/>
  <c r="BL35" i="47"/>
  <c r="BM35" i="47"/>
  <c r="BN35" i="47"/>
  <c r="BO35" i="47"/>
  <c r="BP35" i="47"/>
  <c r="BQ35" i="47"/>
  <c r="BR35" i="47"/>
  <c r="BS35" i="47"/>
  <c r="BT35" i="47"/>
  <c r="BU35" i="47"/>
  <c r="BV35" i="47"/>
  <c r="BV36" i="47" s="1"/>
  <c r="BW35" i="47"/>
  <c r="BX35" i="47"/>
  <c r="BY35" i="47"/>
  <c r="BZ35" i="47"/>
  <c r="CA35" i="47"/>
  <c r="CB35" i="47"/>
  <c r="CC35" i="47"/>
  <c r="CD35" i="47"/>
  <c r="CE35" i="47"/>
  <c r="CF35" i="47"/>
  <c r="CG35" i="47"/>
  <c r="CH35" i="47"/>
  <c r="CI35" i="47"/>
  <c r="CJ35" i="47"/>
  <c r="CK35" i="47"/>
  <c r="CL35" i="47"/>
  <c r="CL36" i="47" s="1"/>
  <c r="CM35" i="47"/>
  <c r="CN35" i="47"/>
  <c r="CO35" i="47"/>
  <c r="CP35" i="47"/>
  <c r="CQ35" i="47"/>
  <c r="CR35" i="47"/>
  <c r="CS35" i="47"/>
  <c r="J36" i="47"/>
  <c r="O36" i="47"/>
  <c r="N44" i="47"/>
  <c r="O44" i="47"/>
  <c r="P44" i="47"/>
  <c r="Q44" i="47"/>
  <c r="R44" i="47"/>
  <c r="S44" i="47"/>
  <c r="AE44" i="47"/>
  <c r="AP44" i="47"/>
  <c r="BD44" i="47"/>
  <c r="BI44" i="47"/>
  <c r="BU44" i="47"/>
  <c r="CE44" i="47"/>
  <c r="N45" i="47"/>
  <c r="O45" i="47"/>
  <c r="P45" i="47"/>
  <c r="Q45" i="47"/>
  <c r="R45" i="47"/>
  <c r="S45" i="47"/>
  <c r="AP45" i="47"/>
  <c r="BI45" i="47"/>
  <c r="BN45" i="47"/>
  <c r="BS45" i="47"/>
  <c r="BX45" i="47"/>
  <c r="CC45" i="47"/>
  <c r="CH45" i="47"/>
  <c r="Q52" i="47"/>
  <c r="K55" i="47"/>
  <c r="L55" i="47"/>
  <c r="M55" i="47"/>
  <c r="O55" i="47"/>
  <c r="P55" i="47"/>
  <c r="Q55" i="47"/>
  <c r="R55" i="47"/>
  <c r="AL55" i="47"/>
  <c r="AY55" i="47"/>
  <c r="BD55" i="47"/>
  <c r="CE55" i="47"/>
  <c r="CJ55" i="47"/>
  <c r="CQ55" i="47"/>
  <c r="CR55" i="47"/>
  <c r="CS55" i="47"/>
  <c r="K56" i="47"/>
  <c r="L56" i="47"/>
  <c r="M56" i="47"/>
  <c r="O56" i="47"/>
  <c r="P56" i="47"/>
  <c r="Q56" i="47"/>
  <c r="R56" i="47"/>
  <c r="Z56" i="47"/>
  <c r="AF56" i="47"/>
  <c r="BI56" i="47"/>
  <c r="BT56" i="47"/>
  <c r="CD56" i="47"/>
  <c r="CI56" i="47"/>
  <c r="CQ56" i="47"/>
  <c r="CR56" i="47"/>
  <c r="CS56" i="47"/>
  <c r="CQ57" i="47"/>
  <c r="CR57" i="47"/>
  <c r="CS57" i="47"/>
  <c r="J60" i="47"/>
  <c r="K60" i="47"/>
  <c r="L60" i="47"/>
  <c r="M60" i="47"/>
  <c r="O60" i="47"/>
  <c r="P60" i="47"/>
  <c r="Q60" i="47"/>
  <c r="R60" i="47"/>
  <c r="J61" i="47"/>
  <c r="K61" i="47"/>
  <c r="L61" i="47"/>
  <c r="M61" i="47"/>
  <c r="O61" i="47"/>
  <c r="P61" i="47"/>
  <c r="Q61" i="47"/>
  <c r="R61" i="47"/>
  <c r="C65" i="47"/>
  <c r="D65" i="47"/>
  <c r="E65" i="47"/>
  <c r="F65" i="47"/>
  <c r="G65" i="47"/>
  <c r="H65" i="47"/>
  <c r="I65" i="47"/>
  <c r="J65" i="47"/>
  <c r="K65" i="47"/>
  <c r="L65" i="47"/>
  <c r="O65" i="47"/>
  <c r="P65" i="47"/>
  <c r="Q65" i="47"/>
  <c r="T65" i="47"/>
  <c r="U65" i="47"/>
  <c r="V65" i="47"/>
  <c r="AI65" i="47"/>
  <c r="AT65" i="47"/>
  <c r="AU65" i="47"/>
  <c r="BW65" i="47"/>
  <c r="C66" i="47"/>
  <c r="D66" i="47"/>
  <c r="E66" i="47"/>
  <c r="F66" i="47"/>
  <c r="G66" i="47"/>
  <c r="H66" i="47"/>
  <c r="I66" i="47"/>
  <c r="J66" i="47"/>
  <c r="K66" i="47"/>
  <c r="L66" i="47"/>
  <c r="O66" i="47"/>
  <c r="P66" i="47"/>
  <c r="Q66" i="47"/>
  <c r="T66" i="47"/>
  <c r="U66" i="47"/>
  <c r="V66" i="47"/>
  <c r="AT66" i="47"/>
  <c r="AU66" i="47"/>
  <c r="BW66" i="47"/>
  <c r="C67" i="47"/>
  <c r="D67" i="47"/>
  <c r="E67" i="47"/>
  <c r="F67" i="47"/>
  <c r="G67" i="47"/>
  <c r="H67" i="47"/>
  <c r="I67" i="47"/>
  <c r="J67" i="47"/>
  <c r="K67" i="47"/>
  <c r="L67" i="47"/>
  <c r="O67" i="47"/>
  <c r="P67" i="47"/>
  <c r="Q67" i="47"/>
  <c r="T67" i="47"/>
  <c r="U67" i="47"/>
  <c r="V67" i="47"/>
  <c r="AT67" i="47"/>
  <c r="AU67" i="47"/>
  <c r="BW67" i="47"/>
  <c r="C68" i="47"/>
  <c r="D68" i="47"/>
  <c r="E68" i="47"/>
  <c r="F68" i="47"/>
  <c r="G68" i="47"/>
  <c r="H68" i="47"/>
  <c r="I68" i="47"/>
  <c r="J68" i="47"/>
  <c r="K68" i="47"/>
  <c r="L68" i="47"/>
  <c r="O68" i="47"/>
  <c r="P68" i="47"/>
  <c r="Q68" i="47"/>
  <c r="T68" i="47"/>
  <c r="U68" i="47"/>
  <c r="V68" i="47"/>
  <c r="AD75" i="47"/>
  <c r="AE75" i="47"/>
  <c r="AF75" i="47"/>
  <c r="AG75" i="47"/>
  <c r="AH75" i="47"/>
  <c r="AI75" i="47"/>
  <c r="AJ75" i="47"/>
  <c r="AK75" i="47"/>
  <c r="AL75" i="47"/>
  <c r="AM75" i="47"/>
  <c r="AN75" i="47"/>
  <c r="AO75" i="47"/>
  <c r="AP75" i="47"/>
  <c r="AQ75" i="47"/>
  <c r="AR75" i="47"/>
  <c r="AS75" i="47"/>
  <c r="AT75" i="47"/>
  <c r="AU75" i="47"/>
  <c r="AV75" i="47"/>
  <c r="AW75" i="47"/>
  <c r="BB75" i="47"/>
  <c r="BG75" i="47"/>
  <c r="BL75" i="47"/>
  <c r="BQ75" i="47"/>
  <c r="BV75" i="47"/>
  <c r="CA75" i="47"/>
  <c r="CF75" i="47"/>
  <c r="CK75" i="47"/>
  <c r="CP75" i="47"/>
  <c r="CQ75" i="47"/>
  <c r="CR75" i="47"/>
  <c r="CS75" i="47"/>
  <c r="U79" i="47"/>
  <c r="U142" i="47" s="1"/>
  <c r="V79" i="47"/>
  <c r="Y79" i="47"/>
  <c r="Z79" i="47"/>
  <c r="Z142" i="47" s="1"/>
  <c r="Z149" i="47" s="1"/>
  <c r="AA79" i="47"/>
  <c r="AD79" i="47"/>
  <c r="AE79" i="47"/>
  <c r="AF79" i="47"/>
  <c r="AI79" i="47"/>
  <c r="AI142" i="47" s="1"/>
  <c r="AJ79" i="47"/>
  <c r="AK79" i="47"/>
  <c r="AL79" i="47"/>
  <c r="AN79" i="47"/>
  <c r="AO79" i="47"/>
  <c r="AP79" i="47"/>
  <c r="AP98" i="47" s="1"/>
  <c r="AS79" i="47"/>
  <c r="AT79" i="47"/>
  <c r="AT142" i="47" s="1"/>
  <c r="AU79" i="47"/>
  <c r="AV79" i="47"/>
  <c r="AX79" i="47"/>
  <c r="AX142" i="47" s="1"/>
  <c r="AY79" i="47"/>
  <c r="AZ79" i="47"/>
  <c r="BA79" i="47"/>
  <c r="BC79" i="47"/>
  <c r="BC142" i="47" s="1"/>
  <c r="BC149" i="47" s="1"/>
  <c r="BD79" i="47"/>
  <c r="BE79" i="47"/>
  <c r="BF79" i="47"/>
  <c r="BF142" i="47" s="1"/>
  <c r="BH79" i="47"/>
  <c r="BI79" i="47"/>
  <c r="BJ79" i="47"/>
  <c r="BK79" i="47"/>
  <c r="BM79" i="47"/>
  <c r="BM116" i="47" s="1"/>
  <c r="BN79" i="47"/>
  <c r="BO79" i="47"/>
  <c r="BP79" i="47"/>
  <c r="BR79" i="47"/>
  <c r="BS79" i="47"/>
  <c r="BT79" i="47"/>
  <c r="BU79" i="47"/>
  <c r="BU107" i="47" s="1"/>
  <c r="BW79" i="47"/>
  <c r="BW142" i="47" s="1"/>
  <c r="BX79" i="47"/>
  <c r="BY79" i="47"/>
  <c r="BZ79" i="47"/>
  <c r="BZ142" i="47" s="1"/>
  <c r="CB79" i="47"/>
  <c r="CB142" i="47" s="1"/>
  <c r="CC79" i="47"/>
  <c r="CC116" i="47" s="1"/>
  <c r="CD79" i="47"/>
  <c r="CE79" i="47"/>
  <c r="CE98" i="47" s="1"/>
  <c r="CE182" i="47" s="1"/>
  <c r="CG79" i="47"/>
  <c r="CG142" i="47" s="1"/>
  <c r="CH79" i="47"/>
  <c r="CH142" i="47" s="1"/>
  <c r="CI79" i="47"/>
  <c r="CI107" i="47" s="1"/>
  <c r="CJ79" i="47"/>
  <c r="CL79" i="47"/>
  <c r="CL116" i="47" s="1"/>
  <c r="U80" i="47"/>
  <c r="V80" i="47"/>
  <c r="Y80" i="47"/>
  <c r="Z80" i="47"/>
  <c r="Z143" i="47" s="1"/>
  <c r="Z150" i="47" s="1"/>
  <c r="AA80" i="47"/>
  <c r="AD80" i="47"/>
  <c r="AE80" i="47"/>
  <c r="AF80" i="47"/>
  <c r="AF143" i="47" s="1"/>
  <c r="AF150" i="47" s="1"/>
  <c r="AI80" i="47"/>
  <c r="AI143" i="47" s="1"/>
  <c r="AJ80" i="47"/>
  <c r="AK80" i="47"/>
  <c r="AL80" i="47"/>
  <c r="AN80" i="47"/>
  <c r="AO80" i="47"/>
  <c r="AP80" i="47"/>
  <c r="AP117" i="47" s="1"/>
  <c r="AS80" i="47"/>
  <c r="AS143" i="47" s="1"/>
  <c r="AS150" i="47" s="1"/>
  <c r="AT80" i="47"/>
  <c r="AU80" i="47"/>
  <c r="AV80" i="47"/>
  <c r="AV143" i="47" s="1"/>
  <c r="AX80" i="47"/>
  <c r="AY80" i="47"/>
  <c r="AZ80" i="47"/>
  <c r="BA80" i="47"/>
  <c r="BA117" i="47" s="1"/>
  <c r="BC80" i="47"/>
  <c r="BD80" i="47"/>
  <c r="BE80" i="47"/>
  <c r="BF80" i="47"/>
  <c r="BH80" i="47"/>
  <c r="BH99" i="47" s="1"/>
  <c r="BI80" i="47"/>
  <c r="BI143" i="47" s="1"/>
  <c r="BI150" i="47" s="1"/>
  <c r="BJ80" i="47"/>
  <c r="BK80" i="47"/>
  <c r="BM80" i="47"/>
  <c r="BN80" i="47"/>
  <c r="BO80" i="47"/>
  <c r="BP80" i="47"/>
  <c r="BP117" i="47" s="1"/>
  <c r="BR80" i="47"/>
  <c r="BS80" i="47"/>
  <c r="BT80" i="47"/>
  <c r="BU80" i="47"/>
  <c r="BW80" i="47"/>
  <c r="BW143" i="47" s="1"/>
  <c r="BX80" i="47"/>
  <c r="BX143" i="47" s="1"/>
  <c r="BY80" i="47"/>
  <c r="BY143" i="47" s="1"/>
  <c r="BZ80" i="47"/>
  <c r="CB80" i="47"/>
  <c r="CC80" i="47"/>
  <c r="CC108" i="47" s="1"/>
  <c r="CD80" i="47"/>
  <c r="CE80" i="47"/>
  <c r="CE117" i="47" s="1"/>
  <c r="CG80" i="47"/>
  <c r="CG117" i="47" s="1"/>
  <c r="CH80" i="47"/>
  <c r="CH117" i="47" s="1"/>
  <c r="CI80" i="47"/>
  <c r="CI108" i="47" s="1"/>
  <c r="CJ80" i="47"/>
  <c r="CJ117" i="47" s="1"/>
  <c r="CL80" i="47"/>
  <c r="CL84" i="47" s="1"/>
  <c r="C81" i="47"/>
  <c r="D81" i="47"/>
  <c r="E81" i="47"/>
  <c r="F81" i="47"/>
  <c r="G81" i="47"/>
  <c r="H81" i="47"/>
  <c r="H100" i="47" s="1"/>
  <c r="I81" i="47"/>
  <c r="J81" i="47"/>
  <c r="K81" i="47"/>
  <c r="K100" i="47" s="1"/>
  <c r="L81" i="47"/>
  <c r="O81" i="47"/>
  <c r="P81" i="47"/>
  <c r="Q81" i="47"/>
  <c r="T81" i="47"/>
  <c r="U81" i="47"/>
  <c r="V81" i="47"/>
  <c r="C82" i="47"/>
  <c r="D82" i="47"/>
  <c r="D101" i="47" s="1"/>
  <c r="E82" i="47"/>
  <c r="F82" i="47"/>
  <c r="G82" i="47"/>
  <c r="H82" i="47"/>
  <c r="H101" i="47" s="1"/>
  <c r="I82" i="47"/>
  <c r="I119" i="47" s="1"/>
  <c r="J82" i="47"/>
  <c r="K82" i="47"/>
  <c r="L82" i="47"/>
  <c r="O82" i="47"/>
  <c r="P82" i="47"/>
  <c r="Q82" i="47"/>
  <c r="T82" i="47"/>
  <c r="U82" i="47"/>
  <c r="V82" i="47"/>
  <c r="C83" i="47"/>
  <c r="C102" i="47" s="1"/>
  <c r="D83" i="47"/>
  <c r="D102" i="47" s="1"/>
  <c r="E83" i="47"/>
  <c r="F83" i="47"/>
  <c r="G83" i="47"/>
  <c r="H83" i="47"/>
  <c r="I83" i="47"/>
  <c r="J83" i="47"/>
  <c r="K83" i="47"/>
  <c r="L83" i="47"/>
  <c r="L102" i="47" s="1"/>
  <c r="O83" i="47"/>
  <c r="P83" i="47"/>
  <c r="Q83" i="47"/>
  <c r="T83" i="47"/>
  <c r="T102" i="47" s="1"/>
  <c r="U83" i="47"/>
  <c r="V83" i="47"/>
  <c r="AA84" i="47"/>
  <c r="CD84" i="47"/>
  <c r="H85" i="47"/>
  <c r="I85" i="47"/>
  <c r="J85" i="47"/>
  <c r="K85" i="47"/>
  <c r="L85" i="47"/>
  <c r="O85" i="47"/>
  <c r="P85" i="47"/>
  <c r="Q85" i="47"/>
  <c r="T85" i="47"/>
  <c r="U85" i="47"/>
  <c r="U145" i="47" s="1"/>
  <c r="V85" i="47"/>
  <c r="Y85" i="47"/>
  <c r="Z85" i="47"/>
  <c r="AA85" i="47"/>
  <c r="AA145" i="47" s="1"/>
  <c r="AD85" i="47"/>
  <c r="AD145" i="47" s="1"/>
  <c r="AE85" i="47"/>
  <c r="AE145" i="47" s="1"/>
  <c r="AF85" i="47"/>
  <c r="AI85" i="47"/>
  <c r="AJ85" i="47"/>
  <c r="AK85" i="47"/>
  <c r="AL85" i="47"/>
  <c r="AN85" i="47"/>
  <c r="AN145" i="47" s="1"/>
  <c r="AO85" i="47"/>
  <c r="AO145" i="47" s="1"/>
  <c r="AP85" i="47"/>
  <c r="AP122" i="47" s="1"/>
  <c r="AS85" i="47"/>
  <c r="AT85" i="47"/>
  <c r="AT145" i="47" s="1"/>
  <c r="AU85" i="47"/>
  <c r="AV85" i="47"/>
  <c r="AV145" i="47" s="1"/>
  <c r="AX85" i="47"/>
  <c r="AY85" i="47"/>
  <c r="AZ85" i="47"/>
  <c r="AZ122" i="47" s="1"/>
  <c r="BA85" i="47"/>
  <c r="BC85" i="47"/>
  <c r="BD85" i="47"/>
  <c r="BE85" i="47"/>
  <c r="BE122" i="47" s="1"/>
  <c r="BF85" i="47"/>
  <c r="BH85" i="47"/>
  <c r="BI85" i="47"/>
  <c r="BI122" i="47" s="1"/>
  <c r="BJ85" i="47"/>
  <c r="BJ145" i="47" s="1"/>
  <c r="BK85" i="47"/>
  <c r="BK122" i="47" s="1"/>
  <c r="BM85" i="47"/>
  <c r="BN85" i="47"/>
  <c r="BN145" i="47" s="1"/>
  <c r="BO85" i="47"/>
  <c r="BO145" i="47" s="1"/>
  <c r="BP85" i="47"/>
  <c r="BP145" i="47" s="1"/>
  <c r="BR85" i="47"/>
  <c r="BR122" i="47" s="1"/>
  <c r="BS85" i="47"/>
  <c r="BS122" i="47" s="1"/>
  <c r="BT85" i="47"/>
  <c r="BU85" i="47"/>
  <c r="BW85" i="47"/>
  <c r="BX85" i="47"/>
  <c r="BX145" i="47" s="1"/>
  <c r="BY85" i="47"/>
  <c r="BZ85" i="47"/>
  <c r="CB85" i="47"/>
  <c r="CC85" i="47"/>
  <c r="CC145" i="47" s="1"/>
  <c r="CD85" i="47"/>
  <c r="CD145" i="47" s="1"/>
  <c r="CE85" i="47"/>
  <c r="CG85" i="47"/>
  <c r="CG122" i="47" s="1"/>
  <c r="CH85" i="47"/>
  <c r="CI85" i="47"/>
  <c r="CJ85" i="47"/>
  <c r="CL85" i="47"/>
  <c r="Z98" i="47"/>
  <c r="L101" i="47"/>
  <c r="H102" i="47"/>
  <c r="AD109" i="47"/>
  <c r="AE109" i="47"/>
  <c r="AF109" i="47"/>
  <c r="AG109" i="47"/>
  <c r="AH109" i="47"/>
  <c r="AI109" i="47"/>
  <c r="AJ109" i="47"/>
  <c r="AK109" i="47"/>
  <c r="BB109" i="47"/>
  <c r="BG109" i="47"/>
  <c r="BL109" i="47"/>
  <c r="BQ109" i="47"/>
  <c r="BV109" i="47"/>
  <c r="CA109" i="47"/>
  <c r="CF109" i="47"/>
  <c r="CK109" i="47"/>
  <c r="CP109" i="47"/>
  <c r="CQ109" i="47"/>
  <c r="CR109" i="47"/>
  <c r="CS109" i="47"/>
  <c r="AD110" i="47"/>
  <c r="AE110" i="47"/>
  <c r="AF110" i="47"/>
  <c r="AG110" i="47"/>
  <c r="AH110" i="47"/>
  <c r="AI110" i="47"/>
  <c r="AJ110" i="47"/>
  <c r="AK110" i="47"/>
  <c r="AL110" i="47"/>
  <c r="AM110" i="47"/>
  <c r="AN110" i="47"/>
  <c r="AO110" i="47"/>
  <c r="AP110" i="47"/>
  <c r="AQ110" i="47"/>
  <c r="AR110" i="47"/>
  <c r="AS110" i="47"/>
  <c r="AT110" i="47"/>
  <c r="AU110" i="47"/>
  <c r="AV110" i="47"/>
  <c r="AW110" i="47"/>
  <c r="BB110" i="47"/>
  <c r="BG110" i="47"/>
  <c r="BL110" i="47"/>
  <c r="BQ110" i="47"/>
  <c r="BV110" i="47"/>
  <c r="CA110" i="47"/>
  <c r="CF110" i="47"/>
  <c r="CK110" i="47"/>
  <c r="CP110" i="47"/>
  <c r="CQ110" i="47"/>
  <c r="CR110" i="47"/>
  <c r="CS110" i="47"/>
  <c r="AD111" i="47"/>
  <c r="AE111" i="47"/>
  <c r="AF111" i="47"/>
  <c r="AG111" i="47"/>
  <c r="AH111" i="47"/>
  <c r="AI111" i="47"/>
  <c r="AJ111" i="47"/>
  <c r="AK111" i="47"/>
  <c r="AL111" i="47"/>
  <c r="AM111" i="47"/>
  <c r="AN111" i="47"/>
  <c r="AO111" i="47"/>
  <c r="AP111" i="47"/>
  <c r="AQ111" i="47"/>
  <c r="AR111" i="47"/>
  <c r="AS111" i="47"/>
  <c r="AT111" i="47"/>
  <c r="AU111" i="47"/>
  <c r="AV111" i="47"/>
  <c r="AW111" i="47"/>
  <c r="BB111" i="47"/>
  <c r="BG111" i="47"/>
  <c r="BL111" i="47"/>
  <c r="BQ111" i="47"/>
  <c r="BV111" i="47"/>
  <c r="CA111" i="47"/>
  <c r="CF111" i="47"/>
  <c r="CK111" i="47"/>
  <c r="CP111" i="47"/>
  <c r="CQ111" i="47"/>
  <c r="CR111" i="47"/>
  <c r="CS111" i="47"/>
  <c r="D116" i="47"/>
  <c r="E116" i="47"/>
  <c r="F116" i="47"/>
  <c r="G116" i="47"/>
  <c r="H116" i="47"/>
  <c r="I116" i="47"/>
  <c r="N116" i="47"/>
  <c r="O116" i="47"/>
  <c r="P116" i="47"/>
  <c r="Q116" i="47"/>
  <c r="R116" i="47"/>
  <c r="S116" i="47"/>
  <c r="BY116" i="47"/>
  <c r="D117" i="47"/>
  <c r="E117" i="47"/>
  <c r="F117" i="47"/>
  <c r="G117" i="47"/>
  <c r="H117" i="47"/>
  <c r="I117" i="47"/>
  <c r="N117" i="47"/>
  <c r="O117" i="47"/>
  <c r="P117" i="47"/>
  <c r="Q117" i="47"/>
  <c r="R117" i="47"/>
  <c r="S117" i="47"/>
  <c r="AD118" i="47"/>
  <c r="AE118" i="47"/>
  <c r="AF118" i="47"/>
  <c r="AG118" i="47"/>
  <c r="AH118" i="47"/>
  <c r="AI118" i="47"/>
  <c r="AJ118" i="47"/>
  <c r="AK118" i="47"/>
  <c r="AL118" i="47"/>
  <c r="AM118" i="47"/>
  <c r="AN118" i="47"/>
  <c r="AO118" i="47"/>
  <c r="AP118" i="47"/>
  <c r="AQ118" i="47"/>
  <c r="AR118" i="47"/>
  <c r="AS118" i="47"/>
  <c r="AT118" i="47"/>
  <c r="AU118" i="47"/>
  <c r="AV118" i="47"/>
  <c r="AW118" i="47"/>
  <c r="AX118" i="47"/>
  <c r="AY118" i="47"/>
  <c r="AZ118" i="47"/>
  <c r="BA118" i="47"/>
  <c r="BB118" i="47"/>
  <c r="BC118" i="47"/>
  <c r="BG118" i="47"/>
  <c r="BL118" i="47"/>
  <c r="BQ118" i="47"/>
  <c r="BV118" i="47"/>
  <c r="CA118" i="47"/>
  <c r="CF118" i="47"/>
  <c r="CK118" i="47"/>
  <c r="CP118" i="47"/>
  <c r="CQ118" i="47"/>
  <c r="CR118" i="47"/>
  <c r="CS118" i="47"/>
  <c r="AD119" i="47"/>
  <c r="AE119" i="47"/>
  <c r="AF119" i="47"/>
  <c r="AG119" i="47"/>
  <c r="AH119" i="47"/>
  <c r="AI119" i="47"/>
  <c r="AJ119" i="47"/>
  <c r="AK119" i="47"/>
  <c r="AL119" i="47"/>
  <c r="AM119" i="47"/>
  <c r="AN119" i="47"/>
  <c r="AO119" i="47"/>
  <c r="AP119" i="47"/>
  <c r="AQ119" i="47"/>
  <c r="AR119" i="47"/>
  <c r="AS119" i="47"/>
  <c r="AT119" i="47"/>
  <c r="AU119" i="47"/>
  <c r="AV119" i="47"/>
  <c r="AW119" i="47"/>
  <c r="AX119" i="47"/>
  <c r="AY119" i="47"/>
  <c r="AZ119" i="47"/>
  <c r="BA119" i="47"/>
  <c r="BB119" i="47"/>
  <c r="BC119" i="47"/>
  <c r="BG119" i="47"/>
  <c r="BL119" i="47"/>
  <c r="BQ119" i="47"/>
  <c r="BV119" i="47"/>
  <c r="CA119" i="47"/>
  <c r="CF119" i="47"/>
  <c r="CK119" i="47"/>
  <c r="CP119" i="47"/>
  <c r="CQ119" i="47"/>
  <c r="CR119" i="47"/>
  <c r="CS119" i="47"/>
  <c r="AD120" i="47"/>
  <c r="AE120" i="47"/>
  <c r="AF120" i="47"/>
  <c r="AG120" i="47"/>
  <c r="AH120" i="47"/>
  <c r="AI120" i="47"/>
  <c r="AJ120" i="47"/>
  <c r="AK120" i="47"/>
  <c r="AL120" i="47"/>
  <c r="AM120" i="47"/>
  <c r="AN120" i="47"/>
  <c r="AO120" i="47"/>
  <c r="AP120" i="47"/>
  <c r="AQ120" i="47"/>
  <c r="AR120" i="47"/>
  <c r="AS120" i="47"/>
  <c r="AT120" i="47"/>
  <c r="AU120" i="47"/>
  <c r="AV120" i="47"/>
  <c r="AW120" i="47"/>
  <c r="AX120" i="47"/>
  <c r="AY120" i="47"/>
  <c r="AZ120" i="47"/>
  <c r="BA120" i="47"/>
  <c r="BB120" i="47"/>
  <c r="BC120" i="47"/>
  <c r="BG120" i="47"/>
  <c r="BL120" i="47"/>
  <c r="BQ120" i="47"/>
  <c r="BV120" i="47"/>
  <c r="CA120" i="47"/>
  <c r="CF120" i="47"/>
  <c r="CK120" i="47"/>
  <c r="CP120" i="47"/>
  <c r="CQ120" i="47"/>
  <c r="CR120" i="47"/>
  <c r="CS120" i="47"/>
  <c r="CE122" i="47"/>
  <c r="CR122" i="47"/>
  <c r="CS122" i="47"/>
  <c r="K126" i="47"/>
  <c r="L126" i="47"/>
  <c r="M126" i="47"/>
  <c r="O126" i="47"/>
  <c r="P126" i="47"/>
  <c r="Q126" i="47"/>
  <c r="R126" i="47"/>
  <c r="K127" i="47"/>
  <c r="L127" i="47"/>
  <c r="M127" i="47"/>
  <c r="O127" i="47"/>
  <c r="P127" i="47"/>
  <c r="Q127" i="47"/>
  <c r="R127" i="47"/>
  <c r="CN132" i="47"/>
  <c r="CO132" i="47"/>
  <c r="BB136" i="47"/>
  <c r="BB139" i="47" s="1"/>
  <c r="CF136" i="47"/>
  <c r="CK136" i="47"/>
  <c r="CP136" i="47"/>
  <c r="CF137" i="47"/>
  <c r="CK137" i="47"/>
  <c r="CP137" i="47"/>
  <c r="BL138" i="47"/>
  <c r="BV138" i="47"/>
  <c r="BV139" i="47" s="1"/>
  <c r="CA138" i="47"/>
  <c r="CA139" i="47" s="1"/>
  <c r="CF138" i="47"/>
  <c r="CK138" i="47"/>
  <c r="CP138" i="47"/>
  <c r="T139" i="47"/>
  <c r="U139" i="47"/>
  <c r="V139" i="47"/>
  <c r="W139" i="47"/>
  <c r="X139" i="47"/>
  <c r="Y139" i="47"/>
  <c r="Z139" i="47"/>
  <c r="AA139" i="47"/>
  <c r="AB139" i="47"/>
  <c r="AC139" i="47"/>
  <c r="AD139" i="47"/>
  <c r="AE139" i="47"/>
  <c r="AF139" i="47"/>
  <c r="AG139" i="47"/>
  <c r="AH139" i="47"/>
  <c r="AI139" i="47"/>
  <c r="AJ139" i="47"/>
  <c r="AK139" i="47"/>
  <c r="AL139" i="47"/>
  <c r="AM139" i="47"/>
  <c r="AN139" i="47"/>
  <c r="AO139" i="47"/>
  <c r="AP139" i="47"/>
  <c r="AQ139" i="47"/>
  <c r="AR139" i="47"/>
  <c r="AS139" i="47"/>
  <c r="AT139" i="47"/>
  <c r="AU139" i="47"/>
  <c r="AV139" i="47"/>
  <c r="AW139" i="47"/>
  <c r="AX139" i="47"/>
  <c r="AY139" i="47"/>
  <c r="AZ139" i="47"/>
  <c r="BA139" i="47"/>
  <c r="BC139" i="47"/>
  <c r="BD139" i="47"/>
  <c r="BE139" i="47"/>
  <c r="BF139" i="47"/>
  <c r="BG139" i="47"/>
  <c r="BH139" i="47"/>
  <c r="BI139" i="47"/>
  <c r="BJ139" i="47"/>
  <c r="BK139" i="47"/>
  <c r="BL139" i="47"/>
  <c r="BM139" i="47"/>
  <c r="BN139" i="47"/>
  <c r="BO139" i="47"/>
  <c r="BP139" i="47"/>
  <c r="BQ139" i="47"/>
  <c r="BR139" i="47"/>
  <c r="BS139" i="47"/>
  <c r="BT139" i="47"/>
  <c r="BU139" i="47"/>
  <c r="BW139" i="47"/>
  <c r="BX139" i="47"/>
  <c r="BY139" i="47"/>
  <c r="BZ139" i="47"/>
  <c r="CB139" i="47"/>
  <c r="CC139" i="47"/>
  <c r="CD139" i="47"/>
  <c r="CE139" i="47"/>
  <c r="CG139" i="47"/>
  <c r="CH139" i="47"/>
  <c r="CI139" i="47"/>
  <c r="CJ139" i="47"/>
  <c r="CL139" i="47"/>
  <c r="CM139" i="47"/>
  <c r="CN139" i="47"/>
  <c r="CO139" i="47"/>
  <c r="CQ139" i="47"/>
  <c r="CR139" i="47"/>
  <c r="CS139" i="47"/>
  <c r="CD143" i="47"/>
  <c r="AP145" i="47"/>
  <c r="CE145" i="47"/>
  <c r="CM145" i="47"/>
  <c r="CN145" i="47"/>
  <c r="CO145" i="47"/>
  <c r="CQ145" i="47"/>
  <c r="CR145" i="47"/>
  <c r="CS145" i="47"/>
  <c r="C149" i="47"/>
  <c r="D149" i="47"/>
  <c r="E149" i="47"/>
  <c r="F149" i="47"/>
  <c r="G149" i="47"/>
  <c r="H149" i="47"/>
  <c r="I149" i="47"/>
  <c r="J149" i="47"/>
  <c r="K149" i="47"/>
  <c r="L149" i="47"/>
  <c r="M149" i="47"/>
  <c r="N149" i="47"/>
  <c r="O149" i="47"/>
  <c r="P149" i="47"/>
  <c r="Q149" i="47"/>
  <c r="R149" i="47"/>
  <c r="S149" i="47"/>
  <c r="C150" i="47"/>
  <c r="D150" i="47"/>
  <c r="E150" i="47"/>
  <c r="F150" i="47"/>
  <c r="G150" i="47"/>
  <c r="H150" i="47"/>
  <c r="I150" i="47"/>
  <c r="J150" i="47"/>
  <c r="K150" i="47"/>
  <c r="L150" i="47"/>
  <c r="M150" i="47"/>
  <c r="N150" i="47"/>
  <c r="O150" i="47"/>
  <c r="P150" i="47"/>
  <c r="Q150" i="47"/>
  <c r="R150" i="47"/>
  <c r="S150" i="47"/>
  <c r="Y7" i="46"/>
  <c r="Z7" i="46"/>
  <c r="AA7" i="46"/>
  <c r="AD7" i="46"/>
  <c r="AE7" i="46"/>
  <c r="AF7" i="46"/>
  <c r="AI7" i="46"/>
  <c r="AJ7" i="46"/>
  <c r="AK7" i="46"/>
  <c r="AL7" i="46"/>
  <c r="AN7" i="46"/>
  <c r="AO7" i="46"/>
  <c r="AP7" i="46"/>
  <c r="AS7" i="46"/>
  <c r="AU7" i="46"/>
  <c r="AV7" i="46"/>
  <c r="AX7" i="46"/>
  <c r="AY7" i="46"/>
  <c r="AZ7" i="46"/>
  <c r="BA7" i="46"/>
  <c r="BC7" i="46"/>
  <c r="BD7" i="46"/>
  <c r="BE7" i="46"/>
  <c r="BF7" i="46"/>
  <c r="BH7" i="46"/>
  <c r="BI7" i="46"/>
  <c r="BJ7" i="46"/>
  <c r="BK7" i="46"/>
  <c r="BN7" i="46"/>
  <c r="BP7" i="46"/>
  <c r="BR7" i="46"/>
  <c r="BS7" i="46"/>
  <c r="BT7" i="46"/>
  <c r="BU7" i="46"/>
  <c r="BW7" i="46"/>
  <c r="BX7" i="46"/>
  <c r="BY7" i="46"/>
  <c r="BZ7" i="46"/>
  <c r="CB7" i="46"/>
  <c r="CC7" i="46"/>
  <c r="CD7" i="46"/>
  <c r="CE7" i="46"/>
  <c r="CG7" i="46"/>
  <c r="CH7" i="46"/>
  <c r="CI7" i="46"/>
  <c r="CJ7" i="46"/>
  <c r="CL7" i="46"/>
  <c r="Y8" i="46"/>
  <c r="Z8" i="46"/>
  <c r="AA8" i="46"/>
  <c r="AD8" i="46"/>
  <c r="AE8" i="46"/>
  <c r="AF8" i="46"/>
  <c r="AI8" i="46"/>
  <c r="AJ8" i="46"/>
  <c r="AK8" i="46"/>
  <c r="AL8" i="46"/>
  <c r="AN8" i="46"/>
  <c r="AO8" i="46"/>
  <c r="AP8" i="46"/>
  <c r="AS8" i="46"/>
  <c r="AU8" i="46"/>
  <c r="AV8" i="46"/>
  <c r="AX8" i="46"/>
  <c r="AY8" i="46"/>
  <c r="AZ8" i="46"/>
  <c r="BA8" i="46"/>
  <c r="BC8" i="46"/>
  <c r="BD8" i="46"/>
  <c r="BE8" i="46"/>
  <c r="BF8" i="46"/>
  <c r="BH8" i="46"/>
  <c r="BI8" i="46"/>
  <c r="BJ8" i="46"/>
  <c r="BK8" i="46"/>
  <c r="BN8" i="46"/>
  <c r="BO8" i="46"/>
  <c r="BP8" i="46"/>
  <c r="BR8" i="46"/>
  <c r="BS8" i="46"/>
  <c r="BT8" i="46"/>
  <c r="BU8" i="46"/>
  <c r="BW8" i="46"/>
  <c r="BX8" i="46"/>
  <c r="BY8" i="46"/>
  <c r="BZ8" i="46"/>
  <c r="CB8" i="46"/>
  <c r="CC8" i="46"/>
  <c r="CD8" i="46"/>
  <c r="CE8" i="46"/>
  <c r="CG8" i="46"/>
  <c r="CH8" i="46"/>
  <c r="CI8" i="46"/>
  <c r="CJ8" i="46"/>
  <c r="CL8" i="46"/>
  <c r="Y9" i="46"/>
  <c r="Z9" i="46"/>
  <c r="AA9" i="46"/>
  <c r="AD9" i="46"/>
  <c r="AE9" i="46"/>
  <c r="AF9" i="46"/>
  <c r="AI9" i="46"/>
  <c r="AJ9" i="46"/>
  <c r="AK9" i="46"/>
  <c r="AL9" i="46"/>
  <c r="AN9" i="46"/>
  <c r="AO9" i="46"/>
  <c r="AP9" i="46"/>
  <c r="AS9" i="46"/>
  <c r="AT9" i="46"/>
  <c r="AU9" i="46"/>
  <c r="AV9" i="46"/>
  <c r="AX9" i="46"/>
  <c r="AY9" i="46"/>
  <c r="AZ9" i="46"/>
  <c r="BA9" i="46"/>
  <c r="BC9" i="46"/>
  <c r="BD9" i="46"/>
  <c r="BE9" i="46"/>
  <c r="BF9" i="46"/>
  <c r="BH9" i="46"/>
  <c r="BI9" i="46"/>
  <c r="BJ9" i="46"/>
  <c r="BK9" i="46"/>
  <c r="BM9" i="46"/>
  <c r="BN9" i="46"/>
  <c r="BO9" i="46"/>
  <c r="BP9" i="46"/>
  <c r="BR9" i="46"/>
  <c r="BS9" i="46"/>
  <c r="BT9" i="46"/>
  <c r="BU9" i="46"/>
  <c r="BW9" i="46"/>
  <c r="BX9" i="46"/>
  <c r="BY9" i="46"/>
  <c r="BZ9" i="46"/>
  <c r="CB9" i="46"/>
  <c r="CC9" i="46"/>
  <c r="CD9" i="46"/>
  <c r="CE9" i="46"/>
  <c r="CG9" i="46"/>
  <c r="CH9" i="46"/>
  <c r="CI9" i="46"/>
  <c r="CJ9" i="46"/>
  <c r="CL9" i="46"/>
  <c r="Y13" i="46"/>
  <c r="Z13" i="46"/>
  <c r="AA13" i="46"/>
  <c r="AB13" i="46"/>
  <c r="AE13" i="46"/>
  <c r="AF13" i="46"/>
  <c r="AG13" i="46"/>
  <c r="AI13" i="46"/>
  <c r="AJ13" i="46"/>
  <c r="AK13" i="46"/>
  <c r="AL13" i="46"/>
  <c r="AN13" i="46"/>
  <c r="AO13" i="46"/>
  <c r="AP13" i="46"/>
  <c r="AQ13" i="46"/>
  <c r="AS13" i="46"/>
  <c r="AT13" i="46"/>
  <c r="AU13" i="46"/>
  <c r="AV13" i="46"/>
  <c r="AX13" i="46"/>
  <c r="AY13" i="46"/>
  <c r="AZ13" i="46"/>
  <c r="BA13" i="46"/>
  <c r="BC13" i="46"/>
  <c r="BD13" i="46"/>
  <c r="BE13" i="46"/>
  <c r="BF13" i="46"/>
  <c r="BH13" i="46"/>
  <c r="BI13" i="46"/>
  <c r="BJ13" i="46"/>
  <c r="BK13" i="46"/>
  <c r="BM13" i="46"/>
  <c r="BN13" i="46"/>
  <c r="BO13" i="46"/>
  <c r="BP13" i="46"/>
  <c r="BR13" i="46"/>
  <c r="BS13" i="46"/>
  <c r="BT13" i="46"/>
  <c r="BU13" i="46"/>
  <c r="BW13" i="46"/>
  <c r="BX13" i="46"/>
  <c r="BY13" i="46"/>
  <c r="BZ13" i="46"/>
  <c r="CB13" i="46"/>
  <c r="CC13" i="46"/>
  <c r="CD13" i="46"/>
  <c r="CE13" i="46"/>
  <c r="CG13" i="46"/>
  <c r="CH13" i="46"/>
  <c r="CI13" i="46"/>
  <c r="CL13" i="46"/>
  <c r="Y14" i="46"/>
  <c r="Z14" i="46"/>
  <c r="AA14" i="46"/>
  <c r="AB14" i="46"/>
  <c r="AE14" i="46"/>
  <c r="AF14" i="46"/>
  <c r="AG14" i="46"/>
  <c r="AI14" i="46"/>
  <c r="AJ14" i="46"/>
  <c r="AK14" i="46"/>
  <c r="AL14" i="46"/>
  <c r="AN14" i="46"/>
  <c r="AO14" i="46"/>
  <c r="AP14" i="46"/>
  <c r="AQ14" i="46"/>
  <c r="AS14" i="46"/>
  <c r="AT14" i="46"/>
  <c r="AU14" i="46"/>
  <c r="AV14" i="46"/>
  <c r="AX14" i="46"/>
  <c r="AY14" i="46"/>
  <c r="AZ14" i="46"/>
  <c r="BA14" i="46"/>
  <c r="BC14" i="46"/>
  <c r="BD14" i="46"/>
  <c r="BE14" i="46"/>
  <c r="BF14" i="46"/>
  <c r="BH14" i="46"/>
  <c r="BI14" i="46"/>
  <c r="BJ14" i="46"/>
  <c r="BK14" i="46"/>
  <c r="BM14" i="46"/>
  <c r="BN14" i="46"/>
  <c r="BO14" i="46"/>
  <c r="BP14" i="46"/>
  <c r="BR14" i="46"/>
  <c r="BS14" i="46"/>
  <c r="BT14" i="46"/>
  <c r="BU14" i="46"/>
  <c r="BW14" i="46"/>
  <c r="BX14" i="46"/>
  <c r="BY14" i="46"/>
  <c r="BZ14" i="46"/>
  <c r="CB14" i="46"/>
  <c r="CC14" i="46"/>
  <c r="CD14" i="46"/>
  <c r="CE14" i="46"/>
  <c r="CG14" i="46"/>
  <c r="CH14" i="46"/>
  <c r="CI14" i="46"/>
  <c r="CL14" i="46"/>
  <c r="C15" i="46"/>
  <c r="D15" i="46"/>
  <c r="E15" i="46"/>
  <c r="F15" i="46"/>
  <c r="G15" i="46"/>
  <c r="H15" i="46"/>
  <c r="I15" i="46"/>
  <c r="J15" i="46"/>
  <c r="K15" i="46"/>
  <c r="L15" i="46"/>
  <c r="N15" i="46"/>
  <c r="N31" i="46" s="1"/>
  <c r="O15" i="46"/>
  <c r="O31" i="46" s="1"/>
  <c r="P15" i="46"/>
  <c r="P31" i="46" s="1"/>
  <c r="Q15" i="46"/>
  <c r="Q31" i="46" s="1"/>
  <c r="S15" i="46"/>
  <c r="S31" i="46" s="1"/>
  <c r="T15" i="46"/>
  <c r="T31" i="46" s="1"/>
  <c r="U15" i="46"/>
  <c r="U31" i="46" s="1"/>
  <c r="V15" i="46"/>
  <c r="V31" i="46" s="1"/>
  <c r="X15" i="46"/>
  <c r="X31" i="46" s="1"/>
  <c r="Y16" i="46"/>
  <c r="Z16" i="46"/>
  <c r="AA16" i="46"/>
  <c r="AB16" i="46"/>
  <c r="AE16" i="46"/>
  <c r="AF16" i="46"/>
  <c r="AG16" i="46"/>
  <c r="AI16" i="46"/>
  <c r="AJ16" i="46"/>
  <c r="AK16" i="46"/>
  <c r="AL16" i="46"/>
  <c r="AN16" i="46"/>
  <c r="AO16" i="46"/>
  <c r="AP16" i="46"/>
  <c r="AQ16" i="46"/>
  <c r="AS16" i="46"/>
  <c r="AT16" i="46"/>
  <c r="AU16" i="46"/>
  <c r="AV16" i="46"/>
  <c r="AX16" i="46"/>
  <c r="AY16" i="46"/>
  <c r="AZ16" i="46"/>
  <c r="BA16" i="46"/>
  <c r="BC16" i="46"/>
  <c r="BD16" i="46"/>
  <c r="BE16" i="46"/>
  <c r="BF16" i="46"/>
  <c r="BH16" i="46"/>
  <c r="BI16" i="46"/>
  <c r="BJ16" i="46"/>
  <c r="BK16" i="46"/>
  <c r="BM16" i="46"/>
  <c r="BN16" i="46"/>
  <c r="BO16" i="46"/>
  <c r="BP16" i="46"/>
  <c r="BR16" i="46"/>
  <c r="BS16" i="46"/>
  <c r="BT16" i="46"/>
  <c r="BU16" i="46"/>
  <c r="BW16" i="46"/>
  <c r="BX16" i="46"/>
  <c r="BY16" i="46"/>
  <c r="BZ16" i="46"/>
  <c r="CB16" i="46"/>
  <c r="CC16" i="46"/>
  <c r="CD16" i="46"/>
  <c r="CE16" i="46"/>
  <c r="CG16" i="46"/>
  <c r="CH16" i="46"/>
  <c r="CI16" i="46"/>
  <c r="CL16" i="46"/>
  <c r="Y17" i="46"/>
  <c r="Z17" i="46"/>
  <c r="AA17" i="46"/>
  <c r="AB17" i="46"/>
  <c r="AE17" i="46"/>
  <c r="AF17" i="46"/>
  <c r="AG17" i="46"/>
  <c r="AI17" i="46"/>
  <c r="AJ17" i="46"/>
  <c r="AK17" i="46"/>
  <c r="AL17" i="46"/>
  <c r="AN17" i="46"/>
  <c r="AO17" i="46"/>
  <c r="AP17" i="46"/>
  <c r="AQ17" i="46"/>
  <c r="AS17" i="46"/>
  <c r="AT17" i="46"/>
  <c r="AU17" i="46"/>
  <c r="AV17" i="46"/>
  <c r="AX17" i="46"/>
  <c r="AY17" i="46"/>
  <c r="AZ17" i="46"/>
  <c r="BA17" i="46"/>
  <c r="BC17" i="46"/>
  <c r="BD17" i="46"/>
  <c r="BE17" i="46"/>
  <c r="BF17" i="46"/>
  <c r="BH17" i="46"/>
  <c r="BI17" i="46"/>
  <c r="BJ17" i="46"/>
  <c r="BK17" i="46"/>
  <c r="BM17" i="46"/>
  <c r="BN17" i="46"/>
  <c r="BO17" i="46"/>
  <c r="BP17" i="46"/>
  <c r="BR17" i="46"/>
  <c r="BS17" i="46"/>
  <c r="BT17" i="46"/>
  <c r="BU17" i="46"/>
  <c r="BW17" i="46"/>
  <c r="BX17" i="46"/>
  <c r="BY17" i="46"/>
  <c r="BZ17" i="46"/>
  <c r="CB17" i="46"/>
  <c r="CC17" i="46"/>
  <c r="CD17" i="46"/>
  <c r="CE17" i="46"/>
  <c r="CG17" i="46"/>
  <c r="CH17" i="46"/>
  <c r="CI17" i="46"/>
  <c r="CL17" i="46"/>
  <c r="C18" i="46"/>
  <c r="D18" i="46"/>
  <c r="E18" i="46"/>
  <c r="F18" i="46"/>
  <c r="G18" i="46"/>
  <c r="H18" i="46"/>
  <c r="I18" i="46"/>
  <c r="J18" i="46"/>
  <c r="K18" i="46"/>
  <c r="L18" i="46"/>
  <c r="N18" i="46"/>
  <c r="N32" i="46" s="1"/>
  <c r="O18" i="46"/>
  <c r="O32" i="46" s="1"/>
  <c r="P18" i="46"/>
  <c r="P32" i="46" s="1"/>
  <c r="Q18" i="46"/>
  <c r="Q32" i="46" s="1"/>
  <c r="S18" i="46"/>
  <c r="T18" i="46"/>
  <c r="U18" i="46"/>
  <c r="U32" i="46" s="1"/>
  <c r="V18" i="46"/>
  <c r="X18" i="46"/>
  <c r="Y19" i="46"/>
  <c r="Z19" i="46"/>
  <c r="AA19" i="46"/>
  <c r="AB19" i="46"/>
  <c r="AE19" i="46"/>
  <c r="AF19" i="46"/>
  <c r="AG19" i="46"/>
  <c r="AI19" i="46"/>
  <c r="AJ19" i="46"/>
  <c r="AK19" i="46"/>
  <c r="AL19" i="46"/>
  <c r="AN19" i="46"/>
  <c r="AO19" i="46"/>
  <c r="AP19" i="46"/>
  <c r="AQ19" i="46"/>
  <c r="AS19" i="46"/>
  <c r="AU19" i="46"/>
  <c r="AV19" i="46"/>
  <c r="AX19" i="46"/>
  <c r="AY19" i="46"/>
  <c r="AZ19" i="46"/>
  <c r="BA19" i="46"/>
  <c r="BC19" i="46"/>
  <c r="BD19" i="46"/>
  <c r="BE19" i="46"/>
  <c r="BF19" i="46"/>
  <c r="BH19" i="46"/>
  <c r="BI19" i="46"/>
  <c r="BJ19" i="46"/>
  <c r="BK19" i="46"/>
  <c r="BM19" i="46"/>
  <c r="BN19" i="46"/>
  <c r="BO19" i="46"/>
  <c r="BP19" i="46"/>
  <c r="BR19" i="46"/>
  <c r="BS19" i="46"/>
  <c r="BT19" i="46"/>
  <c r="BU19" i="46"/>
  <c r="BW19" i="46"/>
  <c r="BX19" i="46"/>
  <c r="BY19" i="46"/>
  <c r="BZ19" i="46"/>
  <c r="CB19" i="46"/>
  <c r="CC19" i="46"/>
  <c r="CD19" i="46"/>
  <c r="CE19" i="46"/>
  <c r="CG19" i="46"/>
  <c r="CH19" i="46"/>
  <c r="CI19" i="46"/>
  <c r="CL19" i="46"/>
  <c r="Y20" i="46"/>
  <c r="Z20" i="46"/>
  <c r="AA20" i="46"/>
  <c r="AB20" i="46"/>
  <c r="AE20" i="46"/>
  <c r="AF20" i="46"/>
  <c r="AG20" i="46"/>
  <c r="AI20" i="46"/>
  <c r="AJ20" i="46"/>
  <c r="AK20" i="46"/>
  <c r="AL20" i="46"/>
  <c r="AN20" i="46"/>
  <c r="AO20" i="46"/>
  <c r="AP20" i="46"/>
  <c r="AQ20" i="46"/>
  <c r="AS20" i="46"/>
  <c r="AU20" i="46"/>
  <c r="AV20" i="46"/>
  <c r="AX20" i="46"/>
  <c r="AY20" i="46"/>
  <c r="AZ20" i="46"/>
  <c r="BA20" i="46"/>
  <c r="BC20" i="46"/>
  <c r="BD20" i="46"/>
  <c r="BE20" i="46"/>
  <c r="BF20" i="46"/>
  <c r="BH20" i="46"/>
  <c r="BI20" i="46"/>
  <c r="BJ20" i="46"/>
  <c r="BK20" i="46"/>
  <c r="BM20" i="46"/>
  <c r="BN20" i="46"/>
  <c r="BO20" i="46"/>
  <c r="BP20" i="46"/>
  <c r="BR20" i="46"/>
  <c r="BS20" i="46"/>
  <c r="BT20" i="46"/>
  <c r="BU20" i="46"/>
  <c r="BW20" i="46"/>
  <c r="BX20" i="46"/>
  <c r="BY20" i="46"/>
  <c r="BZ20" i="46"/>
  <c r="CB20" i="46"/>
  <c r="CC20" i="46"/>
  <c r="CD20" i="46"/>
  <c r="CE20" i="46"/>
  <c r="CG20" i="46"/>
  <c r="CH20" i="46"/>
  <c r="CI20" i="46"/>
  <c r="CL20" i="46"/>
  <c r="C21" i="46"/>
  <c r="D21" i="46"/>
  <c r="E21" i="46"/>
  <c r="F21" i="46"/>
  <c r="G21" i="46"/>
  <c r="H21" i="46"/>
  <c r="I21" i="46"/>
  <c r="J21" i="46"/>
  <c r="K21" i="46"/>
  <c r="L21" i="46"/>
  <c r="N21" i="46"/>
  <c r="O21" i="46"/>
  <c r="O33" i="46" s="1"/>
  <c r="P21" i="46"/>
  <c r="P33" i="46" s="1"/>
  <c r="Q21" i="46"/>
  <c r="S21" i="46"/>
  <c r="S33" i="46" s="1"/>
  <c r="T21" i="46"/>
  <c r="T33" i="46" s="1"/>
  <c r="U21" i="46"/>
  <c r="U33" i="46" s="1"/>
  <c r="V21" i="46"/>
  <c r="V33" i="46" s="1"/>
  <c r="X21" i="46"/>
  <c r="X33" i="46" s="1"/>
  <c r="AT21" i="46"/>
  <c r="AT53" i="46" s="1"/>
  <c r="C22" i="46"/>
  <c r="D22" i="46"/>
  <c r="E22" i="46"/>
  <c r="F22" i="46"/>
  <c r="G22" i="46"/>
  <c r="H22" i="46"/>
  <c r="I22" i="46"/>
  <c r="J22" i="46"/>
  <c r="K22" i="46"/>
  <c r="L22" i="46"/>
  <c r="N22" i="46"/>
  <c r="N34" i="46" s="1"/>
  <c r="O22" i="46"/>
  <c r="P22" i="46"/>
  <c r="P34" i="46" s="1"/>
  <c r="Q22" i="46"/>
  <c r="Q34" i="46" s="1"/>
  <c r="S22" i="46"/>
  <c r="T22" i="46"/>
  <c r="U22" i="46"/>
  <c r="U34" i="46" s="1"/>
  <c r="V22" i="46"/>
  <c r="X22" i="46"/>
  <c r="X34" i="46" s="1"/>
  <c r="CM28" i="46"/>
  <c r="CM9" i="46" s="1"/>
  <c r="CN28" i="46"/>
  <c r="CN9" i="46" s="1"/>
  <c r="CO28" i="46"/>
  <c r="CO9" i="46" s="1"/>
  <c r="CQ28" i="46"/>
  <c r="CQ9" i="46" s="1"/>
  <c r="CR28" i="46"/>
  <c r="CR9" i="46" s="1"/>
  <c r="CS28" i="46"/>
  <c r="CS9" i="46" s="1"/>
  <c r="N33" i="46"/>
  <c r="CO44" i="46"/>
  <c r="CO45" i="46"/>
  <c r="CP45" i="46"/>
  <c r="CQ45" i="46"/>
  <c r="CQ46" i="46" s="1"/>
  <c r="CR45" i="46"/>
  <c r="CS45" i="46"/>
  <c r="CS46" i="46" s="1"/>
  <c r="CP46" i="46"/>
  <c r="CR46" i="46"/>
  <c r="CO48" i="46"/>
  <c r="CN48" i="46" s="1"/>
  <c r="CM48" i="46" s="1"/>
  <c r="CN49" i="46"/>
  <c r="CO49" i="46"/>
  <c r="CP49" i="46"/>
  <c r="CQ49" i="46"/>
  <c r="CR49" i="46"/>
  <c r="CS49" i="46"/>
  <c r="CS50" i="46" s="1"/>
  <c r="CN50" i="46"/>
  <c r="CP50" i="46"/>
  <c r="CQ50" i="46"/>
  <c r="CR50" i="46"/>
  <c r="CO52" i="46"/>
  <c r="CN52" i="46" s="1"/>
  <c r="CO53" i="46"/>
  <c r="CP53" i="46"/>
  <c r="CP54" i="46" s="1"/>
  <c r="CQ53" i="46"/>
  <c r="CR53" i="46"/>
  <c r="CS53" i="46"/>
  <c r="CO54" i="46"/>
  <c r="CQ54" i="46"/>
  <c r="CR54" i="46"/>
  <c r="CS54" i="46"/>
  <c r="C6" i="45"/>
  <c r="D6" i="45"/>
  <c r="E6" i="45"/>
  <c r="F6" i="45"/>
  <c r="G6" i="45"/>
  <c r="H6" i="45"/>
  <c r="I6" i="45"/>
  <c r="J6" i="45"/>
  <c r="K6" i="45"/>
  <c r="L6" i="45"/>
  <c r="O6" i="45"/>
  <c r="P6" i="45"/>
  <c r="Q6" i="45"/>
  <c r="T6" i="45"/>
  <c r="U6" i="45"/>
  <c r="V6" i="45"/>
  <c r="Y6" i="45"/>
  <c r="Z6" i="45"/>
  <c r="AA6" i="45"/>
  <c r="AD6" i="45"/>
  <c r="AE6" i="45"/>
  <c r="AF6" i="45"/>
  <c r="AI6" i="45"/>
  <c r="AJ6" i="45"/>
  <c r="AK6" i="45"/>
  <c r="AL6" i="45"/>
  <c r="AN6" i="45"/>
  <c r="AO6" i="45"/>
  <c r="AP6" i="45"/>
  <c r="AS6" i="45"/>
  <c r="AT6" i="45"/>
  <c r="AU6" i="45"/>
  <c r="AV6" i="45"/>
  <c r="AX6" i="45"/>
  <c r="AX60" i="45" s="1"/>
  <c r="AY6" i="45"/>
  <c r="AZ6" i="45"/>
  <c r="AZ60" i="45" s="1"/>
  <c r="BA6" i="45"/>
  <c r="BC6" i="45"/>
  <c r="BD6" i="45"/>
  <c r="BE6" i="45"/>
  <c r="BE60" i="45" s="1"/>
  <c r="BF6" i="45"/>
  <c r="BH6" i="45"/>
  <c r="BI6" i="45"/>
  <c r="BJ6" i="45"/>
  <c r="BJ60" i="45" s="1"/>
  <c r="BK6" i="45"/>
  <c r="BM6" i="45"/>
  <c r="BN6" i="45"/>
  <c r="BO6" i="45"/>
  <c r="BP6" i="45"/>
  <c r="BR6" i="45"/>
  <c r="BS6" i="45"/>
  <c r="BT6" i="45"/>
  <c r="BT60" i="45" s="1"/>
  <c r="BU6" i="45"/>
  <c r="BW6" i="45"/>
  <c r="BX6" i="45"/>
  <c r="BX60" i="45" s="1"/>
  <c r="BY6" i="45"/>
  <c r="BY60" i="45" s="1"/>
  <c r="BZ6" i="45"/>
  <c r="CB6" i="45"/>
  <c r="CC6" i="45"/>
  <c r="CD6" i="45"/>
  <c r="CD60" i="45" s="1"/>
  <c r="CE6" i="45"/>
  <c r="CG6" i="45"/>
  <c r="CH6" i="45"/>
  <c r="CI6" i="45"/>
  <c r="CI60" i="45" s="1"/>
  <c r="CJ6" i="45"/>
  <c r="CL6" i="45"/>
  <c r="C7" i="45"/>
  <c r="D7" i="45"/>
  <c r="E7" i="45"/>
  <c r="F7" i="45"/>
  <c r="G7" i="45"/>
  <c r="H7" i="45"/>
  <c r="I7" i="45"/>
  <c r="J7" i="45"/>
  <c r="K7" i="45"/>
  <c r="L7" i="45"/>
  <c r="O7" i="45"/>
  <c r="P7" i="45"/>
  <c r="Q7" i="45"/>
  <c r="T7" i="45"/>
  <c r="U7" i="45"/>
  <c r="V7" i="45"/>
  <c r="Y7" i="45"/>
  <c r="Z7" i="45"/>
  <c r="AA7" i="45"/>
  <c r="AD7" i="45"/>
  <c r="AE7" i="45"/>
  <c r="AF7" i="45"/>
  <c r="AI7" i="45"/>
  <c r="AJ7" i="45"/>
  <c r="AK7" i="45"/>
  <c r="AL7" i="45"/>
  <c r="AO7" i="45"/>
  <c r="AP7" i="45"/>
  <c r="AS7" i="45"/>
  <c r="AT7" i="45"/>
  <c r="AU7" i="45"/>
  <c r="AV7" i="45"/>
  <c r="AX7" i="45"/>
  <c r="AY7" i="45"/>
  <c r="AZ7" i="45"/>
  <c r="BA7" i="45"/>
  <c r="BC7" i="45"/>
  <c r="BD7" i="45"/>
  <c r="BE7" i="45"/>
  <c r="BF7" i="45"/>
  <c r="BH7" i="45"/>
  <c r="BI7" i="45"/>
  <c r="BJ7" i="45"/>
  <c r="BK7" i="45"/>
  <c r="BM7" i="45"/>
  <c r="BN7" i="45"/>
  <c r="BO7" i="45"/>
  <c r="BP7" i="45"/>
  <c r="BR7" i="45"/>
  <c r="BS7" i="45"/>
  <c r="BT7" i="45"/>
  <c r="BU7" i="45"/>
  <c r="BW7" i="45"/>
  <c r="BX7" i="45"/>
  <c r="BY7" i="45"/>
  <c r="BZ7" i="45"/>
  <c r="CB7" i="45"/>
  <c r="CC7" i="45"/>
  <c r="CD7" i="45"/>
  <c r="CE7" i="45"/>
  <c r="CG7" i="45"/>
  <c r="CH7" i="45"/>
  <c r="CI7" i="45"/>
  <c r="CJ7" i="45"/>
  <c r="CL7" i="45"/>
  <c r="C9" i="45"/>
  <c r="D9" i="45"/>
  <c r="E9" i="45"/>
  <c r="F9" i="45"/>
  <c r="G9" i="45"/>
  <c r="H9" i="45"/>
  <c r="I9" i="45"/>
  <c r="J9" i="45"/>
  <c r="K9" i="45"/>
  <c r="L9" i="45"/>
  <c r="O9" i="45"/>
  <c r="P9" i="45"/>
  <c r="Q9" i="45"/>
  <c r="T9" i="45"/>
  <c r="U9" i="45"/>
  <c r="V9" i="45"/>
  <c r="Y9" i="45"/>
  <c r="Z9" i="45"/>
  <c r="AA9" i="45"/>
  <c r="AD9" i="45"/>
  <c r="AE9" i="45"/>
  <c r="AF9" i="45"/>
  <c r="AI9" i="45"/>
  <c r="AJ9" i="45"/>
  <c r="AK9" i="45"/>
  <c r="AL9" i="45"/>
  <c r="AN9" i="45"/>
  <c r="AO9" i="45"/>
  <c r="AP9" i="45"/>
  <c r="AS9" i="45"/>
  <c r="AT9" i="45"/>
  <c r="AU9" i="45"/>
  <c r="AV9" i="45"/>
  <c r="AX9" i="45"/>
  <c r="AY9" i="45"/>
  <c r="AZ9" i="45"/>
  <c r="BA9" i="45"/>
  <c r="BC9" i="45"/>
  <c r="BD9" i="45"/>
  <c r="BE9" i="45"/>
  <c r="BF9" i="45"/>
  <c r="BH9" i="45"/>
  <c r="BI9" i="45"/>
  <c r="BJ9" i="45"/>
  <c r="BK9" i="45"/>
  <c r="BM9" i="45"/>
  <c r="BN9" i="45"/>
  <c r="BO9" i="45"/>
  <c r="BP9" i="45"/>
  <c r="BR9" i="45"/>
  <c r="BS9" i="45"/>
  <c r="BT9" i="45"/>
  <c r="BU9" i="45"/>
  <c r="BW9" i="45"/>
  <c r="BX9" i="45"/>
  <c r="BY9" i="45"/>
  <c r="BZ9" i="45"/>
  <c r="CB9" i="45"/>
  <c r="CC9" i="45"/>
  <c r="CD9" i="45"/>
  <c r="CE9" i="45"/>
  <c r="CG9" i="45"/>
  <c r="CH9" i="45"/>
  <c r="CI9" i="45"/>
  <c r="CJ9" i="45"/>
  <c r="CL9" i="45"/>
  <c r="C10" i="45"/>
  <c r="D10" i="45"/>
  <c r="E10" i="45"/>
  <c r="F10" i="45"/>
  <c r="G10" i="45"/>
  <c r="H10" i="45"/>
  <c r="I10" i="45"/>
  <c r="J10" i="45"/>
  <c r="K10" i="45"/>
  <c r="L10" i="45"/>
  <c r="O10" i="45"/>
  <c r="P10" i="45"/>
  <c r="Q10" i="45"/>
  <c r="T10" i="45"/>
  <c r="U10" i="45"/>
  <c r="V10" i="45"/>
  <c r="Y10" i="45"/>
  <c r="Z10" i="45"/>
  <c r="AA10" i="45"/>
  <c r="AD10" i="45"/>
  <c r="AE10" i="45"/>
  <c r="AF10" i="45"/>
  <c r="AI10" i="45"/>
  <c r="AJ10" i="45"/>
  <c r="AK10" i="45"/>
  <c r="AL10" i="45"/>
  <c r="AN10" i="45"/>
  <c r="AO10" i="45"/>
  <c r="AP10" i="45"/>
  <c r="AS10" i="45"/>
  <c r="AT10" i="45"/>
  <c r="AU10" i="45"/>
  <c r="AV10" i="45"/>
  <c r="AX10" i="45"/>
  <c r="AY10" i="45"/>
  <c r="AZ10" i="45"/>
  <c r="BA10" i="45"/>
  <c r="BC10" i="45"/>
  <c r="BD10" i="45"/>
  <c r="BE10" i="45"/>
  <c r="BF10" i="45"/>
  <c r="BH10" i="45"/>
  <c r="BI10" i="45"/>
  <c r="BJ10" i="45"/>
  <c r="BK10" i="45"/>
  <c r="BM10" i="45"/>
  <c r="BN10" i="45"/>
  <c r="BO10" i="45"/>
  <c r="BP10" i="45"/>
  <c r="BR10" i="45"/>
  <c r="BS10" i="45"/>
  <c r="BT10" i="45"/>
  <c r="BU10" i="45"/>
  <c r="BW10" i="45"/>
  <c r="BX10" i="45"/>
  <c r="BY10" i="45"/>
  <c r="BZ10" i="45"/>
  <c r="CB10" i="45"/>
  <c r="CC10" i="45"/>
  <c r="CD10" i="45"/>
  <c r="CE10" i="45"/>
  <c r="CG10" i="45"/>
  <c r="CH10" i="45"/>
  <c r="CI10" i="45"/>
  <c r="CJ10" i="45"/>
  <c r="CL10" i="45"/>
  <c r="C11" i="45"/>
  <c r="D11" i="45"/>
  <c r="E11" i="45"/>
  <c r="F11" i="45"/>
  <c r="H11" i="45"/>
  <c r="I11" i="45"/>
  <c r="J11" i="45"/>
  <c r="T11" i="45"/>
  <c r="U11" i="45"/>
  <c r="V11" i="45"/>
  <c r="Y11" i="45"/>
  <c r="Z11" i="45"/>
  <c r="AA11" i="45"/>
  <c r="AF11" i="45"/>
  <c r="AI11" i="45"/>
  <c r="AJ11" i="45"/>
  <c r="AK11" i="45"/>
  <c r="AL11" i="45"/>
  <c r="AN11" i="45"/>
  <c r="AO11" i="45"/>
  <c r="AP11" i="45"/>
  <c r="AS11" i="45"/>
  <c r="AT11" i="45"/>
  <c r="AU11" i="45"/>
  <c r="AV11" i="45"/>
  <c r="AX11" i="45"/>
  <c r="AY11" i="45"/>
  <c r="AZ11" i="45"/>
  <c r="BA11" i="45"/>
  <c r="BC11" i="45"/>
  <c r="BD11" i="45"/>
  <c r="BE11" i="45"/>
  <c r="BF11" i="45"/>
  <c r="BH11" i="45"/>
  <c r="BI11" i="45"/>
  <c r="BJ11" i="45"/>
  <c r="BK11" i="45"/>
  <c r="BM11" i="45"/>
  <c r="BN11" i="45"/>
  <c r="BO11" i="45"/>
  <c r="BP11" i="45"/>
  <c r="BR11" i="45"/>
  <c r="BS11" i="45"/>
  <c r="BT11" i="45"/>
  <c r="BU11" i="45"/>
  <c r="BW11" i="45"/>
  <c r="BX11" i="45"/>
  <c r="BY11" i="45"/>
  <c r="BZ11" i="45"/>
  <c r="CB11" i="45"/>
  <c r="CC11" i="45"/>
  <c r="CD11" i="45"/>
  <c r="CE11" i="45"/>
  <c r="CG11" i="45"/>
  <c r="CH11" i="45"/>
  <c r="CI11" i="45"/>
  <c r="CJ11" i="45"/>
  <c r="CL11" i="45"/>
  <c r="CP11" i="45" s="1"/>
  <c r="C13" i="45"/>
  <c r="D13" i="45"/>
  <c r="E13" i="45"/>
  <c r="F13" i="45"/>
  <c r="G13" i="45"/>
  <c r="H13" i="45"/>
  <c r="I13" i="45"/>
  <c r="J13" i="45"/>
  <c r="K13" i="45"/>
  <c r="L13" i="45"/>
  <c r="O13" i="45"/>
  <c r="P13" i="45"/>
  <c r="Q13" i="45"/>
  <c r="T13" i="45"/>
  <c r="U13" i="45"/>
  <c r="V13" i="45"/>
  <c r="Y13" i="45"/>
  <c r="Z13" i="45"/>
  <c r="AA13" i="45"/>
  <c r="AD13" i="45"/>
  <c r="AE13" i="45"/>
  <c r="AF13" i="45"/>
  <c r="AI13" i="45"/>
  <c r="AJ13" i="45"/>
  <c r="AK13" i="45"/>
  <c r="AL13" i="45"/>
  <c r="AN13" i="45"/>
  <c r="AO13" i="45"/>
  <c r="AP13" i="45"/>
  <c r="AS13" i="45"/>
  <c r="AT13" i="45"/>
  <c r="AU13" i="45"/>
  <c r="AV13" i="45"/>
  <c r="AX13" i="45"/>
  <c r="AY13" i="45"/>
  <c r="AZ13" i="45"/>
  <c r="BA13" i="45"/>
  <c r="BC13" i="45"/>
  <c r="BD13" i="45"/>
  <c r="BE13" i="45"/>
  <c r="BF13" i="45"/>
  <c r="BH13" i="45"/>
  <c r="BI13" i="45"/>
  <c r="BJ13" i="45"/>
  <c r="BK13" i="45"/>
  <c r="BM13" i="45"/>
  <c r="BN13" i="45"/>
  <c r="BO13" i="45"/>
  <c r="BP13" i="45"/>
  <c r="BR13" i="45"/>
  <c r="BS13" i="45"/>
  <c r="BT13" i="45"/>
  <c r="BU13" i="45"/>
  <c r="BW13" i="45"/>
  <c r="BX13" i="45"/>
  <c r="BY13" i="45"/>
  <c r="BZ13" i="45"/>
  <c r="CB13" i="45"/>
  <c r="CC13" i="45"/>
  <c r="CD13" i="45"/>
  <c r="CE13" i="45"/>
  <c r="CG13" i="45"/>
  <c r="CH13" i="45"/>
  <c r="CI13" i="45"/>
  <c r="CJ13" i="45"/>
  <c r="CL13" i="45"/>
  <c r="C14" i="45"/>
  <c r="D14" i="45"/>
  <c r="E14" i="45"/>
  <c r="F14" i="45"/>
  <c r="G14" i="45"/>
  <c r="I14" i="45"/>
  <c r="J14" i="45"/>
  <c r="K14" i="45"/>
  <c r="L14" i="45"/>
  <c r="O14" i="45"/>
  <c r="P14" i="45"/>
  <c r="Q14" i="45"/>
  <c r="T14" i="45"/>
  <c r="U14" i="45"/>
  <c r="V14" i="45"/>
  <c r="Y14" i="45"/>
  <c r="Z14" i="45"/>
  <c r="AA14" i="45"/>
  <c r="AD14" i="45"/>
  <c r="AE14" i="45"/>
  <c r="AF14" i="45"/>
  <c r="AI14" i="45"/>
  <c r="AJ14" i="45"/>
  <c r="AK14" i="45"/>
  <c r="AL14" i="45"/>
  <c r="AN14" i="45"/>
  <c r="AO14" i="45"/>
  <c r="AP14" i="45"/>
  <c r="AS14" i="45"/>
  <c r="AT14" i="45"/>
  <c r="AU14" i="45"/>
  <c r="AV14" i="45"/>
  <c r="AX14" i="45"/>
  <c r="AY14" i="45"/>
  <c r="AZ14" i="45"/>
  <c r="BA14" i="45"/>
  <c r="BC14" i="45"/>
  <c r="BD14" i="45"/>
  <c r="BE14" i="45"/>
  <c r="BF14" i="45"/>
  <c r="BH14" i="45"/>
  <c r="BI14" i="45"/>
  <c r="BJ14" i="45"/>
  <c r="BK14" i="45"/>
  <c r="BM14" i="45"/>
  <c r="BN14" i="45"/>
  <c r="BO14" i="45"/>
  <c r="BP14" i="45"/>
  <c r="BR14" i="45"/>
  <c r="BS14" i="45"/>
  <c r="BT14" i="45"/>
  <c r="BU14" i="45"/>
  <c r="BW14" i="45"/>
  <c r="BX14" i="45"/>
  <c r="BY14" i="45"/>
  <c r="BZ14" i="45"/>
  <c r="CB14" i="45"/>
  <c r="CC14" i="45"/>
  <c r="CD14" i="45"/>
  <c r="CE14" i="45"/>
  <c r="CG14" i="45"/>
  <c r="CH14" i="45"/>
  <c r="CI14" i="45"/>
  <c r="CJ14" i="45"/>
  <c r="CL14" i="45"/>
  <c r="CP14" i="45" s="1"/>
  <c r="C16" i="45"/>
  <c r="D16" i="45"/>
  <c r="E16" i="45"/>
  <c r="F16" i="45"/>
  <c r="G16" i="45"/>
  <c r="H16" i="45"/>
  <c r="I16" i="45"/>
  <c r="J16" i="45"/>
  <c r="K16" i="45"/>
  <c r="L16" i="45"/>
  <c r="O16" i="45"/>
  <c r="P16" i="45"/>
  <c r="Q16" i="45"/>
  <c r="T16" i="45"/>
  <c r="U16" i="45"/>
  <c r="V16" i="45"/>
  <c r="Y16" i="45"/>
  <c r="Z16" i="45"/>
  <c r="AA16" i="45"/>
  <c r="AD16" i="45"/>
  <c r="AE16" i="45"/>
  <c r="AF16" i="45"/>
  <c r="AI16" i="45"/>
  <c r="AJ16" i="45"/>
  <c r="AK16" i="45"/>
  <c r="AL16" i="45"/>
  <c r="AN16" i="45"/>
  <c r="AO16" i="45"/>
  <c r="AP16" i="45"/>
  <c r="AS16" i="45"/>
  <c r="AT16" i="45"/>
  <c r="AU16" i="45"/>
  <c r="AV16" i="45"/>
  <c r="AX16" i="45"/>
  <c r="AY16" i="45"/>
  <c r="AZ16" i="45"/>
  <c r="BA16" i="45"/>
  <c r="BC16" i="45"/>
  <c r="BD16" i="45"/>
  <c r="BE16" i="45"/>
  <c r="BF16" i="45"/>
  <c r="BH16" i="45"/>
  <c r="BI16" i="45"/>
  <c r="BJ16" i="45"/>
  <c r="BK16" i="45"/>
  <c r="BM16" i="45"/>
  <c r="BN16" i="45"/>
  <c r="BO16" i="45"/>
  <c r="BP16" i="45"/>
  <c r="BR16" i="45"/>
  <c r="BS16" i="45"/>
  <c r="BT16" i="45"/>
  <c r="BU16" i="45"/>
  <c r="BW16" i="45"/>
  <c r="BX16" i="45"/>
  <c r="BY16" i="45"/>
  <c r="BZ16" i="45"/>
  <c r="CB16" i="45"/>
  <c r="CC16" i="45"/>
  <c r="CD16" i="45"/>
  <c r="CE16" i="45"/>
  <c r="CG16" i="45"/>
  <c r="CH16" i="45"/>
  <c r="CI16" i="45"/>
  <c r="CJ16" i="45"/>
  <c r="CL16" i="45"/>
  <c r="C17" i="45"/>
  <c r="D17" i="45"/>
  <c r="E17" i="45"/>
  <c r="F17" i="45"/>
  <c r="G17" i="45"/>
  <c r="H17" i="45"/>
  <c r="I17" i="45"/>
  <c r="J17" i="45"/>
  <c r="K17" i="45"/>
  <c r="L17" i="45"/>
  <c r="O17" i="45"/>
  <c r="P17" i="45"/>
  <c r="Q17" i="45"/>
  <c r="T17" i="45"/>
  <c r="U17" i="45"/>
  <c r="V17" i="45"/>
  <c r="Y17" i="45"/>
  <c r="Z17" i="45"/>
  <c r="AA17" i="45"/>
  <c r="AD17" i="45"/>
  <c r="AE17" i="45"/>
  <c r="AF17" i="45"/>
  <c r="AI17" i="45"/>
  <c r="AJ17" i="45"/>
  <c r="AK17" i="45"/>
  <c r="AL17" i="45"/>
  <c r="AN17" i="45"/>
  <c r="AO17" i="45"/>
  <c r="AP17" i="45"/>
  <c r="AS17" i="45"/>
  <c r="AT17" i="45"/>
  <c r="AU17" i="45"/>
  <c r="AV17" i="45"/>
  <c r="AX17" i="45"/>
  <c r="AY17" i="45"/>
  <c r="AZ17" i="45"/>
  <c r="BA17" i="45"/>
  <c r="BC17" i="45"/>
  <c r="BD17" i="45"/>
  <c r="BE17" i="45"/>
  <c r="BF17" i="45"/>
  <c r="BH17" i="45"/>
  <c r="BI17" i="45"/>
  <c r="BJ17" i="45"/>
  <c r="BK17" i="45"/>
  <c r="BM17" i="45"/>
  <c r="BN17" i="45"/>
  <c r="BO17" i="45"/>
  <c r="BP17" i="45"/>
  <c r="BR17" i="45"/>
  <c r="BS17" i="45"/>
  <c r="BT17" i="45"/>
  <c r="BU17" i="45"/>
  <c r="BW17" i="45"/>
  <c r="BX17" i="45"/>
  <c r="BY17" i="45"/>
  <c r="BZ17" i="45"/>
  <c r="CB17" i="45"/>
  <c r="CC17" i="45"/>
  <c r="CD17" i="45"/>
  <c r="CE17" i="45"/>
  <c r="CG17" i="45"/>
  <c r="CH17" i="45"/>
  <c r="CI17" i="45"/>
  <c r="CJ17" i="45"/>
  <c r="CL17" i="45"/>
  <c r="CP17" i="45" s="1"/>
  <c r="BL30" i="45"/>
  <c r="BV30" i="45"/>
  <c r="BZ30" i="45"/>
  <c r="CA30" i="45" s="1"/>
  <c r="CF30" i="45"/>
  <c r="CK30" i="45"/>
  <c r="CP30" i="45"/>
  <c r="C34" i="45"/>
  <c r="C23" i="45" s="1"/>
  <c r="D34" i="45"/>
  <c r="D23" i="45" s="1"/>
  <c r="E34" i="45"/>
  <c r="F34" i="45"/>
  <c r="F23" i="45" s="1"/>
  <c r="G34" i="45"/>
  <c r="G23" i="45" s="1"/>
  <c r="H34" i="45"/>
  <c r="H23" i="45" s="1"/>
  <c r="I34" i="45"/>
  <c r="J34" i="45"/>
  <c r="J23" i="45" s="1"/>
  <c r="K34" i="45"/>
  <c r="K23" i="45" s="1"/>
  <c r="L34" i="45"/>
  <c r="L23" i="45" s="1"/>
  <c r="M34" i="45"/>
  <c r="O34" i="45"/>
  <c r="O23" i="45" s="1"/>
  <c r="P34" i="45"/>
  <c r="P23" i="45" s="1"/>
  <c r="Q34" i="45"/>
  <c r="R34" i="45"/>
  <c r="S34" i="45"/>
  <c r="T34" i="45"/>
  <c r="T23" i="45" s="1"/>
  <c r="U34" i="45"/>
  <c r="V34" i="45"/>
  <c r="V23" i="45" s="1"/>
  <c r="Y34" i="45"/>
  <c r="Z34" i="45"/>
  <c r="Z23" i="45" s="1"/>
  <c r="AA34" i="45"/>
  <c r="AD34" i="45"/>
  <c r="AE34" i="45"/>
  <c r="AF34" i="45"/>
  <c r="AF23" i="45" s="1"/>
  <c r="AI34" i="45"/>
  <c r="AI23" i="45" s="1"/>
  <c r="AJ34" i="45"/>
  <c r="AK34" i="45"/>
  <c r="AL34" i="45"/>
  <c r="AN34" i="45"/>
  <c r="AN23" i="45" s="1"/>
  <c r="AO34" i="45"/>
  <c r="AP34" i="45"/>
  <c r="AS34" i="45"/>
  <c r="AT34" i="45"/>
  <c r="AT23" i="45" s="1"/>
  <c r="AU34" i="45"/>
  <c r="AU23" i="45" s="1"/>
  <c r="AV34" i="45"/>
  <c r="AV23" i="45" s="1"/>
  <c r="AX34" i="45"/>
  <c r="AX23" i="45" s="1"/>
  <c r="AY34" i="45"/>
  <c r="AY23" i="45" s="1"/>
  <c r="AZ34" i="45"/>
  <c r="BA34" i="45"/>
  <c r="BC34" i="45"/>
  <c r="BC23" i="45" s="1"/>
  <c r="BD34" i="45"/>
  <c r="BE34" i="45"/>
  <c r="BF34" i="45"/>
  <c r="BH34" i="45"/>
  <c r="BH23" i="45" s="1"/>
  <c r="BI34" i="45"/>
  <c r="BJ34" i="45"/>
  <c r="BJ23" i="45" s="1"/>
  <c r="BK34" i="45"/>
  <c r="BK23" i="45" s="1"/>
  <c r="BM34" i="45"/>
  <c r="BM23" i="45" s="1"/>
  <c r="BN34" i="45"/>
  <c r="BN23" i="45" s="1"/>
  <c r="BO34" i="45"/>
  <c r="BP34" i="45"/>
  <c r="BR34" i="45"/>
  <c r="BR23" i="45" s="1"/>
  <c r="BS34" i="45"/>
  <c r="BS23" i="45" s="1"/>
  <c r="BT34" i="45"/>
  <c r="BT23" i="45" s="1"/>
  <c r="BU34" i="45"/>
  <c r="BU23" i="45" s="1"/>
  <c r="BW34" i="45"/>
  <c r="BW23" i="45" s="1"/>
  <c r="BX34" i="45"/>
  <c r="BY34" i="45"/>
  <c r="BY23" i="45" s="1"/>
  <c r="BZ34" i="45"/>
  <c r="BZ23" i="45" s="1"/>
  <c r="CB34" i="45"/>
  <c r="CC34" i="45"/>
  <c r="CC23" i="45" s="1"/>
  <c r="CD34" i="45"/>
  <c r="CD23" i="45" s="1"/>
  <c r="CE34" i="45"/>
  <c r="CE23" i="45" s="1"/>
  <c r="CF34" i="45"/>
  <c r="CG34" i="45"/>
  <c r="CG23" i="45" s="1"/>
  <c r="CH34" i="45"/>
  <c r="CH23" i="45" s="1"/>
  <c r="CI34" i="45"/>
  <c r="CI23" i="45" s="1"/>
  <c r="CJ34" i="45"/>
  <c r="CJ23" i="45" s="1"/>
  <c r="CK34" i="45"/>
  <c r="CL34" i="45"/>
  <c r="C27" i="45"/>
  <c r="D27" i="45"/>
  <c r="E27" i="45"/>
  <c r="G27" i="45"/>
  <c r="H27" i="45"/>
  <c r="K27" i="45"/>
  <c r="L27" i="45"/>
  <c r="O27" i="45"/>
  <c r="P27" i="45"/>
  <c r="T27" i="45"/>
  <c r="Z27" i="45"/>
  <c r="AD27" i="45"/>
  <c r="AF27" i="45"/>
  <c r="AI27" i="45"/>
  <c r="AJ27" i="45"/>
  <c r="AN27" i="45"/>
  <c r="AS27" i="45"/>
  <c r="AT27" i="45"/>
  <c r="AU27" i="45"/>
  <c r="AV27" i="45"/>
  <c r="AW27" i="45"/>
  <c r="AZ27" i="45"/>
  <c r="BA27" i="45"/>
  <c r="BD27" i="45"/>
  <c r="BE27" i="45"/>
  <c r="BH27" i="45"/>
  <c r="BI27" i="45"/>
  <c r="BJ27" i="45"/>
  <c r="BN27" i="45"/>
  <c r="BO27" i="45"/>
  <c r="BP27" i="45"/>
  <c r="BR27" i="45"/>
  <c r="BT27" i="45"/>
  <c r="BX27" i="45"/>
  <c r="BY27" i="45"/>
  <c r="BZ27" i="45"/>
  <c r="CB27" i="45"/>
  <c r="CE27" i="45"/>
  <c r="CF27" i="45"/>
  <c r="CI27" i="45"/>
  <c r="CJ27" i="45"/>
  <c r="CK27" i="45"/>
  <c r="BM37" i="45"/>
  <c r="BN37" i="45"/>
  <c r="BO37" i="45"/>
  <c r="BP37" i="45"/>
  <c r="BR37" i="45"/>
  <c r="BS37" i="45"/>
  <c r="BT37" i="45"/>
  <c r="BU37" i="45"/>
  <c r="BW37" i="45"/>
  <c r="BX37" i="45"/>
  <c r="BY37" i="45"/>
  <c r="BZ37" i="45"/>
  <c r="CB37" i="45"/>
  <c r="CC37" i="45"/>
  <c r="CD37" i="45"/>
  <c r="CE37" i="45"/>
  <c r="CG37" i="45"/>
  <c r="CH37" i="45"/>
  <c r="CI37" i="45"/>
  <c r="CJ37" i="45"/>
  <c r="CL37" i="45"/>
  <c r="CO37" i="45"/>
  <c r="CQ37" i="45"/>
  <c r="CR37" i="45" s="1"/>
  <c r="CS37" i="45" s="1"/>
  <c r="J40" i="45"/>
  <c r="T40" i="45"/>
  <c r="T41" i="45" s="1"/>
  <c r="U40" i="45"/>
  <c r="U41" i="45" s="1"/>
  <c r="AN40" i="45"/>
  <c r="AS40" i="45"/>
  <c r="AU40" i="45"/>
  <c r="AX40" i="45"/>
  <c r="AY40" i="45"/>
  <c r="AZ40" i="45"/>
  <c r="BC40" i="45"/>
  <c r="BD40" i="45"/>
  <c r="BE40" i="45"/>
  <c r="BH40" i="45"/>
  <c r="BI40" i="45"/>
  <c r="BJ40" i="45"/>
  <c r="BM40" i="45"/>
  <c r="BN40" i="45"/>
  <c r="BO40" i="45"/>
  <c r="BR40" i="45"/>
  <c r="BR41" i="45" s="1"/>
  <c r="BS40" i="45"/>
  <c r="BT40" i="45"/>
  <c r="BW40" i="45"/>
  <c r="BX40" i="45"/>
  <c r="BY40" i="45"/>
  <c r="CB40" i="45"/>
  <c r="CC40" i="45"/>
  <c r="CD40" i="45"/>
  <c r="CG40" i="45"/>
  <c r="CH40" i="45"/>
  <c r="CI40" i="45"/>
  <c r="CI41" i="45" s="1"/>
  <c r="CL40" i="45"/>
  <c r="CM47" i="45"/>
  <c r="CN47" i="45"/>
  <c r="CO47" i="45"/>
  <c r="CQ47" i="45"/>
  <c r="CR47" i="45"/>
  <c r="CS47" i="45"/>
  <c r="DA89" i="45"/>
  <c r="DB89" i="45" s="1"/>
  <c r="DC89" i="45" s="1"/>
  <c r="DD89" i="45" s="1"/>
  <c r="DP51" i="45"/>
  <c r="DQ51" i="45" s="1"/>
  <c r="DR51" i="45" s="1"/>
  <c r="DT51" i="45" s="1"/>
  <c r="DU51" i="45" s="1"/>
  <c r="DV51" i="45" s="1"/>
  <c r="DT54" i="45"/>
  <c r="DU54" i="45" s="1"/>
  <c r="DV54" i="45" s="1"/>
  <c r="DT56" i="45"/>
  <c r="DU56" i="45"/>
  <c r="DV56" i="45"/>
  <c r="DO57" i="45"/>
  <c r="DO59" i="45" s="1"/>
  <c r="DP57" i="45"/>
  <c r="DP59" i="45" s="1"/>
  <c r="DQ57" i="45"/>
  <c r="DQ59" i="45" s="1"/>
  <c r="DR57" i="45"/>
  <c r="DR59" i="45" s="1"/>
  <c r="DA99" i="45"/>
  <c r="DB99" i="45" s="1"/>
  <c r="DC99" i="45" s="1"/>
  <c r="DD99" i="45" s="1"/>
  <c r="C7" i="44"/>
  <c r="C53" i="44" s="1"/>
  <c r="D7" i="44"/>
  <c r="D53" i="44" s="1"/>
  <c r="E7" i="44"/>
  <c r="E53" i="44" s="1"/>
  <c r="F7" i="44"/>
  <c r="G7" i="44"/>
  <c r="G53" i="44" s="1"/>
  <c r="H7" i="44"/>
  <c r="H53" i="44" s="1"/>
  <c r="I7" i="44"/>
  <c r="I53" i="44" s="1"/>
  <c r="J7" i="44"/>
  <c r="K7" i="44"/>
  <c r="K53" i="44" s="1"/>
  <c r="L7" i="44"/>
  <c r="L53" i="44" s="1"/>
  <c r="O7" i="44"/>
  <c r="O53" i="44" s="1"/>
  <c r="P7" i="44"/>
  <c r="P53" i="44" s="1"/>
  <c r="Q7" i="44"/>
  <c r="Q53" i="44" s="1"/>
  <c r="T7" i="44"/>
  <c r="T53" i="44" s="1"/>
  <c r="U7" i="44"/>
  <c r="U53" i="44" s="1"/>
  <c r="V7" i="44"/>
  <c r="V53" i="44" s="1"/>
  <c r="Y7" i="44"/>
  <c r="Y53" i="44" s="1"/>
  <c r="Z7" i="44"/>
  <c r="Z53" i="44" s="1"/>
  <c r="AA7" i="44"/>
  <c r="AA53" i="44" s="1"/>
  <c r="AD7" i="44"/>
  <c r="AD53" i="44" s="1"/>
  <c r="AE7" i="44"/>
  <c r="AF7" i="44"/>
  <c r="AF53" i="44" s="1"/>
  <c r="AI7" i="44"/>
  <c r="AI53" i="44" s="1"/>
  <c r="AJ7" i="44"/>
  <c r="AJ53" i="44" s="1"/>
  <c r="AK7" i="44"/>
  <c r="AK53" i="44" s="1"/>
  <c r="AL7" i="44"/>
  <c r="AL53" i="44" s="1"/>
  <c r="AN7" i="44"/>
  <c r="AN53" i="44" s="1"/>
  <c r="AO7" i="44"/>
  <c r="AO53" i="44" s="1"/>
  <c r="AP7" i="44"/>
  <c r="AP53" i="44" s="1"/>
  <c r="AS7" i="44"/>
  <c r="AS53" i="44" s="1"/>
  <c r="AT7" i="44"/>
  <c r="AT53" i="44" s="1"/>
  <c r="AU7" i="44"/>
  <c r="AU53" i="44" s="1"/>
  <c r="AX7" i="44"/>
  <c r="AX53" i="44" s="1"/>
  <c r="AY7" i="44"/>
  <c r="AY53" i="44" s="1"/>
  <c r="AZ7" i="44"/>
  <c r="AZ53" i="44" s="1"/>
  <c r="BC7" i="44"/>
  <c r="BC53" i="44" s="1"/>
  <c r="BD7" i="44"/>
  <c r="BD53" i="44" s="1"/>
  <c r="BE7" i="44"/>
  <c r="BE53" i="44" s="1"/>
  <c r="BH7" i="44"/>
  <c r="BH53" i="44" s="1"/>
  <c r="BI7" i="44"/>
  <c r="BI53" i="44" s="1"/>
  <c r="BJ7" i="44"/>
  <c r="BJ53" i="44" s="1"/>
  <c r="BK7" i="44"/>
  <c r="BL7" i="44" s="1"/>
  <c r="BL53" i="44" s="1"/>
  <c r="BM7" i="44"/>
  <c r="BM53" i="44" s="1"/>
  <c r="BN7" i="44"/>
  <c r="BN53" i="44" s="1"/>
  <c r="BO7" i="44"/>
  <c r="BO53" i="44" s="1"/>
  <c r="BP7" i="44"/>
  <c r="BQ7" i="44" s="1"/>
  <c r="BQ53" i="44" s="1"/>
  <c r="BR7" i="44"/>
  <c r="BR53" i="44" s="1"/>
  <c r="BS7" i="44"/>
  <c r="BS53" i="44" s="1"/>
  <c r="BT7" i="44"/>
  <c r="BT53" i="44" s="1"/>
  <c r="BU7" i="44"/>
  <c r="BV7" i="44" s="1"/>
  <c r="BV53" i="44" s="1"/>
  <c r="BW7" i="44"/>
  <c r="BW53" i="44" s="1"/>
  <c r="BX7" i="44"/>
  <c r="BX53" i="44" s="1"/>
  <c r="BY7" i="44"/>
  <c r="BY53" i="44" s="1"/>
  <c r="BZ7" i="44"/>
  <c r="BZ53" i="44" s="1"/>
  <c r="CB7" i="44"/>
  <c r="CB53" i="44" s="1"/>
  <c r="CC7" i="44"/>
  <c r="CC53" i="44" s="1"/>
  <c r="CD7" i="44"/>
  <c r="CE7" i="44"/>
  <c r="CF7" i="44" s="1"/>
  <c r="CF53" i="44" s="1"/>
  <c r="CG7" i="44"/>
  <c r="CG53" i="44" s="1"/>
  <c r="CH7" i="44"/>
  <c r="CI7" i="44"/>
  <c r="CI53" i="44" s="1"/>
  <c r="CJ7" i="44"/>
  <c r="CK7" i="44" s="1"/>
  <c r="CK53" i="44" s="1"/>
  <c r="CL7" i="44"/>
  <c r="CL53" i="44" s="1"/>
  <c r="C8" i="44"/>
  <c r="D8" i="44"/>
  <c r="E8" i="44"/>
  <c r="F8" i="44"/>
  <c r="G8" i="44"/>
  <c r="H8" i="44"/>
  <c r="I8" i="44"/>
  <c r="J8" i="44"/>
  <c r="K8" i="44"/>
  <c r="L8" i="44"/>
  <c r="O8" i="44"/>
  <c r="P8" i="44"/>
  <c r="Q8" i="44"/>
  <c r="T8" i="44"/>
  <c r="U8" i="44"/>
  <c r="V8" i="44"/>
  <c r="Y8" i="44"/>
  <c r="Z8" i="44"/>
  <c r="AA8" i="44"/>
  <c r="AD8" i="44"/>
  <c r="AE8" i="44"/>
  <c r="AF8" i="44"/>
  <c r="AI8" i="44"/>
  <c r="AJ8" i="44"/>
  <c r="AK8" i="44"/>
  <c r="AL8" i="44"/>
  <c r="AM8" i="44" s="1"/>
  <c r="AN8" i="44"/>
  <c r="AO8" i="44"/>
  <c r="AP8" i="44"/>
  <c r="AS8" i="44"/>
  <c r="AT8" i="44"/>
  <c r="AU8" i="44"/>
  <c r="AX8" i="44"/>
  <c r="AY8" i="44"/>
  <c r="AZ8" i="44"/>
  <c r="BC8" i="44"/>
  <c r="BD8" i="44"/>
  <c r="BE8" i="44"/>
  <c r="BH8" i="44"/>
  <c r="BI8" i="44"/>
  <c r="BJ8" i="44"/>
  <c r="BK8" i="44"/>
  <c r="BL8" i="44" s="1"/>
  <c r="BM8" i="44"/>
  <c r="BN8" i="44"/>
  <c r="BO8" i="44"/>
  <c r="BP8" i="44"/>
  <c r="BQ8" i="44" s="1"/>
  <c r="BR8" i="44"/>
  <c r="BS8" i="44"/>
  <c r="BT8" i="44"/>
  <c r="BU8" i="44"/>
  <c r="BV8" i="44" s="1"/>
  <c r="BW8" i="44"/>
  <c r="BX8" i="44"/>
  <c r="BY8" i="44"/>
  <c r="BZ8" i="44"/>
  <c r="CA8" i="44" s="1"/>
  <c r="CB8" i="44"/>
  <c r="CC8" i="44"/>
  <c r="CD8" i="44"/>
  <c r="CE8" i="44"/>
  <c r="CF8" i="44" s="1"/>
  <c r="CG8" i="44"/>
  <c r="CH8" i="44"/>
  <c r="CI8" i="44"/>
  <c r="CJ8" i="44"/>
  <c r="CK8" i="44" s="1"/>
  <c r="CL8" i="44"/>
  <c r="C9" i="44"/>
  <c r="D9" i="44"/>
  <c r="E9" i="44"/>
  <c r="F9" i="44"/>
  <c r="G9" i="44"/>
  <c r="H9" i="44"/>
  <c r="I9" i="44"/>
  <c r="J9" i="44"/>
  <c r="K9" i="44"/>
  <c r="L9" i="44"/>
  <c r="O9" i="44"/>
  <c r="P9" i="44"/>
  <c r="Q9" i="44"/>
  <c r="T9" i="44"/>
  <c r="U9" i="44"/>
  <c r="V9" i="44"/>
  <c r="Y9" i="44"/>
  <c r="Z9" i="44"/>
  <c r="AA9" i="44"/>
  <c r="AD9" i="44"/>
  <c r="AE9" i="44"/>
  <c r="AF9" i="44"/>
  <c r="AI9" i="44"/>
  <c r="AJ9" i="44"/>
  <c r="AK9" i="44"/>
  <c r="AL9" i="44"/>
  <c r="AM9" i="44" s="1"/>
  <c r="AN9" i="44"/>
  <c r="AO9" i="44"/>
  <c r="AP9" i="44"/>
  <c r="AS9" i="44"/>
  <c r="AT9" i="44"/>
  <c r="AU9" i="44"/>
  <c r="AX9" i="44"/>
  <c r="AY9" i="44"/>
  <c r="AZ9" i="44"/>
  <c r="BC9" i="44"/>
  <c r="BD9" i="44"/>
  <c r="BE9" i="44"/>
  <c r="BH9" i="44"/>
  <c r="BI9" i="44"/>
  <c r="BJ9" i="44"/>
  <c r="BK9" i="44"/>
  <c r="BL9" i="44" s="1"/>
  <c r="BM9" i="44"/>
  <c r="BN9" i="44"/>
  <c r="BO9" i="44"/>
  <c r="BP9" i="44"/>
  <c r="BR9" i="44"/>
  <c r="BS9" i="44"/>
  <c r="BT9" i="44"/>
  <c r="BU9" i="44"/>
  <c r="BV9" i="44" s="1"/>
  <c r="BW9" i="44"/>
  <c r="BX9" i="44"/>
  <c r="BY9" i="44"/>
  <c r="BZ9" i="44"/>
  <c r="CA9" i="44" s="1"/>
  <c r="CB9" i="44"/>
  <c r="CC9" i="44"/>
  <c r="CD9" i="44"/>
  <c r="CE9" i="44"/>
  <c r="CF9" i="44" s="1"/>
  <c r="CG9" i="44"/>
  <c r="CH9" i="44"/>
  <c r="CI9" i="44"/>
  <c r="CJ9" i="44"/>
  <c r="CL9" i="44"/>
  <c r="C10" i="44"/>
  <c r="D10" i="44"/>
  <c r="G10" i="44"/>
  <c r="H10" i="44"/>
  <c r="I10" i="44"/>
  <c r="J10" i="44"/>
  <c r="K10" i="44"/>
  <c r="L10" i="44"/>
  <c r="O10" i="44"/>
  <c r="P10" i="44"/>
  <c r="Q10" i="44"/>
  <c r="T10" i="44"/>
  <c r="U10" i="44"/>
  <c r="V10" i="44"/>
  <c r="Y10" i="44"/>
  <c r="Z10" i="44"/>
  <c r="AA10" i="44"/>
  <c r="AD10" i="44"/>
  <c r="AE10" i="44"/>
  <c r="AF10" i="44"/>
  <c r="AI10" i="44"/>
  <c r="AJ10" i="44"/>
  <c r="AK10" i="44"/>
  <c r="AL10" i="44"/>
  <c r="AM10" i="44" s="1"/>
  <c r="AN10" i="44"/>
  <c r="AO10" i="44"/>
  <c r="AP10" i="44"/>
  <c r="AS10" i="44"/>
  <c r="AT10" i="44"/>
  <c r="AU10" i="44"/>
  <c r="AX10" i="44"/>
  <c r="AY10" i="44"/>
  <c r="AZ10" i="44"/>
  <c r="BC10" i="44"/>
  <c r="BD10" i="44"/>
  <c r="BE10" i="44"/>
  <c r="BH10" i="44"/>
  <c r="BI10" i="44"/>
  <c r="BJ10" i="44"/>
  <c r="BK10" i="44"/>
  <c r="BL10" i="44" s="1"/>
  <c r="BM10" i="44"/>
  <c r="BN10" i="44"/>
  <c r="BO10" i="44"/>
  <c r="BP10" i="44"/>
  <c r="BQ10" i="44" s="1"/>
  <c r="BR10" i="44"/>
  <c r="BS10" i="44"/>
  <c r="BT10" i="44"/>
  <c r="BU10" i="44"/>
  <c r="BW10" i="44"/>
  <c r="BX10" i="44"/>
  <c r="BY10" i="44"/>
  <c r="BZ10" i="44"/>
  <c r="CA10" i="44" s="1"/>
  <c r="C11" i="44"/>
  <c r="D11" i="44"/>
  <c r="E11" i="44"/>
  <c r="F11" i="44"/>
  <c r="G11" i="44"/>
  <c r="H11" i="44"/>
  <c r="I11" i="44"/>
  <c r="J11" i="44"/>
  <c r="K11" i="44"/>
  <c r="L11" i="44"/>
  <c r="O11" i="44"/>
  <c r="P11" i="44"/>
  <c r="Q11" i="44"/>
  <c r="T11" i="44"/>
  <c r="U11" i="44"/>
  <c r="V11" i="44"/>
  <c r="Y11" i="44"/>
  <c r="Z11" i="44"/>
  <c r="AA11" i="44"/>
  <c r="AD11" i="44"/>
  <c r="AE11" i="44"/>
  <c r="AF11" i="44"/>
  <c r="AI11" i="44"/>
  <c r="AJ11" i="44"/>
  <c r="AK11" i="44"/>
  <c r="AL11" i="44"/>
  <c r="AM11" i="44" s="1"/>
  <c r="AN11" i="44"/>
  <c r="AO11" i="44"/>
  <c r="AP11" i="44"/>
  <c r="AQ11" i="44"/>
  <c r="AR11" i="44" s="1"/>
  <c r="AS11" i="44"/>
  <c r="AT11" i="44"/>
  <c r="AU11" i="44"/>
  <c r="AV11" i="44"/>
  <c r="AW11" i="44" s="1"/>
  <c r="AX11" i="44"/>
  <c r="AY11" i="44"/>
  <c r="AZ11" i="44"/>
  <c r="BA11" i="44"/>
  <c r="BB11" i="44" s="1"/>
  <c r="BC11" i="44"/>
  <c r="BD11" i="44"/>
  <c r="BE11" i="44"/>
  <c r="BF11" i="44"/>
  <c r="BG11" i="44" s="1"/>
  <c r="BH11" i="44"/>
  <c r="BI11" i="44"/>
  <c r="BJ11" i="44"/>
  <c r="BK11" i="44"/>
  <c r="BL11" i="44" s="1"/>
  <c r="BM11" i="44"/>
  <c r="BN11" i="44"/>
  <c r="BO11" i="44"/>
  <c r="BP11" i="44"/>
  <c r="BQ11" i="44" s="1"/>
  <c r="BR11" i="44"/>
  <c r="BS11" i="44"/>
  <c r="BT11" i="44"/>
  <c r="BU11" i="44"/>
  <c r="BV11" i="44" s="1"/>
  <c r="BW11" i="44"/>
  <c r="BX11" i="44"/>
  <c r="BY11" i="44"/>
  <c r="BZ11" i="44"/>
  <c r="CA11" i="44" s="1"/>
  <c r="CB11" i="44"/>
  <c r="CC11" i="44"/>
  <c r="CD11" i="44"/>
  <c r="CE11" i="44"/>
  <c r="CF11" i="44" s="1"/>
  <c r="CG11" i="44"/>
  <c r="CH11" i="44"/>
  <c r="CI11" i="44"/>
  <c r="CJ11" i="44"/>
  <c r="CK11" i="44" s="1"/>
  <c r="CL11" i="44"/>
  <c r="CM11" i="44" s="1"/>
  <c r="CN11" i="44" s="1"/>
  <c r="CO11" i="44" s="1"/>
  <c r="CP11" i="44" s="1"/>
  <c r="CQ11" i="44" s="1"/>
  <c r="CR11" i="44" s="1"/>
  <c r="CS11" i="44" s="1"/>
  <c r="C13" i="44"/>
  <c r="D13" i="44"/>
  <c r="E13" i="44"/>
  <c r="F13" i="44"/>
  <c r="G13" i="44"/>
  <c r="H13" i="44"/>
  <c r="I13" i="44"/>
  <c r="J13" i="44"/>
  <c r="K13" i="44"/>
  <c r="L13" i="44"/>
  <c r="O13" i="44"/>
  <c r="P13" i="44"/>
  <c r="Q13" i="44"/>
  <c r="T13" i="44"/>
  <c r="U13" i="44"/>
  <c r="V13" i="44"/>
  <c r="Y13" i="44"/>
  <c r="Z13" i="44"/>
  <c r="AA13" i="44"/>
  <c r="AD13" i="44"/>
  <c r="AE13" i="44"/>
  <c r="AF13" i="44"/>
  <c r="AI13" i="44"/>
  <c r="AJ13" i="44"/>
  <c r="AK13" i="44"/>
  <c r="AL13" i="44"/>
  <c r="AM13" i="44" s="1"/>
  <c r="AN13" i="44"/>
  <c r="AO13" i="44"/>
  <c r="AP13" i="44"/>
  <c r="AS13" i="44"/>
  <c r="AY13" i="44"/>
  <c r="AZ13" i="44"/>
  <c r="BC13" i="44"/>
  <c r="BD13" i="44"/>
  <c r="BE13" i="44"/>
  <c r="BK13" i="44"/>
  <c r="BL13" i="44" s="1"/>
  <c r="BL211" i="43" s="1"/>
  <c r="BL209" i="43" s="1"/>
  <c r="BN13" i="44"/>
  <c r="BO13" i="44"/>
  <c r="BP13" i="44"/>
  <c r="BQ13" i="44" s="1"/>
  <c r="BQ211" i="43" s="1"/>
  <c r="BQ209" i="43" s="1"/>
  <c r="BR13" i="44"/>
  <c r="BS13" i="44"/>
  <c r="BT13" i="44"/>
  <c r="BU13" i="44"/>
  <c r="BV13" i="44" s="1"/>
  <c r="BV211" i="43" s="1"/>
  <c r="BV209" i="43" s="1"/>
  <c r="BW13" i="44"/>
  <c r="BX13" i="44"/>
  <c r="BZ13" i="44"/>
  <c r="CA13" i="44" s="1"/>
  <c r="CA211" i="43" s="1"/>
  <c r="CA209" i="43" s="1"/>
  <c r="CL13" i="44"/>
  <c r="CM13" i="44" s="1"/>
  <c r="CN13" i="44" s="1"/>
  <c r="CO13" i="44" s="1"/>
  <c r="CP13" i="44" s="1"/>
  <c r="CQ13" i="44" s="1"/>
  <c r="CR13" i="44" s="1"/>
  <c r="CS13" i="44" s="1"/>
  <c r="C14" i="44"/>
  <c r="D14" i="44"/>
  <c r="E14" i="44"/>
  <c r="F14" i="44"/>
  <c r="G14" i="44"/>
  <c r="H14" i="44"/>
  <c r="I14" i="44"/>
  <c r="J14" i="44"/>
  <c r="K14" i="44"/>
  <c r="L14" i="44"/>
  <c r="O14" i="44"/>
  <c r="P14" i="44"/>
  <c r="Q14" i="44"/>
  <c r="T14" i="44"/>
  <c r="U14" i="44"/>
  <c r="V14" i="44"/>
  <c r="Y14" i="44"/>
  <c r="Z14" i="44"/>
  <c r="AA14" i="44"/>
  <c r="AD14" i="44"/>
  <c r="AE14" i="44"/>
  <c r="AF14" i="44"/>
  <c r="AI14" i="44"/>
  <c r="AJ14" i="44"/>
  <c r="AK14" i="44"/>
  <c r="AL14" i="44"/>
  <c r="AM14" i="44" s="1"/>
  <c r="AN14" i="44"/>
  <c r="AO14" i="44"/>
  <c r="AP14" i="44"/>
  <c r="AS14" i="44"/>
  <c r="AT14" i="44"/>
  <c r="AU14" i="44"/>
  <c r="AX14" i="44"/>
  <c r="AY14" i="44"/>
  <c r="AZ14" i="44"/>
  <c r="BC14" i="44"/>
  <c r="BD14" i="44"/>
  <c r="BE14" i="44"/>
  <c r="BH14" i="44"/>
  <c r="BI14" i="44"/>
  <c r="BJ14" i="44"/>
  <c r="BK14" i="44"/>
  <c r="BL14" i="44" s="1"/>
  <c r="BM14" i="44"/>
  <c r="BN14" i="44"/>
  <c r="BO14" i="44"/>
  <c r="BP14" i="44"/>
  <c r="BQ14" i="44" s="1"/>
  <c r="BR14" i="44"/>
  <c r="BS14" i="44"/>
  <c r="BT14" i="44"/>
  <c r="BU14" i="44"/>
  <c r="BV14" i="44" s="1"/>
  <c r="BW14" i="44"/>
  <c r="BX14" i="44"/>
  <c r="BY14" i="44"/>
  <c r="BZ14" i="44"/>
  <c r="CA14" i="44" s="1"/>
  <c r="CB14" i="44"/>
  <c r="CC14" i="44"/>
  <c r="CD14" i="44"/>
  <c r="CE14" i="44"/>
  <c r="CF14" i="44" s="1"/>
  <c r="CG14" i="44"/>
  <c r="CH14" i="44"/>
  <c r="CI14" i="44"/>
  <c r="CJ14" i="44"/>
  <c r="CK14" i="44" s="1"/>
  <c r="CL14" i="44"/>
  <c r="CM14" i="44" s="1"/>
  <c r="CN14" i="44" s="1"/>
  <c r="CO14" i="44" s="1"/>
  <c r="CP14" i="44" s="1"/>
  <c r="CQ14" i="44" s="1"/>
  <c r="CR14" i="44" s="1"/>
  <c r="CS14" i="44" s="1"/>
  <c r="C15" i="44"/>
  <c r="D15" i="44"/>
  <c r="E15" i="44"/>
  <c r="F15" i="44"/>
  <c r="G15" i="44"/>
  <c r="H15" i="44"/>
  <c r="I15" i="44"/>
  <c r="J15" i="44"/>
  <c r="K15" i="44"/>
  <c r="L15" i="44"/>
  <c r="O15" i="44"/>
  <c r="P15" i="44"/>
  <c r="Q15" i="44"/>
  <c r="T15" i="44"/>
  <c r="U15" i="44"/>
  <c r="V15" i="44"/>
  <c r="Y15" i="44"/>
  <c r="Z15" i="44"/>
  <c r="AA15" i="44"/>
  <c r="AD15" i="44"/>
  <c r="AE15" i="44"/>
  <c r="AF15" i="44"/>
  <c r="AI15" i="44"/>
  <c r="AJ15" i="44"/>
  <c r="AK15" i="44"/>
  <c r="AL15" i="44"/>
  <c r="AM15" i="44" s="1"/>
  <c r="AN15" i="44"/>
  <c r="AO15" i="44"/>
  <c r="AP15" i="44"/>
  <c r="AS15" i="44"/>
  <c r="AT15" i="44"/>
  <c r="AU15" i="44"/>
  <c r="AX15" i="44"/>
  <c r="AY15" i="44"/>
  <c r="AZ15" i="44"/>
  <c r="BC15" i="44"/>
  <c r="BD15" i="44"/>
  <c r="BE15" i="44"/>
  <c r="BH15" i="44"/>
  <c r="BI15" i="44"/>
  <c r="BJ15" i="44"/>
  <c r="BK15" i="44"/>
  <c r="BL15" i="44" s="1"/>
  <c r="BM15" i="44"/>
  <c r="BN15" i="44"/>
  <c r="BO15" i="44"/>
  <c r="BP15" i="44"/>
  <c r="BQ15" i="44" s="1"/>
  <c r="BR15" i="44"/>
  <c r="BS15" i="44"/>
  <c r="BT15" i="44"/>
  <c r="BU15" i="44"/>
  <c r="BV15" i="44" s="1"/>
  <c r="BW15" i="44"/>
  <c r="BX15" i="44"/>
  <c r="BY15" i="44"/>
  <c r="BZ15" i="44"/>
  <c r="CA15" i="44" s="1"/>
  <c r="CB15" i="44"/>
  <c r="CC15" i="44"/>
  <c r="CD15" i="44"/>
  <c r="CE15" i="44"/>
  <c r="CF15" i="44" s="1"/>
  <c r="CG15" i="44"/>
  <c r="CH15" i="44"/>
  <c r="CI15" i="44"/>
  <c r="CJ15" i="44"/>
  <c r="CK15" i="44" s="1"/>
  <c r="CL15" i="44"/>
  <c r="CM15" i="44" s="1"/>
  <c r="CN15" i="44" s="1"/>
  <c r="CO15" i="44" s="1"/>
  <c r="CP15" i="44" s="1"/>
  <c r="CQ15" i="44" s="1"/>
  <c r="CR15" i="44" s="1"/>
  <c r="CS15" i="44" s="1"/>
  <c r="C16" i="44"/>
  <c r="D16" i="44"/>
  <c r="E16" i="44"/>
  <c r="F16" i="44"/>
  <c r="G16" i="44"/>
  <c r="H16" i="44"/>
  <c r="I16" i="44"/>
  <c r="J16" i="44"/>
  <c r="K16" i="44"/>
  <c r="L16" i="44"/>
  <c r="O16" i="44"/>
  <c r="P16" i="44"/>
  <c r="Q16" i="44"/>
  <c r="T16" i="44"/>
  <c r="U16" i="44"/>
  <c r="V16" i="44"/>
  <c r="Y16" i="44"/>
  <c r="Z16" i="44"/>
  <c r="AA16" i="44"/>
  <c r="AD16" i="44"/>
  <c r="AE16" i="44"/>
  <c r="AF16" i="44"/>
  <c r="AI16" i="44"/>
  <c r="AJ16" i="44"/>
  <c r="AK16" i="44"/>
  <c r="AL16" i="44"/>
  <c r="AM16" i="44" s="1"/>
  <c r="AN16" i="44"/>
  <c r="AO16" i="44"/>
  <c r="AP16" i="44"/>
  <c r="AS16" i="44"/>
  <c r="AT16" i="44"/>
  <c r="AU16" i="44"/>
  <c r="AX16" i="44"/>
  <c r="AY16" i="44"/>
  <c r="AZ16" i="44"/>
  <c r="BC16" i="44"/>
  <c r="BD16" i="44"/>
  <c r="BE16" i="44"/>
  <c r="BH16" i="44"/>
  <c r="BI16" i="44"/>
  <c r="BJ16" i="44"/>
  <c r="BK16" i="44"/>
  <c r="BL16" i="44" s="1"/>
  <c r="BM16" i="44"/>
  <c r="BN16" i="44"/>
  <c r="BO16" i="44"/>
  <c r="BP16" i="44"/>
  <c r="BQ16" i="44" s="1"/>
  <c r="BR16" i="44"/>
  <c r="BS16" i="44"/>
  <c r="BT16" i="44"/>
  <c r="BU16" i="44"/>
  <c r="BV16" i="44" s="1"/>
  <c r="BW16" i="44"/>
  <c r="BX16" i="44"/>
  <c r="BY16" i="44"/>
  <c r="BZ16" i="44"/>
  <c r="CA16" i="44" s="1"/>
  <c r="CB16" i="44"/>
  <c r="CC16" i="44"/>
  <c r="CD16" i="44"/>
  <c r="CE16" i="44"/>
  <c r="CF16" i="44" s="1"/>
  <c r="CG16" i="44"/>
  <c r="CH16" i="44"/>
  <c r="CI16" i="44"/>
  <c r="CJ16" i="44"/>
  <c r="CK16" i="44" s="1"/>
  <c r="CL16" i="44"/>
  <c r="CM16" i="44" s="1"/>
  <c r="CN16" i="44" s="1"/>
  <c r="CO16" i="44" s="1"/>
  <c r="CP16" i="44" s="1"/>
  <c r="CQ16" i="44" s="1"/>
  <c r="CR16" i="44" s="1"/>
  <c r="CS16" i="44" s="1"/>
  <c r="C17" i="44"/>
  <c r="D17" i="44"/>
  <c r="E17" i="44"/>
  <c r="F17" i="44"/>
  <c r="G17" i="44"/>
  <c r="H17" i="44"/>
  <c r="I17" i="44"/>
  <c r="J17" i="44"/>
  <c r="K17" i="44"/>
  <c r="L17" i="44"/>
  <c r="O17" i="44"/>
  <c r="P17" i="44"/>
  <c r="Q17" i="44"/>
  <c r="T17" i="44"/>
  <c r="U17" i="44"/>
  <c r="V17" i="44"/>
  <c r="Y17" i="44"/>
  <c r="Z17" i="44"/>
  <c r="AA17" i="44"/>
  <c r="AD17" i="44"/>
  <c r="AE17" i="44"/>
  <c r="AF17" i="44"/>
  <c r="AI17" i="44"/>
  <c r="AJ17" i="44"/>
  <c r="AK17" i="44"/>
  <c r="AL17" i="44"/>
  <c r="AM17" i="44" s="1"/>
  <c r="AN17" i="44"/>
  <c r="AO17" i="44"/>
  <c r="AP17" i="44"/>
  <c r="AS17" i="44"/>
  <c r="AT17" i="44"/>
  <c r="AU17" i="44"/>
  <c r="AX17" i="44"/>
  <c r="AY17" i="44"/>
  <c r="AZ17" i="44"/>
  <c r="BC17" i="44"/>
  <c r="BD17" i="44"/>
  <c r="BE17" i="44"/>
  <c r="BH17" i="44"/>
  <c r="BI17" i="44"/>
  <c r="BJ17" i="44"/>
  <c r="BK17" i="44"/>
  <c r="BL17" i="44" s="1"/>
  <c r="BM17" i="44"/>
  <c r="BN17" i="44"/>
  <c r="BO17" i="44"/>
  <c r="BP17" i="44"/>
  <c r="BQ17" i="44" s="1"/>
  <c r="BR17" i="44"/>
  <c r="BS17" i="44"/>
  <c r="BT17" i="44"/>
  <c r="BU17" i="44"/>
  <c r="BV17" i="44" s="1"/>
  <c r="BW17" i="44"/>
  <c r="BX17" i="44"/>
  <c r="BY17" i="44"/>
  <c r="BZ17" i="44"/>
  <c r="CA17" i="44" s="1"/>
  <c r="CB17" i="44"/>
  <c r="CC17" i="44"/>
  <c r="CD17" i="44"/>
  <c r="CE17" i="44"/>
  <c r="CF17" i="44" s="1"/>
  <c r="CG17" i="44"/>
  <c r="CH17" i="44"/>
  <c r="CI17" i="44"/>
  <c r="CJ17" i="44"/>
  <c r="CK17" i="44" s="1"/>
  <c r="CL17" i="44"/>
  <c r="CM17" i="44" s="1"/>
  <c r="CN17" i="44" s="1"/>
  <c r="CO17" i="44" s="1"/>
  <c r="CP17" i="44" s="1"/>
  <c r="CQ17" i="44" s="1"/>
  <c r="CR17" i="44" s="1"/>
  <c r="CS17" i="44" s="1"/>
  <c r="C18" i="44"/>
  <c r="D18" i="44"/>
  <c r="E18" i="44"/>
  <c r="F18" i="44"/>
  <c r="G18" i="44"/>
  <c r="H18" i="44"/>
  <c r="I18" i="44"/>
  <c r="J18" i="44"/>
  <c r="K18" i="44"/>
  <c r="L18" i="44"/>
  <c r="O18" i="44"/>
  <c r="P18" i="44"/>
  <c r="Q18" i="44"/>
  <c r="T18" i="44"/>
  <c r="U18" i="44"/>
  <c r="V18" i="44"/>
  <c r="Y18" i="44"/>
  <c r="Z18" i="44"/>
  <c r="AA18" i="44"/>
  <c r="AD18" i="44"/>
  <c r="AE18" i="44"/>
  <c r="AF18" i="44"/>
  <c r="AI18" i="44"/>
  <c r="AJ18" i="44"/>
  <c r="AK18" i="44"/>
  <c r="AL18" i="44"/>
  <c r="AM18" i="44" s="1"/>
  <c r="AN18" i="44"/>
  <c r="AO18" i="44"/>
  <c r="AP18" i="44"/>
  <c r="AQ18" i="44"/>
  <c r="AR18" i="44" s="1"/>
  <c r="AS18" i="44"/>
  <c r="AT18" i="44"/>
  <c r="AU18" i="44"/>
  <c r="AV18" i="44"/>
  <c r="AW18" i="44" s="1"/>
  <c r="AX18" i="44"/>
  <c r="AY18" i="44"/>
  <c r="AZ18" i="44"/>
  <c r="BA18" i="44"/>
  <c r="BB18" i="44" s="1"/>
  <c r="BC18" i="44"/>
  <c r="BD18" i="44"/>
  <c r="BE18" i="44"/>
  <c r="BF18" i="44"/>
  <c r="BG18" i="44" s="1"/>
  <c r="BH18" i="44"/>
  <c r="BI18" i="44"/>
  <c r="BJ18" i="44"/>
  <c r="BK18" i="44"/>
  <c r="BL18" i="44" s="1"/>
  <c r="BM18" i="44"/>
  <c r="BN18" i="44"/>
  <c r="BO18" i="44"/>
  <c r="BP18" i="44"/>
  <c r="BQ18" i="44" s="1"/>
  <c r="BR18" i="44"/>
  <c r="BS18" i="44"/>
  <c r="BT18" i="44"/>
  <c r="BU18" i="44"/>
  <c r="BV18" i="44" s="1"/>
  <c r="BW18" i="44"/>
  <c r="BX18" i="44"/>
  <c r="BY18" i="44"/>
  <c r="BZ18" i="44"/>
  <c r="CA18" i="44" s="1"/>
  <c r="CB18" i="44"/>
  <c r="CC18" i="44"/>
  <c r="CD18" i="44"/>
  <c r="CE18" i="44"/>
  <c r="CF18" i="44" s="1"/>
  <c r="CG18" i="44"/>
  <c r="CH18" i="44"/>
  <c r="CI18" i="44"/>
  <c r="CJ18" i="44"/>
  <c r="CK18" i="44" s="1"/>
  <c r="CL18" i="44"/>
  <c r="CP18" i="44"/>
  <c r="C22" i="44"/>
  <c r="D22" i="44"/>
  <c r="E22" i="44"/>
  <c r="F22" i="44"/>
  <c r="G22" i="44"/>
  <c r="H22" i="44"/>
  <c r="I22" i="44"/>
  <c r="J22" i="44"/>
  <c r="K22" i="44"/>
  <c r="L22" i="44"/>
  <c r="O22" i="44"/>
  <c r="P22" i="44"/>
  <c r="Q22" i="44"/>
  <c r="T22" i="44"/>
  <c r="U22" i="44"/>
  <c r="V22" i="44"/>
  <c r="Y22" i="44"/>
  <c r="Z22" i="44"/>
  <c r="AA22" i="44"/>
  <c r="AD22" i="44"/>
  <c r="AE22" i="44"/>
  <c r="AF22" i="44"/>
  <c r="AI22" i="44"/>
  <c r="AJ22" i="44"/>
  <c r="AK22" i="44"/>
  <c r="AL22" i="44"/>
  <c r="AM22" i="44" s="1"/>
  <c r="AN22" i="44"/>
  <c r="AO22" i="44"/>
  <c r="AP22" i="44"/>
  <c r="AS22" i="44"/>
  <c r="AT22" i="44"/>
  <c r="AU22" i="44"/>
  <c r="AX22" i="44"/>
  <c r="AY22" i="44"/>
  <c r="AZ22" i="44"/>
  <c r="BC22" i="44"/>
  <c r="BD22" i="44"/>
  <c r="BE22" i="44"/>
  <c r="BH22" i="44"/>
  <c r="BI22" i="44"/>
  <c r="BJ22" i="44"/>
  <c r="BK22" i="44"/>
  <c r="BL22" i="44" s="1"/>
  <c r="BM22" i="44"/>
  <c r="BN22" i="44"/>
  <c r="BO22" i="44"/>
  <c r="BP22" i="44"/>
  <c r="BQ22" i="44" s="1"/>
  <c r="BR22" i="44"/>
  <c r="BS22" i="44"/>
  <c r="BT22" i="44"/>
  <c r="BU22" i="44"/>
  <c r="BV22" i="44" s="1"/>
  <c r="BW22" i="44"/>
  <c r="BX22" i="44"/>
  <c r="BY22" i="44"/>
  <c r="BZ22" i="44"/>
  <c r="CA22" i="44" s="1"/>
  <c r="CB22" i="44"/>
  <c r="CC22" i="44"/>
  <c r="CD22" i="44"/>
  <c r="CE22" i="44"/>
  <c r="CF22" i="44" s="1"/>
  <c r="CG22" i="44"/>
  <c r="CH22" i="44"/>
  <c r="CI22" i="44"/>
  <c r="CJ22" i="44"/>
  <c r="CK22" i="44" s="1"/>
  <c r="CL22" i="44"/>
  <c r="CM22" i="44" s="1"/>
  <c r="CN22" i="44" s="1"/>
  <c r="CO22" i="44" s="1"/>
  <c r="CP22" i="44" s="1"/>
  <c r="CQ22" i="44" s="1"/>
  <c r="CR22" i="44" s="1"/>
  <c r="C23" i="44"/>
  <c r="D23" i="44"/>
  <c r="E23" i="44"/>
  <c r="F23" i="44"/>
  <c r="G23" i="44"/>
  <c r="H23" i="44"/>
  <c r="I23" i="44"/>
  <c r="J23" i="44"/>
  <c r="K23" i="44"/>
  <c r="L23" i="44"/>
  <c r="O23" i="44"/>
  <c r="P23" i="44"/>
  <c r="Q23" i="44"/>
  <c r="T23" i="44"/>
  <c r="U23" i="44"/>
  <c r="V23" i="44"/>
  <c r="Y23" i="44"/>
  <c r="Z23" i="44"/>
  <c r="AA23" i="44"/>
  <c r="AD23" i="44"/>
  <c r="AE23" i="44"/>
  <c r="AF23" i="44"/>
  <c r="AI23" i="44"/>
  <c r="AJ23" i="44"/>
  <c r="AK23" i="44"/>
  <c r="AL23" i="44"/>
  <c r="AM23" i="44" s="1"/>
  <c r="AN23" i="44"/>
  <c r="AO23" i="44"/>
  <c r="AP23" i="44"/>
  <c r="AS23" i="44"/>
  <c r="AT23" i="44"/>
  <c r="AU23" i="44"/>
  <c r="AX23" i="44"/>
  <c r="AY23" i="44"/>
  <c r="AZ23" i="44"/>
  <c r="BC23" i="44"/>
  <c r="BD23" i="44"/>
  <c r="BE23" i="44"/>
  <c r="BH23" i="44"/>
  <c r="BI23" i="44"/>
  <c r="BJ23" i="44"/>
  <c r="BK23" i="44"/>
  <c r="BL23" i="44" s="1"/>
  <c r="BM23" i="44"/>
  <c r="BN23" i="44"/>
  <c r="BO23" i="44"/>
  <c r="BP23" i="44"/>
  <c r="BQ23" i="44" s="1"/>
  <c r="BR23" i="44"/>
  <c r="BS23" i="44"/>
  <c r="BT23" i="44"/>
  <c r="BU23" i="44"/>
  <c r="BV23" i="44" s="1"/>
  <c r="BW23" i="44"/>
  <c r="BX23" i="44"/>
  <c r="BY23" i="44"/>
  <c r="BZ23" i="44"/>
  <c r="CB23" i="44"/>
  <c r="CC23" i="44"/>
  <c r="CD23" i="44"/>
  <c r="CE23" i="44"/>
  <c r="CF23" i="44" s="1"/>
  <c r="CG23" i="44"/>
  <c r="CH23" i="44"/>
  <c r="CI23" i="44"/>
  <c r="CJ23" i="44"/>
  <c r="CK23" i="44" s="1"/>
  <c r="CL23" i="44"/>
  <c r="C24" i="44"/>
  <c r="D24" i="44"/>
  <c r="E24" i="44"/>
  <c r="F24" i="44"/>
  <c r="G24" i="44"/>
  <c r="H24" i="44"/>
  <c r="I24" i="44"/>
  <c r="J24" i="44"/>
  <c r="K24" i="44"/>
  <c r="L24" i="44"/>
  <c r="O24" i="44"/>
  <c r="P24" i="44"/>
  <c r="Q24" i="44"/>
  <c r="T24" i="44"/>
  <c r="U24" i="44"/>
  <c r="V24" i="44"/>
  <c r="Y24" i="44"/>
  <c r="Z24" i="44"/>
  <c r="AA24" i="44"/>
  <c r="AD24" i="44"/>
  <c r="AE24" i="44"/>
  <c r="AF24" i="44"/>
  <c r="AI24" i="44"/>
  <c r="AJ24" i="44"/>
  <c r="AK24" i="44"/>
  <c r="AL24" i="44"/>
  <c r="AM24" i="44" s="1"/>
  <c r="AN24" i="44"/>
  <c r="AO24" i="44"/>
  <c r="AP24" i="44"/>
  <c r="AS24" i="44"/>
  <c r="AT24" i="44"/>
  <c r="AU24" i="44"/>
  <c r="AV24" i="44"/>
  <c r="AW24" i="44" s="1"/>
  <c r="AX24" i="44"/>
  <c r="AY24" i="44"/>
  <c r="AZ24" i="44"/>
  <c r="BC24" i="44"/>
  <c r="BD24" i="44"/>
  <c r="BE24" i="44"/>
  <c r="BH24" i="44"/>
  <c r="BI24" i="44"/>
  <c r="BJ24" i="44"/>
  <c r="BK24" i="44"/>
  <c r="BL24" i="44" s="1"/>
  <c r="BM24" i="44"/>
  <c r="BN24" i="44"/>
  <c r="BO24" i="44"/>
  <c r="BP24" i="44"/>
  <c r="BQ24" i="44" s="1"/>
  <c r="BR24" i="44"/>
  <c r="BS24" i="44"/>
  <c r="BT24" i="44"/>
  <c r="BU24" i="44"/>
  <c r="BV24" i="44" s="1"/>
  <c r="BW24" i="44"/>
  <c r="BX24" i="44"/>
  <c r="BY24" i="44"/>
  <c r="BZ24" i="44"/>
  <c r="CA24" i="44" s="1"/>
  <c r="CB24" i="44"/>
  <c r="CC24" i="44"/>
  <c r="CD24" i="44"/>
  <c r="CE24" i="44"/>
  <c r="CF24" i="44" s="1"/>
  <c r="CG24" i="44"/>
  <c r="CH24" i="44"/>
  <c r="CI24" i="44"/>
  <c r="CJ24" i="44"/>
  <c r="CK24" i="44" s="1"/>
  <c r="CL24" i="44"/>
  <c r="CM24" i="44" s="1"/>
  <c r="CN24" i="44" s="1"/>
  <c r="CO24" i="44" s="1"/>
  <c r="CP24" i="44" s="1"/>
  <c r="CQ24" i="44" s="1"/>
  <c r="CR24" i="44" s="1"/>
  <c r="CS24" i="44" s="1"/>
  <c r="C25" i="44"/>
  <c r="D25" i="44"/>
  <c r="E25" i="44"/>
  <c r="F25" i="44"/>
  <c r="G25" i="44"/>
  <c r="H25" i="44"/>
  <c r="I25" i="44"/>
  <c r="J25" i="44"/>
  <c r="K25" i="44"/>
  <c r="L25" i="44"/>
  <c r="O25" i="44"/>
  <c r="P25" i="44"/>
  <c r="Q25" i="44"/>
  <c r="T25" i="44"/>
  <c r="U25" i="44"/>
  <c r="V25" i="44"/>
  <c r="Y25" i="44"/>
  <c r="Z25" i="44"/>
  <c r="AA25" i="44"/>
  <c r="AD25" i="44"/>
  <c r="AE25" i="44"/>
  <c r="AF25" i="44"/>
  <c r="AI25" i="44"/>
  <c r="AJ25" i="44"/>
  <c r="AK25" i="44"/>
  <c r="AL25" i="44"/>
  <c r="AM25" i="44" s="1"/>
  <c r="AN25" i="44"/>
  <c r="AO25" i="44"/>
  <c r="AP25" i="44"/>
  <c r="AS25" i="44"/>
  <c r="AT25" i="44"/>
  <c r="AU25" i="44"/>
  <c r="AV25" i="44"/>
  <c r="AW25" i="44" s="1"/>
  <c r="AX25" i="44"/>
  <c r="AY25" i="44"/>
  <c r="AZ25" i="44"/>
  <c r="BA25" i="44"/>
  <c r="BB25" i="44" s="1"/>
  <c r="BC25" i="44"/>
  <c r="BD25" i="44"/>
  <c r="BE25" i="44"/>
  <c r="BF25" i="44"/>
  <c r="BG25" i="44" s="1"/>
  <c r="BH25" i="44"/>
  <c r="BI25" i="44"/>
  <c r="BJ25" i="44"/>
  <c r="BK25" i="44"/>
  <c r="BL25" i="44" s="1"/>
  <c r="BM25" i="44"/>
  <c r="BN25" i="44"/>
  <c r="BO25" i="44"/>
  <c r="BP25" i="44"/>
  <c r="BQ25" i="44" s="1"/>
  <c r="BR25" i="44"/>
  <c r="BS25" i="44"/>
  <c r="BT25" i="44"/>
  <c r="BU25" i="44"/>
  <c r="BV25" i="44" s="1"/>
  <c r="BW25" i="44"/>
  <c r="BX25" i="44"/>
  <c r="BY25" i="44"/>
  <c r="BZ25" i="44"/>
  <c r="CA25" i="44" s="1"/>
  <c r="CB25" i="44"/>
  <c r="CC25" i="44"/>
  <c r="CD25" i="44"/>
  <c r="CE25" i="44"/>
  <c r="CF25" i="44" s="1"/>
  <c r="CG25" i="44"/>
  <c r="CH25" i="44"/>
  <c r="CI25" i="44"/>
  <c r="CJ25" i="44"/>
  <c r="CK25" i="44" s="1"/>
  <c r="CL25" i="44"/>
  <c r="CP25" i="44"/>
  <c r="C26" i="44"/>
  <c r="D26" i="44"/>
  <c r="E26" i="44"/>
  <c r="F26" i="44"/>
  <c r="G26" i="44"/>
  <c r="H26" i="44"/>
  <c r="I26" i="44"/>
  <c r="J26" i="44"/>
  <c r="K26" i="44"/>
  <c r="L26" i="44"/>
  <c r="O26" i="44"/>
  <c r="P26" i="44"/>
  <c r="Q26" i="44"/>
  <c r="T26" i="44"/>
  <c r="U26" i="44"/>
  <c r="V26" i="44"/>
  <c r="Y26" i="44"/>
  <c r="Z26" i="44"/>
  <c r="AA26" i="44"/>
  <c r="AD26" i="44"/>
  <c r="AE26" i="44"/>
  <c r="AF26" i="44"/>
  <c r="AI26" i="44"/>
  <c r="AJ26" i="44"/>
  <c r="AK26" i="44"/>
  <c r="AL26" i="44"/>
  <c r="AM26" i="44" s="1"/>
  <c r="AN26" i="44"/>
  <c r="AO26" i="44"/>
  <c r="AP26" i="44"/>
  <c r="AQ26" i="44"/>
  <c r="AR26" i="44" s="1"/>
  <c r="AS26" i="44"/>
  <c r="AT26" i="44"/>
  <c r="AU26" i="44"/>
  <c r="AV26" i="44"/>
  <c r="AW26" i="44" s="1"/>
  <c r="AX26" i="44"/>
  <c r="AY26" i="44"/>
  <c r="AZ26" i="44"/>
  <c r="BA26" i="44"/>
  <c r="BB26" i="44" s="1"/>
  <c r="BC26" i="44"/>
  <c r="BD26" i="44"/>
  <c r="BE26" i="44"/>
  <c r="BF26" i="44"/>
  <c r="BG26" i="44" s="1"/>
  <c r="BH26" i="44"/>
  <c r="BI26" i="44"/>
  <c r="BJ26" i="44"/>
  <c r="BK26" i="44"/>
  <c r="BL26" i="44" s="1"/>
  <c r="BM26" i="44"/>
  <c r="BN26" i="44"/>
  <c r="BO26" i="44"/>
  <c r="BP26" i="44"/>
  <c r="BQ26" i="44" s="1"/>
  <c r="BR26" i="44"/>
  <c r="BS26" i="44"/>
  <c r="BT26" i="44"/>
  <c r="BU26" i="44"/>
  <c r="BW26" i="44"/>
  <c r="BX26" i="44"/>
  <c r="BY26" i="44"/>
  <c r="BZ26" i="44"/>
  <c r="CA26" i="44" s="1"/>
  <c r="CB26" i="44"/>
  <c r="CC26" i="44"/>
  <c r="CD26" i="44"/>
  <c r="CE26" i="44"/>
  <c r="CF26" i="44" s="1"/>
  <c r="CG26" i="44"/>
  <c r="CH26" i="44"/>
  <c r="CI26" i="44"/>
  <c r="CJ26" i="44"/>
  <c r="CK26" i="44" s="1"/>
  <c r="CL26" i="44"/>
  <c r="C27" i="44"/>
  <c r="D27" i="44"/>
  <c r="E27" i="44"/>
  <c r="F27" i="44"/>
  <c r="G27" i="44"/>
  <c r="H27" i="44"/>
  <c r="I27" i="44"/>
  <c r="J27" i="44"/>
  <c r="K27" i="44"/>
  <c r="L27" i="44"/>
  <c r="O27" i="44"/>
  <c r="P27" i="44"/>
  <c r="Q27" i="44"/>
  <c r="T27" i="44"/>
  <c r="U27" i="44"/>
  <c r="V27" i="44"/>
  <c r="Y27" i="44"/>
  <c r="Z27" i="44"/>
  <c r="AA27" i="44"/>
  <c r="AD27" i="44"/>
  <c r="AE27" i="44"/>
  <c r="AF27" i="44"/>
  <c r="AI27" i="44"/>
  <c r="AJ27" i="44"/>
  <c r="AK27" i="44"/>
  <c r="AL27" i="44"/>
  <c r="AN27" i="44"/>
  <c r="AO27" i="44"/>
  <c r="AP27" i="44"/>
  <c r="AT27" i="44"/>
  <c r="AU27" i="44"/>
  <c r="AX27" i="44"/>
  <c r="AY27" i="44"/>
  <c r="AZ27" i="44"/>
  <c r="BC27" i="44"/>
  <c r="BD27" i="44"/>
  <c r="BE27" i="44"/>
  <c r="BH27" i="44"/>
  <c r="BI27" i="44"/>
  <c r="BJ27" i="44"/>
  <c r="BK27" i="44"/>
  <c r="BM27" i="44"/>
  <c r="BN27" i="44"/>
  <c r="BO27" i="44"/>
  <c r="BP27" i="44"/>
  <c r="BQ27" i="44" s="1"/>
  <c r="BT27" i="44"/>
  <c r="BU27" i="44"/>
  <c r="BV27" i="44" s="1"/>
  <c r="BW27" i="44"/>
  <c r="BX27" i="44"/>
  <c r="BY27" i="44"/>
  <c r="BZ27" i="44"/>
  <c r="CA27" i="44" s="1"/>
  <c r="CB27" i="44"/>
  <c r="CD27" i="44"/>
  <c r="CE27" i="44"/>
  <c r="CF27" i="44" s="1"/>
  <c r="CG27" i="44"/>
  <c r="CH27" i="44"/>
  <c r="CI27" i="44"/>
  <c r="CJ27" i="44"/>
  <c r="CK27" i="44" s="1"/>
  <c r="CL27" i="44"/>
  <c r="CM27" i="44" s="1"/>
  <c r="CN27" i="44" s="1"/>
  <c r="CO27" i="44" s="1"/>
  <c r="CP27" i="44" s="1"/>
  <c r="CQ27" i="44" s="1"/>
  <c r="CR27" i="44" s="1"/>
  <c r="CS27" i="44" s="1"/>
  <c r="C28" i="44"/>
  <c r="D28" i="44"/>
  <c r="E28" i="44"/>
  <c r="F28" i="44"/>
  <c r="G28" i="44"/>
  <c r="H28" i="44"/>
  <c r="I28" i="44"/>
  <c r="J28" i="44"/>
  <c r="K28" i="44"/>
  <c r="L28" i="44"/>
  <c r="O28" i="44"/>
  <c r="P28" i="44"/>
  <c r="Q28" i="44"/>
  <c r="T28" i="44"/>
  <c r="U28" i="44"/>
  <c r="V28" i="44"/>
  <c r="Y28" i="44"/>
  <c r="Z28" i="44"/>
  <c r="AA28" i="44"/>
  <c r="AD28" i="44"/>
  <c r="AE28" i="44"/>
  <c r="AF28" i="44"/>
  <c r="AI28" i="44"/>
  <c r="AJ28" i="44"/>
  <c r="AK28" i="44"/>
  <c r="AL28" i="44"/>
  <c r="AM28" i="44" s="1"/>
  <c r="AN28" i="44"/>
  <c r="AO28" i="44"/>
  <c r="AP28" i="44"/>
  <c r="AQ28" i="44"/>
  <c r="AR28" i="44" s="1"/>
  <c r="AS28" i="44"/>
  <c r="AT28" i="44"/>
  <c r="AU28" i="44"/>
  <c r="AV28" i="44"/>
  <c r="AW28" i="44" s="1"/>
  <c r="AX28" i="44"/>
  <c r="AY28" i="44"/>
  <c r="AZ28" i="44"/>
  <c r="BA28" i="44"/>
  <c r="BB28" i="44" s="1"/>
  <c r="BC28" i="44"/>
  <c r="BD28" i="44"/>
  <c r="BE28" i="44"/>
  <c r="BF28" i="44"/>
  <c r="BG28" i="44" s="1"/>
  <c r="BH28" i="44"/>
  <c r="BI28" i="44"/>
  <c r="BJ28" i="44"/>
  <c r="BK28" i="44"/>
  <c r="BL28" i="44" s="1"/>
  <c r="BM28" i="44"/>
  <c r="BN28" i="44"/>
  <c r="BO28" i="44"/>
  <c r="BP28" i="44"/>
  <c r="BQ28" i="44" s="1"/>
  <c r="BR28" i="44"/>
  <c r="BS28" i="44"/>
  <c r="BT28" i="44"/>
  <c r="BU28" i="44"/>
  <c r="BV28" i="44" s="1"/>
  <c r="BW28" i="44"/>
  <c r="BX28" i="44"/>
  <c r="BY28" i="44"/>
  <c r="BZ28" i="44"/>
  <c r="CA28" i="44" s="1"/>
  <c r="CB28" i="44"/>
  <c r="CC28" i="44"/>
  <c r="CD28" i="44"/>
  <c r="CE28" i="44"/>
  <c r="CG28" i="44"/>
  <c r="CH28" i="44"/>
  <c r="CI28" i="44"/>
  <c r="CJ28" i="44"/>
  <c r="CK28" i="44" s="1"/>
  <c r="CL28" i="44"/>
  <c r="CM28" i="44" s="1"/>
  <c r="CN28" i="44" s="1"/>
  <c r="CO28" i="44" s="1"/>
  <c r="CP28" i="44" s="1"/>
  <c r="CQ28" i="44" s="1"/>
  <c r="CR28" i="44" s="1"/>
  <c r="CS28" i="44" s="1"/>
  <c r="C30" i="44"/>
  <c r="C56" i="44" s="1"/>
  <c r="D30" i="44"/>
  <c r="D56" i="44" s="1"/>
  <c r="E30" i="44"/>
  <c r="F30" i="44"/>
  <c r="F56" i="44" s="1"/>
  <c r="G30" i="44"/>
  <c r="G56" i="44" s="1"/>
  <c r="H30" i="44"/>
  <c r="H56" i="44" s="1"/>
  <c r="I30" i="44"/>
  <c r="I56" i="44" s="1"/>
  <c r="J30" i="44"/>
  <c r="J56" i="44" s="1"/>
  <c r="K30" i="44"/>
  <c r="K56" i="44" s="1"/>
  <c r="L30" i="44"/>
  <c r="L56" i="44" s="1"/>
  <c r="O30" i="44"/>
  <c r="O56" i="44" s="1"/>
  <c r="P30" i="44"/>
  <c r="P56" i="44" s="1"/>
  <c r="Q30" i="44"/>
  <c r="Q56" i="44" s="1"/>
  <c r="T30" i="44"/>
  <c r="T56" i="44" s="1"/>
  <c r="U30" i="44"/>
  <c r="U56" i="44" s="1"/>
  <c r="V30" i="44"/>
  <c r="V56" i="44" s="1"/>
  <c r="Y30" i="44"/>
  <c r="Y56" i="44" s="1"/>
  <c r="Z30" i="44"/>
  <c r="Z56" i="44" s="1"/>
  <c r="AA30" i="44"/>
  <c r="AA56" i="44" s="1"/>
  <c r="AD30" i="44"/>
  <c r="AD56" i="44" s="1"/>
  <c r="AE30" i="44"/>
  <c r="AE56" i="44" s="1"/>
  <c r="AF30" i="44"/>
  <c r="AF56" i="44" s="1"/>
  <c r="AI30" i="44"/>
  <c r="AI56" i="44" s="1"/>
  <c r="AJ30" i="44"/>
  <c r="AJ56" i="44" s="1"/>
  <c r="AK30" i="44"/>
  <c r="AK56" i="44" s="1"/>
  <c r="AL30" i="44"/>
  <c r="AM30" i="44" s="1"/>
  <c r="AM56" i="44" s="1"/>
  <c r="AN30" i="44"/>
  <c r="AN56" i="44" s="1"/>
  <c r="AO30" i="44"/>
  <c r="AO56" i="44" s="1"/>
  <c r="AP30" i="44"/>
  <c r="AP56" i="44" s="1"/>
  <c r="AS30" i="44"/>
  <c r="AS56" i="44" s="1"/>
  <c r="AT30" i="44"/>
  <c r="AT56" i="44" s="1"/>
  <c r="AU30" i="44"/>
  <c r="AU56" i="44" s="1"/>
  <c r="AX30" i="44"/>
  <c r="AX56" i="44" s="1"/>
  <c r="AY30" i="44"/>
  <c r="AY56" i="44" s="1"/>
  <c r="AZ30" i="44"/>
  <c r="AZ56" i="44" s="1"/>
  <c r="BC30" i="44"/>
  <c r="BC56" i="44" s="1"/>
  <c r="BD30" i="44"/>
  <c r="BD56" i="44" s="1"/>
  <c r="BE30" i="44"/>
  <c r="BE56" i="44" s="1"/>
  <c r="BH30" i="44"/>
  <c r="BH56" i="44" s="1"/>
  <c r="BI30" i="44"/>
  <c r="BI56" i="44" s="1"/>
  <c r="BJ30" i="44"/>
  <c r="BJ56" i="44" s="1"/>
  <c r="BK30" i="44"/>
  <c r="BL30" i="44" s="1"/>
  <c r="BL56" i="44" s="1"/>
  <c r="BM30" i="44"/>
  <c r="BM56" i="44" s="1"/>
  <c r="BN30" i="44"/>
  <c r="BN56" i="44" s="1"/>
  <c r="BO30" i="44"/>
  <c r="BO56" i="44" s="1"/>
  <c r="BP30" i="44"/>
  <c r="BQ30" i="44" s="1"/>
  <c r="BQ56" i="44" s="1"/>
  <c r="BR30" i="44"/>
  <c r="BR56" i="44" s="1"/>
  <c r="BS30" i="44"/>
  <c r="BS56" i="44" s="1"/>
  <c r="BT30" i="44"/>
  <c r="BT56" i="44" s="1"/>
  <c r="BU30" i="44"/>
  <c r="BV30" i="44" s="1"/>
  <c r="BV56" i="44" s="1"/>
  <c r="BW30" i="44"/>
  <c r="BW56" i="44" s="1"/>
  <c r="BX30" i="44"/>
  <c r="BX56" i="44" s="1"/>
  <c r="BY30" i="44"/>
  <c r="BY56" i="44" s="1"/>
  <c r="BZ30" i="44"/>
  <c r="CA30" i="44" s="1"/>
  <c r="CA56" i="44" s="1"/>
  <c r="CB30" i="44"/>
  <c r="CB56" i="44" s="1"/>
  <c r="CC30" i="44"/>
  <c r="CD30" i="44"/>
  <c r="CD56" i="44" s="1"/>
  <c r="CE30" i="44"/>
  <c r="CF30" i="44" s="1"/>
  <c r="CF56" i="44" s="1"/>
  <c r="CG30" i="44"/>
  <c r="CG56" i="44" s="1"/>
  <c r="CH30" i="44"/>
  <c r="CH56" i="44" s="1"/>
  <c r="CI30" i="44"/>
  <c r="CI56" i="44" s="1"/>
  <c r="CJ30" i="44"/>
  <c r="CK30" i="44" s="1"/>
  <c r="CK56" i="44" s="1"/>
  <c r="CL30" i="44"/>
  <c r="C31" i="44"/>
  <c r="D31" i="44"/>
  <c r="E31" i="44"/>
  <c r="F31" i="44"/>
  <c r="G31" i="44"/>
  <c r="H31" i="44"/>
  <c r="I31" i="44"/>
  <c r="J31" i="44"/>
  <c r="K31" i="44"/>
  <c r="L31" i="44"/>
  <c r="O31" i="44"/>
  <c r="P31" i="44"/>
  <c r="Q31" i="44"/>
  <c r="T31" i="44"/>
  <c r="U31" i="44"/>
  <c r="V31" i="44"/>
  <c r="Y31" i="44"/>
  <c r="Z31" i="44"/>
  <c r="AA31" i="44"/>
  <c r="AD31" i="44"/>
  <c r="AE31" i="44"/>
  <c r="AF31" i="44"/>
  <c r="AI31" i="44"/>
  <c r="AJ31" i="44"/>
  <c r="AK31" i="44"/>
  <c r="AL31" i="44"/>
  <c r="AM31" i="44" s="1"/>
  <c r="AN31" i="44"/>
  <c r="AO31" i="44"/>
  <c r="AP31" i="44"/>
  <c r="AS31" i="44"/>
  <c r="AT31" i="44"/>
  <c r="AU31" i="44"/>
  <c r="AV31" i="44"/>
  <c r="AW31" i="44" s="1"/>
  <c r="AX31" i="44"/>
  <c r="AY31" i="44"/>
  <c r="AZ31" i="44"/>
  <c r="BA31" i="44"/>
  <c r="BB31" i="44" s="1"/>
  <c r="BC31" i="44"/>
  <c r="BD31" i="44"/>
  <c r="BE31" i="44"/>
  <c r="BF31" i="44"/>
  <c r="BG31" i="44" s="1"/>
  <c r="BH31" i="44"/>
  <c r="BI31" i="44"/>
  <c r="BJ31" i="44"/>
  <c r="BK31" i="44"/>
  <c r="BL31" i="44" s="1"/>
  <c r="BM31" i="44"/>
  <c r="BN31" i="44"/>
  <c r="BO31" i="44"/>
  <c r="BP31" i="44"/>
  <c r="BQ31" i="44" s="1"/>
  <c r="BR31" i="44"/>
  <c r="BS31" i="44"/>
  <c r="BT31" i="44"/>
  <c r="BU31" i="44"/>
  <c r="BV31" i="44" s="1"/>
  <c r="BW31" i="44"/>
  <c r="BX31" i="44"/>
  <c r="BY31" i="44"/>
  <c r="BZ31" i="44"/>
  <c r="CA31" i="44" s="1"/>
  <c r="CB31" i="44"/>
  <c r="CC31" i="44"/>
  <c r="CD31" i="44"/>
  <c r="CE31" i="44"/>
  <c r="CF31" i="44" s="1"/>
  <c r="CG31" i="44"/>
  <c r="CH31" i="44"/>
  <c r="CI31" i="44"/>
  <c r="CJ31" i="44"/>
  <c r="CK31" i="44" s="1"/>
  <c r="CL31" i="44"/>
  <c r="CM31" i="44" s="1"/>
  <c r="CN31" i="44" s="1"/>
  <c r="CO31" i="44" s="1"/>
  <c r="CP31" i="44" s="1"/>
  <c r="CQ31" i="44" s="1"/>
  <c r="CR31" i="44" s="1"/>
  <c r="CS31" i="44" s="1"/>
  <c r="G32" i="44"/>
  <c r="H32" i="44"/>
  <c r="I32" i="44"/>
  <c r="J32" i="44"/>
  <c r="K32" i="44"/>
  <c r="L32" i="44"/>
  <c r="O32" i="44"/>
  <c r="P32" i="44"/>
  <c r="Q32" i="44"/>
  <c r="T32" i="44"/>
  <c r="U32" i="44"/>
  <c r="V32" i="44"/>
  <c r="Y32" i="44"/>
  <c r="Z32" i="44"/>
  <c r="AA32" i="44"/>
  <c r="AD32" i="44"/>
  <c r="AE32" i="44"/>
  <c r="AF32" i="44"/>
  <c r="AI32" i="44"/>
  <c r="AJ32" i="44"/>
  <c r="AK32" i="44"/>
  <c r="AL32" i="44"/>
  <c r="AM32" i="44" s="1"/>
  <c r="AN32" i="44"/>
  <c r="AO32" i="44"/>
  <c r="AP32" i="44"/>
  <c r="AT32" i="44"/>
  <c r="AU32" i="44"/>
  <c r="AX32" i="44"/>
  <c r="AY32" i="44"/>
  <c r="AZ32" i="44"/>
  <c r="BC32" i="44"/>
  <c r="BD32" i="44"/>
  <c r="BE32" i="44"/>
  <c r="BH32" i="44"/>
  <c r="BI32" i="44"/>
  <c r="BJ32" i="44"/>
  <c r="BK32" i="44"/>
  <c r="BL32" i="44" s="1"/>
  <c r="BM32" i="44"/>
  <c r="BN32" i="44"/>
  <c r="BO32" i="44"/>
  <c r="BP32" i="44"/>
  <c r="BQ32" i="44" s="1"/>
  <c r="BR32" i="44"/>
  <c r="BS32" i="44"/>
  <c r="BT32" i="44"/>
  <c r="BU32" i="44"/>
  <c r="BV32" i="44" s="1"/>
  <c r="BW32" i="44"/>
  <c r="BX32" i="44"/>
  <c r="BY32" i="44"/>
  <c r="BZ32" i="44"/>
  <c r="CA32" i="44" s="1"/>
  <c r="CB32" i="44"/>
  <c r="CC32" i="44"/>
  <c r="CD32" i="44"/>
  <c r="CE32" i="44"/>
  <c r="CF32" i="44" s="1"/>
  <c r="CG32" i="44"/>
  <c r="CH32" i="44"/>
  <c r="CI32" i="44"/>
  <c r="CJ32" i="44"/>
  <c r="CK32" i="44" s="1"/>
  <c r="CL32" i="44"/>
  <c r="CM32" i="44" s="1"/>
  <c r="CN32" i="44" s="1"/>
  <c r="CO32" i="44" s="1"/>
  <c r="CP32" i="44" s="1"/>
  <c r="C33" i="44"/>
  <c r="D33" i="44"/>
  <c r="E33" i="44"/>
  <c r="F33" i="44"/>
  <c r="G33" i="44"/>
  <c r="H33" i="44"/>
  <c r="I33" i="44"/>
  <c r="J33" i="44"/>
  <c r="K33" i="44"/>
  <c r="L33" i="44"/>
  <c r="O33" i="44"/>
  <c r="P33" i="44"/>
  <c r="Q33" i="44"/>
  <c r="T33" i="44"/>
  <c r="U33" i="44"/>
  <c r="V33" i="44"/>
  <c r="Y33" i="44"/>
  <c r="Z33" i="44"/>
  <c r="AA33" i="44"/>
  <c r="AD33" i="44"/>
  <c r="AE33" i="44"/>
  <c r="AF33" i="44"/>
  <c r="AI33" i="44"/>
  <c r="AJ33" i="44"/>
  <c r="AK33" i="44"/>
  <c r="AL33" i="44"/>
  <c r="AM33" i="44" s="1"/>
  <c r="AN33" i="44"/>
  <c r="AO33" i="44"/>
  <c r="AP33" i="44"/>
  <c r="AQ33" i="44"/>
  <c r="AR33" i="44" s="1"/>
  <c r="AS33" i="44"/>
  <c r="AT33" i="44"/>
  <c r="AU33" i="44"/>
  <c r="AV33" i="44"/>
  <c r="AW33" i="44" s="1"/>
  <c r="AX33" i="44"/>
  <c r="AY33" i="44"/>
  <c r="AZ33" i="44"/>
  <c r="BA33" i="44"/>
  <c r="BB33" i="44" s="1"/>
  <c r="BC33" i="44"/>
  <c r="BD33" i="44"/>
  <c r="BE33" i="44"/>
  <c r="BF33" i="44"/>
  <c r="BG33" i="44" s="1"/>
  <c r="BH33" i="44"/>
  <c r="BI33" i="44"/>
  <c r="BJ33" i="44"/>
  <c r="BK33" i="44"/>
  <c r="BL33" i="44" s="1"/>
  <c r="BM33" i="44"/>
  <c r="BN33" i="44"/>
  <c r="BO33" i="44"/>
  <c r="BP33" i="44"/>
  <c r="BQ33" i="44" s="1"/>
  <c r="BR33" i="44"/>
  <c r="BS33" i="44"/>
  <c r="BT33" i="44"/>
  <c r="BU33" i="44"/>
  <c r="BV33" i="44" s="1"/>
  <c r="BW33" i="44"/>
  <c r="BX33" i="44"/>
  <c r="BY33" i="44"/>
  <c r="BZ33" i="44"/>
  <c r="CA33" i="44" s="1"/>
  <c r="CB33" i="44"/>
  <c r="CC33" i="44"/>
  <c r="CD33" i="44"/>
  <c r="CE33" i="44"/>
  <c r="CF33" i="44" s="1"/>
  <c r="CG33" i="44"/>
  <c r="CH33" i="44"/>
  <c r="CI33" i="44"/>
  <c r="CJ33" i="44"/>
  <c r="CK33" i="44" s="1"/>
  <c r="CL33" i="44"/>
  <c r="CM33" i="44" s="1"/>
  <c r="CN33" i="44" s="1"/>
  <c r="CO33" i="44" s="1"/>
  <c r="CP33" i="44" s="1"/>
  <c r="CQ33" i="44" s="1"/>
  <c r="CR33" i="44" s="1"/>
  <c r="CS33" i="44" s="1"/>
  <c r="C35" i="44"/>
  <c r="D35" i="44"/>
  <c r="E35" i="44"/>
  <c r="F35" i="44"/>
  <c r="G35" i="44"/>
  <c r="H35" i="44"/>
  <c r="I35" i="44"/>
  <c r="J35" i="44"/>
  <c r="K35" i="44"/>
  <c r="L35" i="44"/>
  <c r="O35" i="44"/>
  <c r="P35" i="44"/>
  <c r="Q35" i="44"/>
  <c r="T35" i="44"/>
  <c r="U35" i="44"/>
  <c r="V35" i="44"/>
  <c r="Y35" i="44"/>
  <c r="Z35" i="44"/>
  <c r="AA35" i="44"/>
  <c r="AD35" i="44"/>
  <c r="AE35" i="44"/>
  <c r="AF35" i="44"/>
  <c r="AI35" i="44"/>
  <c r="AJ35" i="44"/>
  <c r="AK35" i="44"/>
  <c r="AL35" i="44"/>
  <c r="AM35" i="44" s="1"/>
  <c r="AN35" i="44"/>
  <c r="AO35" i="44"/>
  <c r="AP35" i="44"/>
  <c r="AQ35" i="44"/>
  <c r="AR35" i="44" s="1"/>
  <c r="AS35" i="44"/>
  <c r="AT35" i="44"/>
  <c r="AU35" i="44"/>
  <c r="AV35" i="44"/>
  <c r="AW35" i="44" s="1"/>
  <c r="AX35" i="44"/>
  <c r="AY35" i="44"/>
  <c r="AZ35" i="44"/>
  <c r="BA35" i="44"/>
  <c r="BB35" i="44" s="1"/>
  <c r="BC35" i="44"/>
  <c r="BD35" i="44"/>
  <c r="BE35" i="44"/>
  <c r="BF35" i="44"/>
  <c r="BH35" i="44"/>
  <c r="BI35" i="44"/>
  <c r="BJ35" i="44"/>
  <c r="BK35" i="44"/>
  <c r="BL35" i="44" s="1"/>
  <c r="BM35" i="44"/>
  <c r="BN35" i="44"/>
  <c r="BO35" i="44"/>
  <c r="BP35" i="44"/>
  <c r="BR35" i="44"/>
  <c r="BS35" i="44"/>
  <c r="BT35" i="44"/>
  <c r="BU35" i="44"/>
  <c r="BV35" i="44" s="1"/>
  <c r="BW35" i="44"/>
  <c r="BX35" i="44"/>
  <c r="BY35" i="44"/>
  <c r="BZ35" i="44"/>
  <c r="CA35" i="44" s="1"/>
  <c r="CB35" i="44"/>
  <c r="CC35" i="44"/>
  <c r="CD35" i="44"/>
  <c r="CE35" i="44"/>
  <c r="CF35" i="44" s="1"/>
  <c r="CG35" i="44"/>
  <c r="CH35" i="44"/>
  <c r="CI35" i="44"/>
  <c r="CJ35" i="44"/>
  <c r="CK35" i="44" s="1"/>
  <c r="CL35" i="44"/>
  <c r="CM35" i="44" s="1"/>
  <c r="CN35" i="44" s="1"/>
  <c r="CO35" i="44" s="1"/>
  <c r="CP35" i="44" s="1"/>
  <c r="CQ35" i="44" s="1"/>
  <c r="CR35" i="44" s="1"/>
  <c r="CS35" i="44" s="1"/>
  <c r="C36" i="44"/>
  <c r="D36" i="44"/>
  <c r="E36" i="44"/>
  <c r="F36" i="44"/>
  <c r="G36" i="44"/>
  <c r="H36" i="44"/>
  <c r="I36" i="44"/>
  <c r="J36" i="44"/>
  <c r="K36" i="44"/>
  <c r="L36" i="44"/>
  <c r="O36" i="44"/>
  <c r="P36" i="44"/>
  <c r="Q36" i="44"/>
  <c r="T36" i="44"/>
  <c r="U36" i="44"/>
  <c r="V36" i="44"/>
  <c r="Y36" i="44"/>
  <c r="Z36" i="44"/>
  <c r="AA36" i="44"/>
  <c r="AD36" i="44"/>
  <c r="AE36" i="44"/>
  <c r="AF36" i="44"/>
  <c r="AI36" i="44"/>
  <c r="AJ36" i="44"/>
  <c r="AK36" i="44"/>
  <c r="AL36" i="44"/>
  <c r="AM36" i="44" s="1"/>
  <c r="AN36" i="44"/>
  <c r="AO36" i="44"/>
  <c r="AP36" i="44"/>
  <c r="AS36" i="44"/>
  <c r="AT36" i="44"/>
  <c r="AU36" i="44"/>
  <c r="AX36" i="44"/>
  <c r="AY36" i="44"/>
  <c r="AZ36" i="44"/>
  <c r="BC36" i="44"/>
  <c r="BD36" i="44"/>
  <c r="BE36" i="44"/>
  <c r="BH36" i="44"/>
  <c r="BI36" i="44"/>
  <c r="BJ36" i="44"/>
  <c r="BK36" i="44"/>
  <c r="BM36" i="44"/>
  <c r="BN36" i="44"/>
  <c r="BO36" i="44"/>
  <c r="BP36" i="44"/>
  <c r="BQ36" i="44" s="1"/>
  <c r="BR36" i="44"/>
  <c r="BS36" i="44"/>
  <c r="BT36" i="44"/>
  <c r="BU36" i="44"/>
  <c r="BV36" i="44" s="1"/>
  <c r="BW36" i="44"/>
  <c r="BX36" i="44"/>
  <c r="BY36" i="44"/>
  <c r="BZ36" i="44"/>
  <c r="CA36" i="44" s="1"/>
  <c r="CB36" i="44"/>
  <c r="CC36" i="44"/>
  <c r="CD36" i="44"/>
  <c r="CE36" i="44"/>
  <c r="CF36" i="44" s="1"/>
  <c r="CG36" i="44"/>
  <c r="CH36" i="44"/>
  <c r="CI36" i="44"/>
  <c r="CJ36" i="44"/>
  <c r="CK36" i="44" s="1"/>
  <c r="CL36" i="44"/>
  <c r="CM36" i="44" s="1"/>
  <c r="CN36" i="44" s="1"/>
  <c r="CO36" i="44" s="1"/>
  <c r="CP36" i="44" s="1"/>
  <c r="CQ36" i="44" s="1"/>
  <c r="CR36" i="44" s="1"/>
  <c r="CS36" i="44" s="1"/>
  <c r="C37" i="44"/>
  <c r="D37" i="44"/>
  <c r="E37" i="44"/>
  <c r="F37" i="44"/>
  <c r="G37" i="44"/>
  <c r="H37" i="44"/>
  <c r="I37" i="44"/>
  <c r="J37" i="44"/>
  <c r="K37" i="44"/>
  <c r="L37" i="44"/>
  <c r="O37" i="44"/>
  <c r="P37" i="44"/>
  <c r="Q37" i="44"/>
  <c r="T37" i="44"/>
  <c r="U37" i="44"/>
  <c r="V37" i="44"/>
  <c r="Y37" i="44"/>
  <c r="Z37" i="44"/>
  <c r="AA37" i="44"/>
  <c r="AD37" i="44"/>
  <c r="AE37" i="44"/>
  <c r="AF37" i="44"/>
  <c r="AI37" i="44"/>
  <c r="AJ37" i="44"/>
  <c r="AK37" i="44"/>
  <c r="AL37" i="44"/>
  <c r="AM37" i="44" s="1"/>
  <c r="AN37" i="44"/>
  <c r="AO37" i="44"/>
  <c r="AP37" i="44"/>
  <c r="AS37" i="44"/>
  <c r="AT37" i="44"/>
  <c r="AU37" i="44"/>
  <c r="AX37" i="44"/>
  <c r="AY37" i="44"/>
  <c r="AZ37" i="44"/>
  <c r="BC37" i="44"/>
  <c r="BD37" i="44"/>
  <c r="BE37" i="44"/>
  <c r="BH37" i="44"/>
  <c r="BI37" i="44"/>
  <c r="BJ37" i="44"/>
  <c r="BK37" i="44"/>
  <c r="BL37" i="44" s="1"/>
  <c r="BM37" i="44"/>
  <c r="BN37" i="44"/>
  <c r="BO37" i="44"/>
  <c r="BP37" i="44"/>
  <c r="BQ37" i="44" s="1"/>
  <c r="BR37" i="44"/>
  <c r="BS37" i="44"/>
  <c r="BT37" i="44"/>
  <c r="BU37" i="44"/>
  <c r="BV37" i="44" s="1"/>
  <c r="BW37" i="44"/>
  <c r="BX37" i="44"/>
  <c r="BY37" i="44"/>
  <c r="BZ37" i="44"/>
  <c r="CA37" i="44" s="1"/>
  <c r="CB37" i="44"/>
  <c r="CC37" i="44"/>
  <c r="CD37" i="44"/>
  <c r="CE37" i="44"/>
  <c r="CF37" i="44" s="1"/>
  <c r="CG37" i="44"/>
  <c r="CH37" i="44"/>
  <c r="CI37" i="44"/>
  <c r="CJ37" i="44"/>
  <c r="CK37" i="44" s="1"/>
  <c r="CL37" i="44"/>
  <c r="C38" i="44"/>
  <c r="D38" i="44"/>
  <c r="E38" i="44"/>
  <c r="F38" i="44"/>
  <c r="G38" i="44"/>
  <c r="H38" i="44"/>
  <c r="I38" i="44"/>
  <c r="J38" i="44"/>
  <c r="K38" i="44"/>
  <c r="L38" i="44"/>
  <c r="O38" i="44"/>
  <c r="P38" i="44"/>
  <c r="Q38" i="44"/>
  <c r="T38" i="44"/>
  <c r="U38" i="44"/>
  <c r="V38" i="44"/>
  <c r="Y38" i="44"/>
  <c r="Z38" i="44"/>
  <c r="AA38" i="44"/>
  <c r="AD38" i="44"/>
  <c r="AE38" i="44"/>
  <c r="AF38" i="44"/>
  <c r="AI38" i="44"/>
  <c r="AJ38" i="44"/>
  <c r="AK38" i="44"/>
  <c r="AL38" i="44"/>
  <c r="AM38" i="44" s="1"/>
  <c r="AN38" i="44"/>
  <c r="AO38" i="44"/>
  <c r="AP38" i="44"/>
  <c r="AS38" i="44"/>
  <c r="AT38" i="44"/>
  <c r="AU38" i="44"/>
  <c r="AX38" i="44"/>
  <c r="AY38" i="44"/>
  <c r="AZ38" i="44"/>
  <c r="BC38" i="44"/>
  <c r="BD38" i="44"/>
  <c r="BE38" i="44"/>
  <c r="BH38" i="44"/>
  <c r="BI38" i="44"/>
  <c r="BJ38" i="44"/>
  <c r="BK38" i="44"/>
  <c r="BL38" i="44" s="1"/>
  <c r="BM38" i="44"/>
  <c r="BN38" i="44"/>
  <c r="BO38" i="44"/>
  <c r="BP38" i="44"/>
  <c r="BQ38" i="44" s="1"/>
  <c r="BR38" i="44"/>
  <c r="BS38" i="44"/>
  <c r="BT38" i="44"/>
  <c r="BU38" i="44"/>
  <c r="BV38" i="44" s="1"/>
  <c r="BW38" i="44"/>
  <c r="BX38" i="44"/>
  <c r="BY38" i="44"/>
  <c r="BZ38" i="44"/>
  <c r="CA38" i="44" s="1"/>
  <c r="CB38" i="44"/>
  <c r="CC38" i="44"/>
  <c r="CD38" i="44"/>
  <c r="CE38" i="44"/>
  <c r="CF38" i="44" s="1"/>
  <c r="CG38" i="44"/>
  <c r="CH38" i="44"/>
  <c r="CI38" i="44"/>
  <c r="CJ38" i="44"/>
  <c r="CK38" i="44" s="1"/>
  <c r="CL38" i="44"/>
  <c r="C39" i="44"/>
  <c r="D39" i="44"/>
  <c r="E39" i="44"/>
  <c r="F39" i="44"/>
  <c r="G39" i="44"/>
  <c r="H39" i="44"/>
  <c r="I39" i="44"/>
  <c r="J39" i="44"/>
  <c r="K39" i="44"/>
  <c r="L39" i="44"/>
  <c r="O39" i="44"/>
  <c r="P39" i="44"/>
  <c r="Q39" i="44"/>
  <c r="T39" i="44"/>
  <c r="U39" i="44"/>
  <c r="V39" i="44"/>
  <c r="Y39" i="44"/>
  <c r="Z39" i="44"/>
  <c r="AA39" i="44"/>
  <c r="AD39" i="44"/>
  <c r="AE39" i="44"/>
  <c r="AF39" i="44"/>
  <c r="AI39" i="44"/>
  <c r="AJ39" i="44"/>
  <c r="AK39" i="44"/>
  <c r="AL39" i="44"/>
  <c r="AM39" i="44" s="1"/>
  <c r="AN39" i="44"/>
  <c r="AO39" i="44"/>
  <c r="AP39" i="44"/>
  <c r="AS39" i="44"/>
  <c r="AT39" i="44"/>
  <c r="AU39" i="44"/>
  <c r="AX39" i="44"/>
  <c r="AY39" i="44"/>
  <c r="AZ39" i="44"/>
  <c r="BC39" i="44"/>
  <c r="BD39" i="44"/>
  <c r="BE39" i="44"/>
  <c r="BH39" i="44"/>
  <c r="BI39" i="44"/>
  <c r="BJ39" i="44"/>
  <c r="BK39" i="44"/>
  <c r="BL39" i="44" s="1"/>
  <c r="BM39" i="44"/>
  <c r="BN39" i="44"/>
  <c r="BO39" i="44"/>
  <c r="BP39" i="44"/>
  <c r="BQ39" i="44" s="1"/>
  <c r="BR39" i="44"/>
  <c r="BS39" i="44"/>
  <c r="BT39" i="44"/>
  <c r="BU39" i="44"/>
  <c r="BV39" i="44" s="1"/>
  <c r="BW39" i="44"/>
  <c r="BX39" i="44"/>
  <c r="BY39" i="44"/>
  <c r="BZ39" i="44"/>
  <c r="CA39" i="44" s="1"/>
  <c r="CB39" i="44"/>
  <c r="CC39" i="44"/>
  <c r="CD39" i="44"/>
  <c r="CE39" i="44"/>
  <c r="CF39" i="44" s="1"/>
  <c r="CG39" i="44"/>
  <c r="CH39" i="44"/>
  <c r="CI39" i="44"/>
  <c r="CJ39" i="44"/>
  <c r="CK39" i="44" s="1"/>
  <c r="CL39" i="44"/>
  <c r="C40" i="44"/>
  <c r="D40" i="44"/>
  <c r="E40" i="44"/>
  <c r="F40" i="44"/>
  <c r="G40" i="44"/>
  <c r="H40" i="44"/>
  <c r="I40" i="44"/>
  <c r="J40" i="44"/>
  <c r="K40" i="44"/>
  <c r="L40" i="44"/>
  <c r="O40" i="44"/>
  <c r="P40" i="44"/>
  <c r="Q40" i="44"/>
  <c r="T40" i="44"/>
  <c r="U40" i="44"/>
  <c r="V40" i="44"/>
  <c r="Y40" i="44"/>
  <c r="Z40" i="44"/>
  <c r="AA40" i="44"/>
  <c r="AD40" i="44"/>
  <c r="AE40" i="44"/>
  <c r="AF40" i="44"/>
  <c r="AI40" i="44"/>
  <c r="AJ40" i="44"/>
  <c r="AK40" i="44"/>
  <c r="AL40" i="44"/>
  <c r="AM40" i="44" s="1"/>
  <c r="AN40" i="44"/>
  <c r="AO40" i="44"/>
  <c r="AP40" i="44"/>
  <c r="AS40" i="44"/>
  <c r="AT40" i="44"/>
  <c r="AU40" i="44"/>
  <c r="AX40" i="44"/>
  <c r="AY40" i="44"/>
  <c r="AZ40" i="44"/>
  <c r="BC40" i="44"/>
  <c r="BD40" i="44"/>
  <c r="BE40" i="44"/>
  <c r="BH40" i="44"/>
  <c r="BI40" i="44"/>
  <c r="BJ40" i="44"/>
  <c r="BK40" i="44"/>
  <c r="BL40" i="44" s="1"/>
  <c r="BM40" i="44"/>
  <c r="BN40" i="44"/>
  <c r="BO40" i="44"/>
  <c r="BP40" i="44"/>
  <c r="BQ40" i="44" s="1"/>
  <c r="BR40" i="44"/>
  <c r="BS40" i="44"/>
  <c r="BT40" i="44"/>
  <c r="BU40" i="44"/>
  <c r="BV40" i="44" s="1"/>
  <c r="BW40" i="44"/>
  <c r="BX40" i="44"/>
  <c r="BY40" i="44"/>
  <c r="BZ40" i="44"/>
  <c r="CA40" i="44" s="1"/>
  <c r="CB40" i="44"/>
  <c r="CC40" i="44"/>
  <c r="CD40" i="44"/>
  <c r="CE40" i="44"/>
  <c r="CF40" i="44" s="1"/>
  <c r="CG40" i="44"/>
  <c r="CH40" i="44"/>
  <c r="CI40" i="44"/>
  <c r="CJ40" i="44"/>
  <c r="CK40" i="44" s="1"/>
  <c r="CL40" i="44"/>
  <c r="CM40" i="44" s="1"/>
  <c r="CN40" i="44" s="1"/>
  <c r="CO40" i="44" s="1"/>
  <c r="CP40" i="44" s="1"/>
  <c r="CQ40" i="44" s="1"/>
  <c r="CR40" i="44" s="1"/>
  <c r="CS40" i="44" s="1"/>
  <c r="AR48" i="44"/>
  <c r="AW48" i="44"/>
  <c r="BB48" i="44"/>
  <c r="BG48" i="44"/>
  <c r="BL48" i="44"/>
  <c r="BQ48" i="44"/>
  <c r="BV48" i="44"/>
  <c r="CA48" i="44"/>
  <c r="CF48" i="44"/>
  <c r="CK48" i="44"/>
  <c r="C50" i="44"/>
  <c r="D50" i="44"/>
  <c r="E50" i="44"/>
  <c r="F50" i="44"/>
  <c r="G50" i="44"/>
  <c r="H50" i="44"/>
  <c r="I50" i="44"/>
  <c r="J50" i="44" s="1"/>
  <c r="N50" i="44"/>
  <c r="S50" i="44"/>
  <c r="T50" i="44" s="1"/>
  <c r="U50" i="44" s="1"/>
  <c r="V50" i="44" s="1"/>
  <c r="W50" i="44" s="1"/>
  <c r="AC50" i="44"/>
  <c r="AD50" i="44" s="1"/>
  <c r="AE50" i="44" s="1"/>
  <c r="AF50" i="44" s="1"/>
  <c r="AG50" i="44" s="1"/>
  <c r="AH50" i="44"/>
  <c r="AI50" i="44" s="1"/>
  <c r="AJ50" i="44" s="1"/>
  <c r="AK50" i="44" s="1"/>
  <c r="AL50" i="44" s="1"/>
  <c r="AM50" i="44"/>
  <c r="AN50" i="44" s="1"/>
  <c r="AO50" i="44" s="1"/>
  <c r="AR50" i="44"/>
  <c r="AS50" i="44" s="1"/>
  <c r="AT50" i="44" s="1"/>
  <c r="AU50" i="44" s="1"/>
  <c r="AV50" i="44" s="1"/>
  <c r="AW50" i="44"/>
  <c r="AX50" i="44" s="1"/>
  <c r="AY50" i="44" s="1"/>
  <c r="AZ50" i="44" s="1"/>
  <c r="BA50" i="44" s="1"/>
  <c r="BB50" i="44"/>
  <c r="BG50" i="44"/>
  <c r="BH50" i="44" s="1"/>
  <c r="BI50" i="44" s="1"/>
  <c r="BJ50" i="44" s="1"/>
  <c r="BL50" i="44"/>
  <c r="BM50" i="44" s="1"/>
  <c r="BN50" i="44" s="1"/>
  <c r="BO50" i="44" s="1"/>
  <c r="BP50" i="44" s="1"/>
  <c r="BQ50" i="44"/>
  <c r="BR50" i="44" s="1"/>
  <c r="BV50" i="44"/>
  <c r="BW50" i="44" s="1"/>
  <c r="BX50" i="44" s="1"/>
  <c r="CH53" i="44"/>
  <c r="CM72" i="44"/>
  <c r="CN72" i="44"/>
  <c r="CN73" i="44" s="1"/>
  <c r="CO72" i="44"/>
  <c r="CQ72" i="44"/>
  <c r="CR72" i="44"/>
  <c r="CS72" i="44"/>
  <c r="CM73" i="44"/>
  <c r="CR73" i="44"/>
  <c r="M6" i="43"/>
  <c r="M6" i="45" s="1"/>
  <c r="R6" i="43"/>
  <c r="R6" i="45" s="1"/>
  <c r="W6" i="43"/>
  <c r="W6" i="45" s="1"/>
  <c r="AB6" i="43"/>
  <c r="AB6" i="45" s="1"/>
  <c r="AG6" i="43"/>
  <c r="AG6" i="45" s="1"/>
  <c r="AM6" i="43"/>
  <c r="AM171" i="43" s="1"/>
  <c r="AQ6" i="43"/>
  <c r="AQ6" i="45" s="1"/>
  <c r="AW6" i="43"/>
  <c r="BB6" i="43"/>
  <c r="BB171" i="43" s="1"/>
  <c r="BB235" i="43" s="1"/>
  <c r="BG6" i="43"/>
  <c r="BG170" i="43" s="1"/>
  <c r="BL6" i="43"/>
  <c r="BQ6" i="43"/>
  <c r="BV6" i="43"/>
  <c r="BV169" i="43" s="1"/>
  <c r="BV224" i="43" s="1"/>
  <c r="BV223" i="43" s="1"/>
  <c r="CA6" i="43"/>
  <c r="CA170" i="43" s="1"/>
  <c r="CA234" i="43" s="1"/>
  <c r="CF6" i="43"/>
  <c r="CF176" i="43" s="1"/>
  <c r="CF305" i="43" s="1"/>
  <c r="CK6" i="43"/>
  <c r="M7" i="43"/>
  <c r="M7" i="45" s="1"/>
  <c r="R7" i="43"/>
  <c r="R7" i="45" s="1"/>
  <c r="W7" i="43"/>
  <c r="W7" i="45" s="1"/>
  <c r="AB7" i="43"/>
  <c r="AB7" i="45" s="1"/>
  <c r="AG7" i="43"/>
  <c r="AG7" i="45" s="1"/>
  <c r="AG8" i="45" s="1"/>
  <c r="AG51" i="45" s="1"/>
  <c r="AM7" i="43"/>
  <c r="AN7" i="43"/>
  <c r="AN7" i="45" s="1"/>
  <c r="AW7" i="43"/>
  <c r="AW8" i="43" s="1"/>
  <c r="BB7" i="43"/>
  <c r="BG7" i="43"/>
  <c r="BG8" i="43" s="1"/>
  <c r="BL7" i="43"/>
  <c r="BQ7" i="43"/>
  <c r="BV7" i="43"/>
  <c r="CA7" i="43"/>
  <c r="CF7" i="43"/>
  <c r="CK7" i="43"/>
  <c r="C8" i="43"/>
  <c r="C12" i="43" s="1"/>
  <c r="C15" i="43" s="1"/>
  <c r="C18" i="43" s="1"/>
  <c r="D8" i="43"/>
  <c r="D12" i="43" s="1"/>
  <c r="D15" i="43" s="1"/>
  <c r="D18" i="43" s="1"/>
  <c r="E8" i="43"/>
  <c r="E12" i="43" s="1"/>
  <c r="F8" i="43"/>
  <c r="F12" i="43" s="1"/>
  <c r="F15" i="43" s="1"/>
  <c r="F18" i="43" s="1"/>
  <c r="G8" i="43"/>
  <c r="H8" i="43"/>
  <c r="H12" i="43" s="1"/>
  <c r="I8" i="43"/>
  <c r="I12" i="43" s="1"/>
  <c r="I15" i="43" s="1"/>
  <c r="I18" i="43" s="1"/>
  <c r="J8" i="43"/>
  <c r="J12" i="43" s="1"/>
  <c r="J15" i="43" s="1"/>
  <c r="J18" i="43" s="1"/>
  <c r="K8" i="43"/>
  <c r="L8" i="43"/>
  <c r="N8" i="43"/>
  <c r="O8" i="43"/>
  <c r="P8" i="43"/>
  <c r="Q8" i="43"/>
  <c r="S8" i="43"/>
  <c r="T8" i="43"/>
  <c r="T12" i="43" s="1"/>
  <c r="T15" i="43" s="1"/>
  <c r="T18" i="43" s="1"/>
  <c r="U8" i="43"/>
  <c r="U12" i="43" s="1"/>
  <c r="V8" i="43"/>
  <c r="V12" i="43" s="1"/>
  <c r="V15" i="43" s="1"/>
  <c r="V18" i="43" s="1"/>
  <c r="V20" i="43" s="1"/>
  <c r="V24" i="43" s="1"/>
  <c r="X8" i="43"/>
  <c r="X12" i="43" s="1"/>
  <c r="X15" i="43" s="1"/>
  <c r="X18" i="43" s="1"/>
  <c r="X25" i="43" s="1"/>
  <c r="Y8" i="43"/>
  <c r="Y12" i="43" s="1"/>
  <c r="Y15" i="43" s="1"/>
  <c r="Y18" i="43" s="1"/>
  <c r="Y25" i="43" s="1"/>
  <c r="Z8" i="43"/>
  <c r="Z12" i="43" s="1"/>
  <c r="AA8" i="43"/>
  <c r="AA12" i="43" s="1"/>
  <c r="AA15" i="43" s="1"/>
  <c r="AA18" i="43" s="1"/>
  <c r="AA25" i="43" s="1"/>
  <c r="AC8" i="43"/>
  <c r="AD8" i="43"/>
  <c r="AE8" i="43"/>
  <c r="AF8" i="43"/>
  <c r="AF12" i="43" s="1"/>
  <c r="AF15" i="43" s="1"/>
  <c r="AF18" i="43" s="1"/>
  <c r="AH8" i="43"/>
  <c r="AI8" i="43"/>
  <c r="AI12" i="43" s="1"/>
  <c r="AI15" i="43" s="1"/>
  <c r="AI18" i="43" s="1"/>
  <c r="AJ8" i="43"/>
  <c r="AK8" i="43"/>
  <c r="AK12" i="43" s="1"/>
  <c r="AK15" i="43" s="1"/>
  <c r="AK18" i="43" s="1"/>
  <c r="AK25" i="43" s="1"/>
  <c r="AL8" i="43"/>
  <c r="AL12" i="43" s="1"/>
  <c r="AL15" i="43" s="1"/>
  <c r="AL18" i="43" s="1"/>
  <c r="AO8" i="43"/>
  <c r="AP8" i="43"/>
  <c r="AP12" i="43" s="1"/>
  <c r="AP15" i="43" s="1"/>
  <c r="AP18" i="43" s="1"/>
  <c r="AP25" i="43" s="1"/>
  <c r="AR8" i="43"/>
  <c r="AR12" i="43" s="1"/>
  <c r="AR15" i="43" s="1"/>
  <c r="AR18" i="43" s="1"/>
  <c r="AR25" i="43" s="1"/>
  <c r="AS8" i="43"/>
  <c r="AS12" i="43" s="1"/>
  <c r="AS15" i="43" s="1"/>
  <c r="AS18" i="43" s="1"/>
  <c r="AT8" i="43"/>
  <c r="AT12" i="43" s="1"/>
  <c r="AT15" i="43" s="1"/>
  <c r="AT18" i="43" s="1"/>
  <c r="AT22" i="43" s="1"/>
  <c r="AU8" i="43"/>
  <c r="AU12" i="43" s="1"/>
  <c r="AU15" i="43" s="1"/>
  <c r="AU18" i="43" s="1"/>
  <c r="AV8" i="43"/>
  <c r="AV12" i="43" s="1"/>
  <c r="AV15" i="43" s="1"/>
  <c r="AV18" i="43" s="1"/>
  <c r="AX8" i="43"/>
  <c r="AX12" i="43" s="1"/>
  <c r="AX15" i="43" s="1"/>
  <c r="AX18" i="43" s="1"/>
  <c r="AX25" i="43" s="1"/>
  <c r="AY8" i="43"/>
  <c r="AY12" i="43" s="1"/>
  <c r="AY15" i="43" s="1"/>
  <c r="AY18" i="43" s="1"/>
  <c r="AZ8" i="43"/>
  <c r="AZ12" i="43" s="1"/>
  <c r="AZ15" i="43" s="1"/>
  <c r="AZ18" i="43" s="1"/>
  <c r="BA8" i="43"/>
  <c r="BA12" i="43" s="1"/>
  <c r="BA15" i="43" s="1"/>
  <c r="BA18" i="43" s="1"/>
  <c r="BC8" i="43"/>
  <c r="BC12" i="43" s="1"/>
  <c r="BC15" i="43" s="1"/>
  <c r="BC18" i="43" s="1"/>
  <c r="BD8" i="43"/>
  <c r="BD12" i="43" s="1"/>
  <c r="BD15" i="43" s="1"/>
  <c r="BD18" i="43" s="1"/>
  <c r="BE8" i="43"/>
  <c r="BE12" i="43" s="1"/>
  <c r="BE15" i="43" s="1"/>
  <c r="BE18" i="43" s="1"/>
  <c r="BF8" i="43"/>
  <c r="BF12" i="43" s="1"/>
  <c r="BF15" i="43" s="1"/>
  <c r="BF18" i="43" s="1"/>
  <c r="BF25" i="43" s="1"/>
  <c r="BH8" i="43"/>
  <c r="BH12" i="43" s="1"/>
  <c r="BH15" i="43" s="1"/>
  <c r="BH18" i="43" s="1"/>
  <c r="BI8" i="43"/>
  <c r="BI12" i="43" s="1"/>
  <c r="BI15" i="43" s="1"/>
  <c r="BI18" i="43" s="1"/>
  <c r="BJ8" i="43"/>
  <c r="BJ12" i="43" s="1"/>
  <c r="BJ15" i="43" s="1"/>
  <c r="BJ18" i="43" s="1"/>
  <c r="BK8" i="43"/>
  <c r="BK12" i="43" s="1"/>
  <c r="BK15" i="43" s="1"/>
  <c r="BK18" i="43" s="1"/>
  <c r="BK22" i="43" s="1"/>
  <c r="BM8" i="43"/>
  <c r="BM12" i="43" s="1"/>
  <c r="BM15" i="43" s="1"/>
  <c r="BM18" i="43" s="1"/>
  <c r="BM25" i="43" s="1"/>
  <c r="BN8" i="43"/>
  <c r="BN12" i="43" s="1"/>
  <c r="BN15" i="43" s="1"/>
  <c r="BN18" i="43" s="1"/>
  <c r="BN20" i="43" s="1"/>
  <c r="BO8" i="43"/>
  <c r="BO12" i="43" s="1"/>
  <c r="BO15" i="43" s="1"/>
  <c r="BO18" i="43" s="1"/>
  <c r="BP8" i="43"/>
  <c r="BP12" i="43" s="1"/>
  <c r="BP15" i="43" s="1"/>
  <c r="BP18" i="43" s="1"/>
  <c r="BR8" i="43"/>
  <c r="BR12" i="43" s="1"/>
  <c r="BR15" i="43" s="1"/>
  <c r="BR18" i="43" s="1"/>
  <c r="BS8" i="43"/>
  <c r="BS12" i="43" s="1"/>
  <c r="BS15" i="43" s="1"/>
  <c r="BS18" i="43" s="1"/>
  <c r="BT8" i="43"/>
  <c r="BT12" i="43" s="1"/>
  <c r="BT15" i="43" s="1"/>
  <c r="BT18" i="43" s="1"/>
  <c r="BT25" i="43" s="1"/>
  <c r="BU8" i="43"/>
  <c r="BU12" i="43" s="1"/>
  <c r="BU15" i="43" s="1"/>
  <c r="BU18" i="43" s="1"/>
  <c r="BU25" i="43" s="1"/>
  <c r="BW8" i="43"/>
  <c r="BW12" i="43" s="1"/>
  <c r="BW15" i="43" s="1"/>
  <c r="BW18" i="43" s="1"/>
  <c r="BX8" i="43"/>
  <c r="BX12" i="43" s="1"/>
  <c r="BX15" i="43" s="1"/>
  <c r="BX18" i="43" s="1"/>
  <c r="BY8" i="43"/>
  <c r="BY12" i="43" s="1"/>
  <c r="BY15" i="43" s="1"/>
  <c r="BY18" i="43" s="1"/>
  <c r="BY25" i="43" s="1"/>
  <c r="BZ8" i="43"/>
  <c r="BZ12" i="43" s="1"/>
  <c r="BZ15" i="43" s="1"/>
  <c r="BZ18" i="43" s="1"/>
  <c r="CB8" i="43"/>
  <c r="CB12" i="43" s="1"/>
  <c r="CB15" i="43" s="1"/>
  <c r="CB18" i="43" s="1"/>
  <c r="CC8" i="43"/>
  <c r="CC12" i="43" s="1"/>
  <c r="CC15" i="43" s="1"/>
  <c r="CC18" i="43" s="1"/>
  <c r="CC25" i="43" s="1"/>
  <c r="CD8" i="43"/>
  <c r="CD12" i="43" s="1"/>
  <c r="CD15" i="43" s="1"/>
  <c r="CD18" i="43" s="1"/>
  <c r="CE8" i="43"/>
  <c r="CE12" i="43" s="1"/>
  <c r="CE15" i="43" s="1"/>
  <c r="CE18" i="43" s="1"/>
  <c r="CE20" i="43" s="1"/>
  <c r="CG8" i="43"/>
  <c r="CG12" i="43" s="1"/>
  <c r="CG15" i="43" s="1"/>
  <c r="CG18" i="43" s="1"/>
  <c r="CG25" i="43" s="1"/>
  <c r="CH8" i="43"/>
  <c r="CH12" i="43" s="1"/>
  <c r="CH15" i="43" s="1"/>
  <c r="CH18" i="43" s="1"/>
  <c r="CH25" i="43" s="1"/>
  <c r="CI8" i="43"/>
  <c r="CI12" i="43" s="1"/>
  <c r="CI15" i="43" s="1"/>
  <c r="CI18" i="43" s="1"/>
  <c r="CJ8" i="43"/>
  <c r="CJ12" i="43" s="1"/>
  <c r="CJ15" i="43" s="1"/>
  <c r="CJ18" i="43" s="1"/>
  <c r="CL8" i="43"/>
  <c r="CL12" i="43" s="1"/>
  <c r="CL15" i="43" s="1"/>
  <c r="CL18" i="43" s="1"/>
  <c r="M9" i="43"/>
  <c r="M9" i="45" s="1"/>
  <c r="R9" i="43"/>
  <c r="R9" i="45" s="1"/>
  <c r="W9" i="43"/>
  <c r="W9" i="45" s="1"/>
  <c r="AB9" i="43"/>
  <c r="AB9" i="45" s="1"/>
  <c r="AG9" i="43"/>
  <c r="AG9" i="45" s="1"/>
  <c r="AM9" i="43"/>
  <c r="AQ9" i="43"/>
  <c r="AQ9" i="45" s="1"/>
  <c r="AW9" i="43"/>
  <c r="BB9" i="43"/>
  <c r="BG9" i="43"/>
  <c r="BL9" i="43"/>
  <c r="BQ9" i="43"/>
  <c r="BV9" i="43"/>
  <c r="CA9" i="43"/>
  <c r="CF9" i="43"/>
  <c r="CK9" i="43"/>
  <c r="M10" i="43"/>
  <c r="M10" i="45" s="1"/>
  <c r="R10" i="43"/>
  <c r="R10" i="45" s="1"/>
  <c r="W10" i="43"/>
  <c r="W10" i="45" s="1"/>
  <c r="AB10" i="43"/>
  <c r="AB10" i="45" s="1"/>
  <c r="AG10" i="43"/>
  <c r="AG10" i="45" s="1"/>
  <c r="AM10" i="43"/>
  <c r="AQ10" i="43"/>
  <c r="AQ10" i="45" s="1"/>
  <c r="AW10" i="43"/>
  <c r="BB10" i="43"/>
  <c r="BG10" i="43"/>
  <c r="BL10" i="43"/>
  <c r="BQ10" i="43"/>
  <c r="BV10" i="43"/>
  <c r="CA10" i="43"/>
  <c r="CF10" i="43"/>
  <c r="CK10" i="43"/>
  <c r="G11" i="43"/>
  <c r="G11" i="45" s="1"/>
  <c r="K11" i="43"/>
  <c r="K11" i="45" s="1"/>
  <c r="L11" i="43"/>
  <c r="L11" i="45" s="1"/>
  <c r="N11" i="43"/>
  <c r="O11" i="43"/>
  <c r="O11" i="45" s="1"/>
  <c r="P11" i="43"/>
  <c r="P11" i="45" s="1"/>
  <c r="Q11" i="43"/>
  <c r="Q11" i="45" s="1"/>
  <c r="S11" i="43"/>
  <c r="W11" i="43"/>
  <c r="W11" i="45" s="1"/>
  <c r="AC11" i="43"/>
  <c r="AB11" i="43" s="1"/>
  <c r="AB11" i="45" s="1"/>
  <c r="AD11" i="43"/>
  <c r="AD11" i="45" s="1"/>
  <c r="AE11" i="43"/>
  <c r="AE11" i="45" s="1"/>
  <c r="AH11" i="43"/>
  <c r="AM11" i="43"/>
  <c r="AQ11" i="43"/>
  <c r="AQ11" i="45" s="1"/>
  <c r="AW11" i="43"/>
  <c r="BB11" i="43"/>
  <c r="BG11" i="43"/>
  <c r="BL11" i="43"/>
  <c r="BQ11" i="43"/>
  <c r="BV11" i="43"/>
  <c r="CA11" i="43"/>
  <c r="CF11" i="43"/>
  <c r="CK11" i="43"/>
  <c r="AJ12" i="43"/>
  <c r="AJ15" i="43" s="1"/>
  <c r="AJ18" i="43" s="1"/>
  <c r="AJ25" i="43" s="1"/>
  <c r="M13" i="43"/>
  <c r="M13" i="45" s="1"/>
  <c r="R13" i="43"/>
  <c r="R13" i="45" s="1"/>
  <c r="W13" i="43"/>
  <c r="W13" i="45" s="1"/>
  <c r="AB13" i="43"/>
  <c r="AB13" i="45" s="1"/>
  <c r="AG13" i="43"/>
  <c r="AG13" i="45" s="1"/>
  <c r="AM13" i="43"/>
  <c r="AQ13" i="43"/>
  <c r="AQ13" i="45" s="1"/>
  <c r="AW13" i="43"/>
  <c r="BB13" i="43"/>
  <c r="BG13" i="43"/>
  <c r="BL13" i="43"/>
  <c r="BQ13" i="43"/>
  <c r="BV13" i="43"/>
  <c r="CA13" i="43"/>
  <c r="CF13" i="43"/>
  <c r="CK13" i="43"/>
  <c r="H14" i="43"/>
  <c r="H14" i="45" s="1"/>
  <c r="M14" i="43"/>
  <c r="M14" i="45" s="1"/>
  <c r="R14" i="43"/>
  <c r="R14" i="45" s="1"/>
  <c r="W14" i="43"/>
  <c r="W14" i="45" s="1"/>
  <c r="AB14" i="43"/>
  <c r="AB14" i="45" s="1"/>
  <c r="AG14" i="43"/>
  <c r="AG14" i="45" s="1"/>
  <c r="AM14" i="43"/>
  <c r="AQ14" i="43"/>
  <c r="AQ14" i="45" s="1"/>
  <c r="AW14" i="43"/>
  <c r="BB14" i="43"/>
  <c r="BG14" i="43"/>
  <c r="BL14" i="43"/>
  <c r="BQ14" i="43"/>
  <c r="BV14" i="43"/>
  <c r="CA14" i="43"/>
  <c r="CF14" i="43"/>
  <c r="CK14" i="43"/>
  <c r="M16" i="43"/>
  <c r="M16" i="45" s="1"/>
  <c r="R16" i="43"/>
  <c r="R16" i="45" s="1"/>
  <c r="W16" i="43"/>
  <c r="W16" i="45" s="1"/>
  <c r="AB16" i="43"/>
  <c r="AB16" i="45" s="1"/>
  <c r="AG16" i="43"/>
  <c r="AG16" i="45" s="1"/>
  <c r="AM16" i="43"/>
  <c r="AQ16" i="43"/>
  <c r="AQ16" i="45" s="1"/>
  <c r="AW16" i="43"/>
  <c r="BB16" i="43"/>
  <c r="BG16" i="43"/>
  <c r="BL16" i="43"/>
  <c r="BQ16" i="43"/>
  <c r="BV16" i="43"/>
  <c r="CA16" i="43"/>
  <c r="CF16" i="43"/>
  <c r="CK16" i="43"/>
  <c r="M17" i="43"/>
  <c r="M17" i="45" s="1"/>
  <c r="R17" i="43"/>
  <c r="R17" i="45" s="1"/>
  <c r="W17" i="43"/>
  <c r="W17" i="45" s="1"/>
  <c r="AB17" i="43"/>
  <c r="AB17" i="45" s="1"/>
  <c r="AG17" i="43"/>
  <c r="AG17" i="45" s="1"/>
  <c r="AM17" i="43"/>
  <c r="AQ17" i="43"/>
  <c r="AQ17" i="45" s="1"/>
  <c r="AW17" i="43"/>
  <c r="BB17" i="43"/>
  <c r="BG17" i="43"/>
  <c r="BL17" i="43"/>
  <c r="BQ17" i="43"/>
  <c r="BV17" i="43"/>
  <c r="CA17" i="43"/>
  <c r="CF17" i="43"/>
  <c r="CK17" i="43"/>
  <c r="M19" i="43"/>
  <c r="M19" i="45" s="1"/>
  <c r="N19" i="45" s="1"/>
  <c r="R19" i="43"/>
  <c r="R26" i="43" s="1"/>
  <c r="W19" i="43"/>
  <c r="W19" i="45" s="1"/>
  <c r="X19" i="45" s="1"/>
  <c r="Y19" i="43"/>
  <c r="Y26" i="43" s="1"/>
  <c r="AA19" i="43"/>
  <c r="AA19" i="45" s="1"/>
  <c r="AG19" i="43"/>
  <c r="AG19" i="45" s="1"/>
  <c r="AH19" i="45" s="1"/>
  <c r="AM19" i="43"/>
  <c r="AQ19" i="43"/>
  <c r="AQ19" i="45" s="1"/>
  <c r="AR19" i="45" s="1"/>
  <c r="AW19" i="43"/>
  <c r="BB19" i="43"/>
  <c r="BB23" i="43" s="1"/>
  <c r="BG19" i="43"/>
  <c r="BL19" i="43"/>
  <c r="BL23" i="43" s="1"/>
  <c r="BQ19" i="43"/>
  <c r="BV19" i="43"/>
  <c r="CA19" i="43"/>
  <c r="CF19" i="43"/>
  <c r="CF23" i="43" s="1"/>
  <c r="CK19" i="43"/>
  <c r="C23" i="43"/>
  <c r="D23" i="43"/>
  <c r="E23" i="43"/>
  <c r="F23" i="43"/>
  <c r="G23" i="43"/>
  <c r="H23" i="43"/>
  <c r="I23" i="43"/>
  <c r="J23" i="43"/>
  <c r="K23" i="43"/>
  <c r="L23" i="43"/>
  <c r="N23" i="43"/>
  <c r="O23" i="43"/>
  <c r="P23" i="43"/>
  <c r="Q23" i="43"/>
  <c r="S23" i="43"/>
  <c r="T23" i="43"/>
  <c r="U23" i="43"/>
  <c r="V23" i="43"/>
  <c r="X23" i="43"/>
  <c r="Z23" i="43"/>
  <c r="AA23" i="43"/>
  <c r="AC23" i="43"/>
  <c r="AD23" i="43"/>
  <c r="AE23" i="43"/>
  <c r="AF23" i="43"/>
  <c r="AH23" i="43"/>
  <c r="AI23" i="43"/>
  <c r="AJ23" i="43"/>
  <c r="AK23" i="43"/>
  <c r="AL23" i="43"/>
  <c r="AN23" i="43"/>
  <c r="AO23" i="43"/>
  <c r="AP23" i="43"/>
  <c r="AR23" i="43"/>
  <c r="AS23" i="43"/>
  <c r="AT23" i="43"/>
  <c r="AU23" i="43"/>
  <c r="AV23" i="43"/>
  <c r="AX23" i="43"/>
  <c r="AY23" i="43"/>
  <c r="AZ23" i="43"/>
  <c r="BA23" i="43"/>
  <c r="BC23" i="43"/>
  <c r="BD23" i="43"/>
  <c r="BE23" i="43"/>
  <c r="BF23" i="43"/>
  <c r="BH23" i="43"/>
  <c r="BI23" i="43"/>
  <c r="BJ23" i="43"/>
  <c r="BK23" i="43"/>
  <c r="BM23" i="43"/>
  <c r="BN23" i="43"/>
  <c r="BO23" i="43"/>
  <c r="BP23" i="43"/>
  <c r="BR23" i="43"/>
  <c r="BS23" i="43"/>
  <c r="BT23" i="43"/>
  <c r="BU23" i="43"/>
  <c r="BW23" i="43"/>
  <c r="BX23" i="43"/>
  <c r="BY23" i="43"/>
  <c r="BZ23" i="43"/>
  <c r="CB23" i="43"/>
  <c r="CC23" i="43"/>
  <c r="CD23" i="43"/>
  <c r="CE23" i="43"/>
  <c r="CG23" i="43"/>
  <c r="CH23" i="43"/>
  <c r="CI23" i="43"/>
  <c r="CJ23" i="43"/>
  <c r="CL23" i="43"/>
  <c r="C26" i="43"/>
  <c r="D26" i="43"/>
  <c r="E26" i="43"/>
  <c r="F26" i="43"/>
  <c r="G26" i="43"/>
  <c r="H26" i="43"/>
  <c r="I26" i="43"/>
  <c r="J26" i="43"/>
  <c r="K26" i="43"/>
  <c r="L26" i="43"/>
  <c r="O26" i="43"/>
  <c r="P26" i="43"/>
  <c r="Q26" i="43"/>
  <c r="S26" i="43"/>
  <c r="T26" i="43"/>
  <c r="U26" i="43"/>
  <c r="V26" i="43"/>
  <c r="X26" i="43"/>
  <c r="Z26" i="43"/>
  <c r="AA26" i="43"/>
  <c r="AC26" i="43"/>
  <c r="AD26" i="43"/>
  <c r="AE26" i="43"/>
  <c r="AF26" i="43"/>
  <c r="AH26" i="43"/>
  <c r="AI26" i="43"/>
  <c r="AJ26" i="43"/>
  <c r="AK26" i="43"/>
  <c r="AL26" i="43"/>
  <c r="AN26" i="43"/>
  <c r="AO26" i="43"/>
  <c r="AP26" i="43"/>
  <c r="AR26" i="43"/>
  <c r="AS26" i="43"/>
  <c r="AT26" i="43"/>
  <c r="AU26" i="43"/>
  <c r="AV26" i="43"/>
  <c r="AX26" i="43"/>
  <c r="AY26" i="43"/>
  <c r="AZ26" i="43"/>
  <c r="BA26" i="43"/>
  <c r="BC26" i="43"/>
  <c r="BD26" i="43"/>
  <c r="BE26" i="43"/>
  <c r="BF26" i="43"/>
  <c r="BH26" i="43"/>
  <c r="BI26" i="43"/>
  <c r="BJ26" i="43"/>
  <c r="BK26" i="43"/>
  <c r="BM26" i="43"/>
  <c r="BN26" i="43"/>
  <c r="BO26" i="43"/>
  <c r="BP26" i="43"/>
  <c r="BR26" i="43"/>
  <c r="BS26" i="43"/>
  <c r="BT26" i="43"/>
  <c r="BU26" i="43"/>
  <c r="BW26" i="43"/>
  <c r="BX26" i="43"/>
  <c r="BY26" i="43"/>
  <c r="BZ26" i="43"/>
  <c r="CB26" i="43"/>
  <c r="CC26" i="43"/>
  <c r="CD26" i="43"/>
  <c r="CE26" i="43"/>
  <c r="CG26" i="43"/>
  <c r="CH26" i="43"/>
  <c r="CI26" i="43"/>
  <c r="CJ26" i="43"/>
  <c r="CL26" i="43"/>
  <c r="W30" i="43"/>
  <c r="AB30" i="43"/>
  <c r="AB34" i="45" s="1"/>
  <c r="AG30" i="43"/>
  <c r="AQ30" i="43"/>
  <c r="N31" i="43"/>
  <c r="N26" i="43" s="1"/>
  <c r="W31" i="43"/>
  <c r="AB31" i="43"/>
  <c r="AG31" i="43"/>
  <c r="AQ31" i="43"/>
  <c r="M38" i="43"/>
  <c r="M7" i="44" s="1"/>
  <c r="N7" i="44" s="1"/>
  <c r="R38" i="43"/>
  <c r="R7" i="44" s="1"/>
  <c r="W38" i="43"/>
  <c r="W7" i="44" s="1"/>
  <c r="AB38" i="43"/>
  <c r="AB7" i="44" s="1"/>
  <c r="AC7" i="44" s="1"/>
  <c r="AC53" i="44" s="1"/>
  <c r="AG38" i="43"/>
  <c r="AG7" i="44" s="1"/>
  <c r="AM38" i="43"/>
  <c r="AQ38" i="43"/>
  <c r="AQ7" i="44" s="1"/>
  <c r="AV38" i="43"/>
  <c r="AV7" i="44" s="1"/>
  <c r="BA38" i="43"/>
  <c r="BA7" i="44" s="1"/>
  <c r="BB7" i="44" s="1"/>
  <c r="BB53" i="44" s="1"/>
  <c r="BF38" i="43"/>
  <c r="BF7" i="44" s="1"/>
  <c r="BF53" i="44" s="1"/>
  <c r="BL38" i="43"/>
  <c r="BQ38" i="43"/>
  <c r="BV38" i="43"/>
  <c r="CA38" i="43"/>
  <c r="CF38" i="43"/>
  <c r="CK38" i="43"/>
  <c r="M39" i="43"/>
  <c r="M8" i="44" s="1"/>
  <c r="N8" i="44" s="1"/>
  <c r="R39" i="43"/>
  <c r="R8" i="44" s="1"/>
  <c r="S8" i="44" s="1"/>
  <c r="W39" i="43"/>
  <c r="W8" i="44" s="1"/>
  <c r="AB39" i="43"/>
  <c r="AB8" i="44" s="1"/>
  <c r="AC8" i="44" s="1"/>
  <c r="AG39" i="43"/>
  <c r="AG8" i="44" s="1"/>
  <c r="AM39" i="43"/>
  <c r="AQ39" i="43"/>
  <c r="AQ8" i="44" s="1"/>
  <c r="AV39" i="43"/>
  <c r="AV8" i="44" s="1"/>
  <c r="BA39" i="43"/>
  <c r="BA8" i="44" s="1"/>
  <c r="BB8" i="44" s="1"/>
  <c r="BF39" i="43"/>
  <c r="BF8" i="44" s="1"/>
  <c r="BL39" i="43"/>
  <c r="BQ39" i="43"/>
  <c r="BV39" i="43"/>
  <c r="CA39" i="43"/>
  <c r="CF39" i="43"/>
  <c r="CK39" i="43"/>
  <c r="M40" i="43"/>
  <c r="M9" i="44" s="1"/>
  <c r="N9" i="44" s="1"/>
  <c r="R40" i="43"/>
  <c r="R9" i="44" s="1"/>
  <c r="S9" i="44" s="1"/>
  <c r="W40" i="43"/>
  <c r="W9" i="44" s="1"/>
  <c r="X9" i="44" s="1"/>
  <c r="AB40" i="43"/>
  <c r="AB9" i="44" s="1"/>
  <c r="AG40" i="43"/>
  <c r="AG9" i="44" s="1"/>
  <c r="AH9" i="44" s="1"/>
  <c r="AM40" i="43"/>
  <c r="AQ40" i="43"/>
  <c r="AQ9" i="44" s="1"/>
  <c r="AR9" i="44" s="1"/>
  <c r="AV40" i="43"/>
  <c r="AV9" i="44" s="1"/>
  <c r="BA40" i="43"/>
  <c r="BA9" i="44" s="1"/>
  <c r="BB9" i="44" s="1"/>
  <c r="BF40" i="43"/>
  <c r="BF9" i="44" s="1"/>
  <c r="BL40" i="43"/>
  <c r="BQ40" i="43"/>
  <c r="BV40" i="43"/>
  <c r="CA40" i="43"/>
  <c r="CF40" i="43"/>
  <c r="CK40" i="43"/>
  <c r="E41" i="43"/>
  <c r="E10" i="44" s="1"/>
  <c r="F41" i="43"/>
  <c r="F10" i="44" s="1"/>
  <c r="M41" i="43"/>
  <c r="M10" i="44" s="1"/>
  <c r="R41" i="43"/>
  <c r="R10" i="44" s="1"/>
  <c r="S10" i="44" s="1"/>
  <c r="W41" i="43"/>
  <c r="W10" i="44" s="1"/>
  <c r="X10" i="44" s="1"/>
  <c r="AB41" i="43"/>
  <c r="AB10" i="44" s="1"/>
  <c r="AC10" i="44" s="1"/>
  <c r="AG41" i="43"/>
  <c r="AG10" i="44" s="1"/>
  <c r="AM41" i="43"/>
  <c r="AQ41" i="43"/>
  <c r="AQ10" i="44" s="1"/>
  <c r="AR10" i="44" s="1"/>
  <c r="AV41" i="43"/>
  <c r="AV10" i="44" s="1"/>
  <c r="AW10" i="44" s="1"/>
  <c r="BA41" i="43"/>
  <c r="BA10" i="44" s="1"/>
  <c r="BF41" i="43"/>
  <c r="BF10" i="44" s="1"/>
  <c r="BG10" i="44" s="1"/>
  <c r="BL41" i="43"/>
  <c r="BQ41" i="43"/>
  <c r="BV41" i="43"/>
  <c r="CA41" i="43"/>
  <c r="CB41" i="43"/>
  <c r="CB10" i="44" s="1"/>
  <c r="CC41" i="43"/>
  <c r="CD41" i="43"/>
  <c r="CD10" i="44" s="1"/>
  <c r="CE41" i="43"/>
  <c r="CE10" i="44" s="1"/>
  <c r="CF10" i="44" s="1"/>
  <c r="CG41" i="43"/>
  <c r="CH41" i="43"/>
  <c r="CH10" i="44" s="1"/>
  <c r="CI41" i="43"/>
  <c r="CJ41" i="43"/>
  <c r="CJ10" i="44" s="1"/>
  <c r="CK10" i="44" s="1"/>
  <c r="CL41" i="43"/>
  <c r="CL10" i="44" s="1"/>
  <c r="CM10" i="44" s="1"/>
  <c r="CN10" i="44" s="1"/>
  <c r="CO10" i="44" s="1"/>
  <c r="CP10" i="44" s="1"/>
  <c r="CQ10" i="44" s="1"/>
  <c r="CR10" i="44" s="1"/>
  <c r="CS10" i="44" s="1"/>
  <c r="M42" i="43"/>
  <c r="M11" i="44" s="1"/>
  <c r="N11" i="44" s="1"/>
  <c r="R42" i="43"/>
  <c r="R11" i="44" s="1"/>
  <c r="S11" i="44" s="1"/>
  <c r="W42" i="43"/>
  <c r="W11" i="44" s="1"/>
  <c r="X11" i="44" s="1"/>
  <c r="AB42" i="43"/>
  <c r="AB11" i="44" s="1"/>
  <c r="AC11" i="44" s="1"/>
  <c r="AG42" i="43"/>
  <c r="AG11" i="44" s="1"/>
  <c r="AH11" i="44" s="1"/>
  <c r="C43" i="43"/>
  <c r="C50" i="43" s="1"/>
  <c r="D43" i="43"/>
  <c r="D50" i="43" s="1"/>
  <c r="E43" i="43"/>
  <c r="E50" i="43" s="1"/>
  <c r="F43" i="43"/>
  <c r="F50" i="43" s="1"/>
  <c r="G43" i="43"/>
  <c r="G50" i="43" s="1"/>
  <c r="H43" i="43"/>
  <c r="H50" i="43" s="1"/>
  <c r="I43" i="43"/>
  <c r="I50" i="43" s="1"/>
  <c r="J43" i="43"/>
  <c r="J50" i="43" s="1"/>
  <c r="K43" i="43"/>
  <c r="K50" i="43" s="1"/>
  <c r="L43" i="43"/>
  <c r="L50" i="43" s="1"/>
  <c r="N43" i="43"/>
  <c r="O43" i="43"/>
  <c r="O50" i="43" s="1"/>
  <c r="P43" i="43"/>
  <c r="P50" i="43" s="1"/>
  <c r="Q43" i="43"/>
  <c r="Q50" i="43" s="1"/>
  <c r="S43" i="43"/>
  <c r="R43" i="43" s="1"/>
  <c r="T43" i="43"/>
  <c r="T50" i="43" s="1"/>
  <c r="U43" i="43"/>
  <c r="U50" i="43" s="1"/>
  <c r="V43" i="43"/>
  <c r="V50" i="43" s="1"/>
  <c r="X43" i="43"/>
  <c r="W43" i="43" s="1"/>
  <c r="Y43" i="43"/>
  <c r="Y50" i="43" s="1"/>
  <c r="Z43" i="43"/>
  <c r="Z50" i="43" s="1"/>
  <c r="AA43" i="43"/>
  <c r="AA50" i="43" s="1"/>
  <c r="AC43" i="43"/>
  <c r="AB43" i="43" s="1"/>
  <c r="AD43" i="43"/>
  <c r="AD50" i="43" s="1"/>
  <c r="AE43" i="43"/>
  <c r="AE50" i="43" s="1"/>
  <c r="AF43" i="43"/>
  <c r="AF50" i="43" s="1"/>
  <c r="AH43" i="43"/>
  <c r="AI43" i="43"/>
  <c r="AI50" i="43" s="1"/>
  <c r="AJ43" i="43"/>
  <c r="AJ50" i="43" s="1"/>
  <c r="AK43" i="43"/>
  <c r="AK50" i="43" s="1"/>
  <c r="AL43" i="43"/>
  <c r="AL50" i="43" s="1"/>
  <c r="AN43" i="43"/>
  <c r="AN50" i="43" s="1"/>
  <c r="AO43" i="43"/>
  <c r="AO50" i="43" s="1"/>
  <c r="AP43" i="43"/>
  <c r="AP50" i="43" s="1"/>
  <c r="AR43" i="43"/>
  <c r="AQ43" i="43" s="1"/>
  <c r="AS43" i="43"/>
  <c r="AS50" i="43" s="1"/>
  <c r="AT43" i="43"/>
  <c r="AU43" i="43"/>
  <c r="AW43" i="43"/>
  <c r="AV43" i="43" s="1"/>
  <c r="AX43" i="43"/>
  <c r="AY43" i="43"/>
  <c r="AY50" i="43" s="1"/>
  <c r="AZ43" i="43"/>
  <c r="AZ50" i="43" s="1"/>
  <c r="BB43" i="43"/>
  <c r="BC43" i="43"/>
  <c r="BC50" i="43" s="1"/>
  <c r="BD43" i="43"/>
  <c r="BD50" i="43" s="1"/>
  <c r="BE43" i="43"/>
  <c r="BE50" i="43" s="1"/>
  <c r="BG43" i="43"/>
  <c r="BF43" i="43" s="1"/>
  <c r="BH43" i="43"/>
  <c r="BI43" i="43"/>
  <c r="BJ43" i="43"/>
  <c r="BK43" i="43"/>
  <c r="BK50" i="43" s="1"/>
  <c r="BM43" i="43"/>
  <c r="BN43" i="43"/>
  <c r="BN50" i="43" s="1"/>
  <c r="BO43" i="43"/>
  <c r="BO50" i="43" s="1"/>
  <c r="BP43" i="43"/>
  <c r="BP50" i="43" s="1"/>
  <c r="BR43" i="43"/>
  <c r="BR50" i="43" s="1"/>
  <c r="BS43" i="43"/>
  <c r="BS50" i="43" s="1"/>
  <c r="BT43" i="43"/>
  <c r="BT50" i="43" s="1"/>
  <c r="BU43" i="43"/>
  <c r="BU50" i="43" s="1"/>
  <c r="BW43" i="43"/>
  <c r="BW50" i="43" s="1"/>
  <c r="BX43" i="43"/>
  <c r="BX50" i="43" s="1"/>
  <c r="BY43" i="43"/>
  <c r="BZ43" i="43"/>
  <c r="BZ50" i="43" s="1"/>
  <c r="CB43" i="43"/>
  <c r="CD43" i="43"/>
  <c r="CJ43" i="43"/>
  <c r="CL43" i="43"/>
  <c r="CL50" i="43" s="1"/>
  <c r="M44" i="43"/>
  <c r="M13" i="44" s="1"/>
  <c r="N13" i="44" s="1"/>
  <c r="R44" i="43"/>
  <c r="R13" i="44" s="1"/>
  <c r="S13" i="44" s="1"/>
  <c r="W44" i="43"/>
  <c r="W13" i="44" s="1"/>
  <c r="X13" i="44" s="1"/>
  <c r="AB44" i="43"/>
  <c r="AB13" i="44" s="1"/>
  <c r="AC13" i="44" s="1"/>
  <c r="AG44" i="43"/>
  <c r="AG13" i="44" s="1"/>
  <c r="AH13" i="44" s="1"/>
  <c r="AM44" i="43"/>
  <c r="AQ44" i="43"/>
  <c r="AQ13" i="44" s="1"/>
  <c r="AR13" i="44" s="1"/>
  <c r="AT44" i="43"/>
  <c r="AT13" i="44" s="1"/>
  <c r="AU44" i="43"/>
  <c r="AU13" i="44" s="1"/>
  <c r="AW44" i="43"/>
  <c r="AX44" i="43"/>
  <c r="AX13" i="44" s="1"/>
  <c r="BA44" i="43"/>
  <c r="BA13" i="44" s="1"/>
  <c r="BB13" i="44" s="1"/>
  <c r="BB211" i="43" s="1"/>
  <c r="BB209" i="43" s="1"/>
  <c r="BF44" i="43"/>
  <c r="BF13" i="44" s="1"/>
  <c r="BG13" i="44" s="1"/>
  <c r="BG211" i="43" s="1"/>
  <c r="BG209" i="43" s="1"/>
  <c r="BH44" i="43"/>
  <c r="BH13" i="44" s="1"/>
  <c r="BI44" i="43"/>
  <c r="BJ44" i="43"/>
  <c r="BJ13" i="44" s="1"/>
  <c r="BL44" i="43"/>
  <c r="BM44" i="43"/>
  <c r="BM13" i="44" s="1"/>
  <c r="BQ44" i="43"/>
  <c r="BV44" i="43"/>
  <c r="BY44" i="43"/>
  <c r="BY13" i="44" s="1"/>
  <c r="CA44" i="43"/>
  <c r="CB44" i="43"/>
  <c r="CB13" i="44" s="1"/>
  <c r="CC44" i="43"/>
  <c r="CC13" i="44" s="1"/>
  <c r="CD44" i="43"/>
  <c r="CD13" i="44" s="1"/>
  <c r="CE44" i="43"/>
  <c r="CF44" i="43" s="1"/>
  <c r="CG44" i="43"/>
  <c r="CG13" i="44" s="1"/>
  <c r="CH44" i="43"/>
  <c r="CH13" i="44" s="1"/>
  <c r="CI44" i="43"/>
  <c r="CI13" i="44" s="1"/>
  <c r="CJ44" i="43"/>
  <c r="M45" i="43"/>
  <c r="M14" i="44" s="1"/>
  <c r="N14" i="44" s="1"/>
  <c r="R45" i="43"/>
  <c r="R14" i="44" s="1"/>
  <c r="S14" i="44" s="1"/>
  <c r="W45" i="43"/>
  <c r="W14" i="44" s="1"/>
  <c r="X14" i="44" s="1"/>
  <c r="AB45" i="43"/>
  <c r="AB14" i="44" s="1"/>
  <c r="AC14" i="44" s="1"/>
  <c r="AG45" i="43"/>
  <c r="AG14" i="44" s="1"/>
  <c r="AH14" i="44" s="1"/>
  <c r="AM45" i="43"/>
  <c r="AQ45" i="43"/>
  <c r="AQ14" i="44" s="1"/>
  <c r="AR14" i="44" s="1"/>
  <c r="AV45" i="43"/>
  <c r="AV14" i="44" s="1"/>
  <c r="AW14" i="44" s="1"/>
  <c r="BA45" i="43"/>
  <c r="BA14" i="44" s="1"/>
  <c r="BB14" i="44" s="1"/>
  <c r="BF45" i="43"/>
  <c r="BF14" i="44" s="1"/>
  <c r="BG14" i="44" s="1"/>
  <c r="BL45" i="43"/>
  <c r="BQ45" i="43"/>
  <c r="BV45" i="43"/>
  <c r="CA45" i="43"/>
  <c r="CF45" i="43"/>
  <c r="CK45" i="43"/>
  <c r="M46" i="43"/>
  <c r="M15" i="44" s="1"/>
  <c r="N15" i="44" s="1"/>
  <c r="R46" i="43"/>
  <c r="R15" i="44" s="1"/>
  <c r="S15" i="44" s="1"/>
  <c r="W46" i="43"/>
  <c r="W15" i="44" s="1"/>
  <c r="X15" i="44" s="1"/>
  <c r="AB46" i="43"/>
  <c r="AB15" i="44" s="1"/>
  <c r="AC15" i="44" s="1"/>
  <c r="AG46" i="43"/>
  <c r="AG15" i="44" s="1"/>
  <c r="AH15" i="44" s="1"/>
  <c r="AM46" i="43"/>
  <c r="AQ46" i="43"/>
  <c r="AQ15" i="44" s="1"/>
  <c r="AR15" i="44" s="1"/>
  <c r="AV46" i="43"/>
  <c r="AV15" i="44" s="1"/>
  <c r="AW15" i="44" s="1"/>
  <c r="BA46" i="43"/>
  <c r="BA15" i="44" s="1"/>
  <c r="BB15" i="44" s="1"/>
  <c r="BF46" i="43"/>
  <c r="BF15" i="44" s="1"/>
  <c r="BG15" i="44" s="1"/>
  <c r="BL46" i="43"/>
  <c r="BQ46" i="43"/>
  <c r="BV46" i="43"/>
  <c r="CA46" i="43"/>
  <c r="CF46" i="43"/>
  <c r="CK46" i="43"/>
  <c r="M47" i="43"/>
  <c r="M16" i="44" s="1"/>
  <c r="N16" i="44" s="1"/>
  <c r="R47" i="43"/>
  <c r="R16" i="44" s="1"/>
  <c r="S16" i="44" s="1"/>
  <c r="W47" i="43"/>
  <c r="W16" i="44" s="1"/>
  <c r="X16" i="44" s="1"/>
  <c r="AB47" i="43"/>
  <c r="AB16" i="44" s="1"/>
  <c r="AC16" i="44" s="1"/>
  <c r="AG47" i="43"/>
  <c r="AG16" i="44" s="1"/>
  <c r="AH16" i="44" s="1"/>
  <c r="AM47" i="43"/>
  <c r="AQ47" i="43"/>
  <c r="AQ16" i="44" s="1"/>
  <c r="AR16" i="44" s="1"/>
  <c r="AV47" i="43"/>
  <c r="BA47" i="43"/>
  <c r="BA16" i="44" s="1"/>
  <c r="BB16" i="44" s="1"/>
  <c r="BF47" i="43"/>
  <c r="BF16" i="44" s="1"/>
  <c r="BG16" i="44" s="1"/>
  <c r="BL47" i="43"/>
  <c r="BQ47" i="43"/>
  <c r="BV47" i="43"/>
  <c r="CA47" i="43"/>
  <c r="CF47" i="43"/>
  <c r="CK47" i="43"/>
  <c r="M48" i="43"/>
  <c r="M17" i="44" s="1"/>
  <c r="N17" i="44" s="1"/>
  <c r="R48" i="43"/>
  <c r="R17" i="44" s="1"/>
  <c r="S17" i="44" s="1"/>
  <c r="X48" i="43"/>
  <c r="W48" i="43" s="1"/>
  <c r="W17" i="44" s="1"/>
  <c r="X17" i="44" s="1"/>
  <c r="AB48" i="43"/>
  <c r="AB17" i="44" s="1"/>
  <c r="AC17" i="44" s="1"/>
  <c r="AG48" i="43"/>
  <c r="AG17" i="44" s="1"/>
  <c r="AH17" i="44" s="1"/>
  <c r="AM48" i="43"/>
  <c r="AQ48" i="43"/>
  <c r="AQ17" i="44" s="1"/>
  <c r="AR17" i="44" s="1"/>
  <c r="AV48" i="43"/>
  <c r="AV17" i="44" s="1"/>
  <c r="AW17" i="44" s="1"/>
  <c r="BA48" i="43"/>
  <c r="BA17" i="44" s="1"/>
  <c r="BB17" i="44" s="1"/>
  <c r="BF48" i="43"/>
  <c r="BF17" i="44" s="1"/>
  <c r="BG17" i="44" s="1"/>
  <c r="BL48" i="43"/>
  <c r="BQ48" i="43"/>
  <c r="BV48" i="43"/>
  <c r="CA48" i="43"/>
  <c r="CF48" i="43"/>
  <c r="CK48" i="43"/>
  <c r="M49" i="43"/>
  <c r="M18" i="44" s="1"/>
  <c r="N18" i="44" s="1"/>
  <c r="R49" i="43"/>
  <c r="R18" i="44" s="1"/>
  <c r="S18" i="44" s="1"/>
  <c r="W49" i="43"/>
  <c r="W18" i="44" s="1"/>
  <c r="X18" i="44" s="1"/>
  <c r="AB49" i="43"/>
  <c r="AB18" i="44" s="1"/>
  <c r="AC18" i="44" s="1"/>
  <c r="AG49" i="43"/>
  <c r="AG18" i="44" s="1"/>
  <c r="AH18" i="44" s="1"/>
  <c r="M53" i="43"/>
  <c r="M22" i="44" s="1"/>
  <c r="N22" i="44" s="1"/>
  <c r="R53" i="43"/>
  <c r="R22" i="44" s="1"/>
  <c r="S22" i="44" s="1"/>
  <c r="W53" i="43"/>
  <c r="W22" i="44" s="1"/>
  <c r="AB53" i="43"/>
  <c r="AB22" i="44" s="1"/>
  <c r="AG53" i="43"/>
  <c r="AG22" i="44" s="1"/>
  <c r="AH22" i="44" s="1"/>
  <c r="AM53" i="43"/>
  <c r="AQ53" i="43"/>
  <c r="AQ22" i="44" s="1"/>
  <c r="AV53" i="43"/>
  <c r="AV22" i="44" s="1"/>
  <c r="BA53" i="43"/>
  <c r="BA22" i="44" s="1"/>
  <c r="BB22" i="44" s="1"/>
  <c r="BF53" i="43"/>
  <c r="BF22" i="44" s="1"/>
  <c r="BG22" i="44" s="1"/>
  <c r="BL53" i="43"/>
  <c r="BQ53" i="43"/>
  <c r="BV53" i="43"/>
  <c r="CA53" i="43"/>
  <c r="CF53" i="43"/>
  <c r="CK53" i="43"/>
  <c r="M54" i="43"/>
  <c r="M23" i="44" s="1"/>
  <c r="N23" i="44" s="1"/>
  <c r="R54" i="43"/>
  <c r="R23" i="44" s="1"/>
  <c r="W54" i="43"/>
  <c r="W23" i="44" s="1"/>
  <c r="AB54" i="43"/>
  <c r="AB23" i="44" s="1"/>
  <c r="AG54" i="43"/>
  <c r="AG23" i="44" s="1"/>
  <c r="AM54" i="43"/>
  <c r="AQ54" i="43"/>
  <c r="AQ23" i="44" s="1"/>
  <c r="AR23" i="44" s="1"/>
  <c r="AV54" i="43"/>
  <c r="AV23" i="44" s="1"/>
  <c r="BA54" i="43"/>
  <c r="BA23" i="44" s="1"/>
  <c r="BB23" i="44" s="1"/>
  <c r="BF54" i="43"/>
  <c r="BF23" i="44" s="1"/>
  <c r="BL54" i="43"/>
  <c r="BQ54" i="43"/>
  <c r="BV54" i="43"/>
  <c r="CA54" i="43"/>
  <c r="CF54" i="43"/>
  <c r="CK54" i="43"/>
  <c r="M55" i="43"/>
  <c r="M24" i="44" s="1"/>
  <c r="N24" i="44" s="1"/>
  <c r="R55" i="43"/>
  <c r="R24" i="44" s="1"/>
  <c r="S24" i="44" s="1"/>
  <c r="W55" i="43"/>
  <c r="W24" i="44" s="1"/>
  <c r="X24" i="44" s="1"/>
  <c r="AB55" i="43"/>
  <c r="AB24" i="44" s="1"/>
  <c r="AC24" i="44" s="1"/>
  <c r="AG55" i="43"/>
  <c r="AG24" i="44" s="1"/>
  <c r="AH24" i="44" s="1"/>
  <c r="AM55" i="43"/>
  <c r="AQ55" i="43"/>
  <c r="AQ24" i="44" s="1"/>
  <c r="AR24" i="44" s="1"/>
  <c r="BA55" i="43"/>
  <c r="BA24" i="44" s="1"/>
  <c r="BB24" i="44" s="1"/>
  <c r="BF55" i="43"/>
  <c r="BF24" i="44" s="1"/>
  <c r="CK55" i="43"/>
  <c r="M56" i="43"/>
  <c r="M25" i="44" s="1"/>
  <c r="N25" i="44" s="1"/>
  <c r="R56" i="43"/>
  <c r="R25" i="44" s="1"/>
  <c r="S25" i="44" s="1"/>
  <c r="W56" i="43"/>
  <c r="W25" i="44" s="1"/>
  <c r="X25" i="44" s="1"/>
  <c r="AB56" i="43"/>
  <c r="AB25" i="44" s="1"/>
  <c r="AC25" i="44" s="1"/>
  <c r="AG56" i="43"/>
  <c r="AG25" i="44" s="1"/>
  <c r="AH25" i="44" s="1"/>
  <c r="AQ56" i="43"/>
  <c r="AQ25" i="44" s="1"/>
  <c r="AR25" i="44" s="1"/>
  <c r="M57" i="43"/>
  <c r="M26" i="44" s="1"/>
  <c r="N26" i="44" s="1"/>
  <c r="R57" i="43"/>
  <c r="R26" i="44" s="1"/>
  <c r="W57" i="43"/>
  <c r="W26" i="44" s="1"/>
  <c r="X26" i="44" s="1"/>
  <c r="AB57" i="43"/>
  <c r="AB26" i="44" s="1"/>
  <c r="AC26" i="44" s="1"/>
  <c r="AG57" i="43"/>
  <c r="AG26" i="44" s="1"/>
  <c r="AH26" i="44" s="1"/>
  <c r="M58" i="43"/>
  <c r="M27" i="44" s="1"/>
  <c r="N27" i="44" s="1"/>
  <c r="R58" i="43"/>
  <c r="R27" i="44" s="1"/>
  <c r="S27" i="44" s="1"/>
  <c r="X58" i="43"/>
  <c r="AB58" i="43"/>
  <c r="AB27" i="44" s="1"/>
  <c r="AC27" i="44" s="1"/>
  <c r="AG58" i="43"/>
  <c r="AG27" i="44" s="1"/>
  <c r="AH27" i="44" s="1"/>
  <c r="AQ58" i="43"/>
  <c r="AQ27" i="44" s="1"/>
  <c r="AR27" i="44" s="1"/>
  <c r="AS58" i="43"/>
  <c r="AV58" i="43"/>
  <c r="AV27" i="44" s="1"/>
  <c r="AW27" i="44" s="1"/>
  <c r="BA58" i="43"/>
  <c r="BA27" i="44" s="1"/>
  <c r="BB27" i="44" s="1"/>
  <c r="BF58" i="43"/>
  <c r="BF27" i="44" s="1"/>
  <c r="BG27" i="44" s="1"/>
  <c r="BL58" i="43"/>
  <c r="BQ58" i="43"/>
  <c r="BR58" i="43"/>
  <c r="BS58" i="43"/>
  <c r="BS27" i="44" s="1"/>
  <c r="BV58" i="43"/>
  <c r="CA58" i="43"/>
  <c r="CC58" i="43"/>
  <c r="CF58" i="43"/>
  <c r="CK58" i="43"/>
  <c r="M59" i="43"/>
  <c r="M28" i="44" s="1"/>
  <c r="N28" i="44" s="1"/>
  <c r="R59" i="43"/>
  <c r="R28" i="44" s="1"/>
  <c r="S28" i="44" s="1"/>
  <c r="W59" i="43"/>
  <c r="W28" i="44" s="1"/>
  <c r="X28" i="44" s="1"/>
  <c r="AB59" i="43"/>
  <c r="AB28" i="44" s="1"/>
  <c r="AC28" i="44" s="1"/>
  <c r="AG59" i="43"/>
  <c r="AG28" i="44" s="1"/>
  <c r="AH28" i="44" s="1"/>
  <c r="C60" i="43"/>
  <c r="D60" i="43"/>
  <c r="E60" i="43"/>
  <c r="F60" i="43"/>
  <c r="G60" i="43"/>
  <c r="G65" i="43" s="1"/>
  <c r="H60" i="43"/>
  <c r="H65" i="43" s="1"/>
  <c r="I60" i="43"/>
  <c r="I65" i="43" s="1"/>
  <c r="J60" i="43"/>
  <c r="J65" i="43" s="1"/>
  <c r="K60" i="43"/>
  <c r="K65" i="43" s="1"/>
  <c r="L60" i="43"/>
  <c r="L65" i="43" s="1"/>
  <c r="N60" i="43"/>
  <c r="O60" i="43"/>
  <c r="O65" i="43" s="1"/>
  <c r="P60" i="43"/>
  <c r="P65" i="43" s="1"/>
  <c r="Q60" i="43"/>
  <c r="Q65" i="43" s="1"/>
  <c r="S60" i="43"/>
  <c r="R60" i="43" s="1"/>
  <c r="T60" i="43"/>
  <c r="T65" i="43" s="1"/>
  <c r="U60" i="43"/>
  <c r="U65" i="43" s="1"/>
  <c r="V60" i="43"/>
  <c r="V65" i="43" s="1"/>
  <c r="Y60" i="43"/>
  <c r="Y65" i="43" s="1"/>
  <c r="Z60" i="43"/>
  <c r="Z65" i="43" s="1"/>
  <c r="AA60" i="43"/>
  <c r="AA65" i="43" s="1"/>
  <c r="AC60" i="43"/>
  <c r="AB60" i="43" s="1"/>
  <c r="AD60" i="43"/>
  <c r="AD65" i="43" s="1"/>
  <c r="AE60" i="43"/>
  <c r="AE65" i="43" s="1"/>
  <c r="AF60" i="43"/>
  <c r="AF65" i="43" s="1"/>
  <c r="AH60" i="43"/>
  <c r="AI60" i="43"/>
  <c r="AI65" i="43" s="1"/>
  <c r="AJ60" i="43"/>
  <c r="AJ65" i="43" s="1"/>
  <c r="AK60" i="43"/>
  <c r="AK65" i="43" s="1"/>
  <c r="AL60" i="43"/>
  <c r="AL65" i="43" s="1"/>
  <c r="AN60" i="43"/>
  <c r="AN65" i="43" s="1"/>
  <c r="AO60" i="43"/>
  <c r="AO65" i="43" s="1"/>
  <c r="AP60" i="43"/>
  <c r="AP65" i="43" s="1"/>
  <c r="AR60" i="43"/>
  <c r="AR65" i="43" s="1"/>
  <c r="AQ65" i="43" s="1"/>
  <c r="AT60" i="43"/>
  <c r="AT65" i="43" s="1"/>
  <c r="AU60" i="43"/>
  <c r="AU65" i="43" s="1"/>
  <c r="AW60" i="43"/>
  <c r="AV60" i="43" s="1"/>
  <c r="AX60" i="43"/>
  <c r="AX65" i="43" s="1"/>
  <c r="AY60" i="43"/>
  <c r="AY65" i="43" s="1"/>
  <c r="AZ60" i="43"/>
  <c r="AZ65" i="43" s="1"/>
  <c r="BB60" i="43"/>
  <c r="BA60" i="43" s="1"/>
  <c r="BC60" i="43"/>
  <c r="BC65" i="43" s="1"/>
  <c r="BD60" i="43"/>
  <c r="BD65" i="43" s="1"/>
  <c r="BE60" i="43"/>
  <c r="BE65" i="43" s="1"/>
  <c r="BG60" i="43"/>
  <c r="BH60" i="43"/>
  <c r="BH65" i="43" s="1"/>
  <c r="BI60" i="43"/>
  <c r="BI65" i="43" s="1"/>
  <c r="BJ60" i="43"/>
  <c r="BJ65" i="43" s="1"/>
  <c r="BK60" i="43"/>
  <c r="BK65" i="43" s="1"/>
  <c r="BM60" i="43"/>
  <c r="BM65" i="43" s="1"/>
  <c r="BN60" i="43"/>
  <c r="BN65" i="43" s="1"/>
  <c r="BO60" i="43"/>
  <c r="BO65" i="43" s="1"/>
  <c r="BP60" i="43"/>
  <c r="BP65" i="43" s="1"/>
  <c r="BS60" i="43"/>
  <c r="BS65" i="43" s="1"/>
  <c r="BT60" i="43"/>
  <c r="BT65" i="43" s="1"/>
  <c r="BU60" i="43"/>
  <c r="BU65" i="43" s="1"/>
  <c r="BW60" i="43"/>
  <c r="BW65" i="43" s="1"/>
  <c r="BX60" i="43"/>
  <c r="BX65" i="43" s="1"/>
  <c r="BY60" i="43"/>
  <c r="BY65" i="43" s="1"/>
  <c r="BZ60" i="43"/>
  <c r="BZ65" i="43" s="1"/>
  <c r="CB60" i="43"/>
  <c r="CB65" i="43" s="1"/>
  <c r="CD60" i="43"/>
  <c r="CD65" i="43" s="1"/>
  <c r="CE60" i="43"/>
  <c r="CE65" i="43" s="1"/>
  <c r="CG60" i="43"/>
  <c r="CG65" i="43" s="1"/>
  <c r="CH60" i="43"/>
  <c r="CH65" i="43" s="1"/>
  <c r="CI60" i="43"/>
  <c r="CI65" i="43" s="1"/>
  <c r="CJ60" i="43"/>
  <c r="CJ65" i="43" s="1"/>
  <c r="CL60" i="43"/>
  <c r="CL65" i="43" s="1"/>
  <c r="M61" i="43"/>
  <c r="M30" i="44" s="1"/>
  <c r="R61" i="43"/>
  <c r="R30" i="44" s="1"/>
  <c r="W61" i="43"/>
  <c r="W30" i="44" s="1"/>
  <c r="AB61" i="43"/>
  <c r="AB30" i="44" s="1"/>
  <c r="AG61" i="43"/>
  <c r="AG30" i="44" s="1"/>
  <c r="AM61" i="43"/>
  <c r="AQ61" i="43"/>
  <c r="AQ30" i="44" s="1"/>
  <c r="AV61" i="43"/>
  <c r="AV30" i="44" s="1"/>
  <c r="BA61" i="43"/>
  <c r="BA30" i="44" s="1"/>
  <c r="BF61" i="43"/>
  <c r="BF30" i="44" s="1"/>
  <c r="BL61" i="43"/>
  <c r="BQ61" i="43"/>
  <c r="BV61" i="43"/>
  <c r="CA61" i="43"/>
  <c r="CF61" i="43"/>
  <c r="CK61" i="43"/>
  <c r="M62" i="43"/>
  <c r="M31" i="44" s="1"/>
  <c r="N31" i="44" s="1"/>
  <c r="R62" i="43"/>
  <c r="R31" i="44" s="1"/>
  <c r="S31" i="44" s="1"/>
  <c r="W62" i="43"/>
  <c r="W31" i="44" s="1"/>
  <c r="X31" i="44" s="1"/>
  <c r="AB62" i="43"/>
  <c r="AB31" i="44" s="1"/>
  <c r="AC31" i="44" s="1"/>
  <c r="AG62" i="43"/>
  <c r="AG31" i="44" s="1"/>
  <c r="AH31" i="44" s="1"/>
  <c r="AQ62" i="43"/>
  <c r="AQ31" i="44" s="1"/>
  <c r="AR31" i="44" s="1"/>
  <c r="CK62" i="43"/>
  <c r="C63" i="43"/>
  <c r="C32" i="44" s="1"/>
  <c r="D63" i="43"/>
  <c r="E63" i="43"/>
  <c r="E32" i="44" s="1"/>
  <c r="F63" i="43"/>
  <c r="M63" i="43"/>
  <c r="M32" i="44" s="1"/>
  <c r="N32" i="44" s="1"/>
  <c r="R63" i="43"/>
  <c r="R32" i="44" s="1"/>
  <c r="S32" i="44" s="1"/>
  <c r="X63" i="43"/>
  <c r="W63" i="43" s="1"/>
  <c r="W32" i="44" s="1"/>
  <c r="AB63" i="43"/>
  <c r="AB32" i="44" s="1"/>
  <c r="AC32" i="44" s="1"/>
  <c r="AG63" i="43"/>
  <c r="AG32" i="44" s="1"/>
  <c r="AH32" i="44" s="1"/>
  <c r="AM63" i="43"/>
  <c r="AQ63" i="43"/>
  <c r="AQ32" i="44" s="1"/>
  <c r="AS63" i="43"/>
  <c r="AS32" i="44" s="1"/>
  <c r="AV63" i="43"/>
  <c r="AV32" i="44" s="1"/>
  <c r="AW32" i="44" s="1"/>
  <c r="BA63" i="43"/>
  <c r="BA32" i="44" s="1"/>
  <c r="BB32" i="44" s="1"/>
  <c r="BF63" i="43"/>
  <c r="BF32" i="44" s="1"/>
  <c r="BG32" i="44" s="1"/>
  <c r="BL63" i="43"/>
  <c r="BQ63" i="43"/>
  <c r="BV63" i="43"/>
  <c r="CA63" i="43"/>
  <c r="CF63" i="43"/>
  <c r="CK63" i="43"/>
  <c r="M64" i="43"/>
  <c r="M33" i="44" s="1"/>
  <c r="N33" i="44" s="1"/>
  <c r="R64" i="43"/>
  <c r="R33" i="44" s="1"/>
  <c r="S33" i="44" s="1"/>
  <c r="W64" i="43"/>
  <c r="W33" i="44" s="1"/>
  <c r="X33" i="44" s="1"/>
  <c r="AB64" i="43"/>
  <c r="AB33" i="44" s="1"/>
  <c r="AC33" i="44" s="1"/>
  <c r="AG64" i="43"/>
  <c r="AG33" i="44" s="1"/>
  <c r="AH33" i="44" s="1"/>
  <c r="M35" i="44"/>
  <c r="N35" i="44" s="1"/>
  <c r="R35" i="44"/>
  <c r="W35" i="44"/>
  <c r="AB35" i="44"/>
  <c r="AG35" i="44"/>
  <c r="AH35" i="44" s="1"/>
  <c r="M66" i="43"/>
  <c r="M36" i="44" s="1"/>
  <c r="N36" i="44" s="1"/>
  <c r="R66" i="43"/>
  <c r="R36" i="44" s="1"/>
  <c r="S36" i="44" s="1"/>
  <c r="W66" i="43"/>
  <c r="W36" i="44" s="1"/>
  <c r="X36" i="44" s="1"/>
  <c r="AB66" i="43"/>
  <c r="AB36" i="44" s="1"/>
  <c r="AC36" i="44" s="1"/>
  <c r="AG66" i="43"/>
  <c r="AG36" i="44" s="1"/>
  <c r="AH36" i="44" s="1"/>
  <c r="AM66" i="43"/>
  <c r="AQ66" i="43"/>
  <c r="AQ36" i="44" s="1"/>
  <c r="AV66" i="43"/>
  <c r="AV36" i="44" s="1"/>
  <c r="AW36" i="44" s="1"/>
  <c r="BA66" i="43"/>
  <c r="BA36" i="44" s="1"/>
  <c r="BB36" i="44" s="1"/>
  <c r="BF66" i="43"/>
  <c r="BF36" i="44" s="1"/>
  <c r="BG36" i="44" s="1"/>
  <c r="BL66" i="43"/>
  <c r="BQ66" i="43"/>
  <c r="BV66" i="43"/>
  <c r="CA66" i="43"/>
  <c r="CF66" i="43"/>
  <c r="CK66" i="43"/>
  <c r="M67" i="43"/>
  <c r="M37" i="44" s="1"/>
  <c r="N37" i="44" s="1"/>
  <c r="R67" i="43"/>
  <c r="R37" i="44" s="1"/>
  <c r="S37" i="44" s="1"/>
  <c r="W67" i="43"/>
  <c r="W37" i="44" s="1"/>
  <c r="X37" i="44" s="1"/>
  <c r="AB67" i="43"/>
  <c r="AB37" i="44" s="1"/>
  <c r="AC37" i="44" s="1"/>
  <c r="AG67" i="43"/>
  <c r="AG37" i="44" s="1"/>
  <c r="AH37" i="44" s="1"/>
  <c r="AM67" i="43"/>
  <c r="AQ67" i="43"/>
  <c r="AQ37" i="44" s="1"/>
  <c r="AR37" i="44" s="1"/>
  <c r="AV67" i="43"/>
  <c r="AV37" i="44" s="1"/>
  <c r="BA67" i="43"/>
  <c r="BA37" i="44" s="1"/>
  <c r="BB37" i="44" s="1"/>
  <c r="BF67" i="43"/>
  <c r="BF37" i="44" s="1"/>
  <c r="BG37" i="44" s="1"/>
  <c r="BL67" i="43"/>
  <c r="BQ67" i="43"/>
  <c r="BV67" i="43"/>
  <c r="CA67" i="43"/>
  <c r="CF67" i="43"/>
  <c r="CK67" i="43"/>
  <c r="M68" i="43"/>
  <c r="M38" i="44" s="1"/>
  <c r="N38" i="44" s="1"/>
  <c r="R68" i="43"/>
  <c r="R38" i="44" s="1"/>
  <c r="S38" i="44" s="1"/>
  <c r="W68" i="43"/>
  <c r="W38" i="44" s="1"/>
  <c r="X38" i="44" s="1"/>
  <c r="AB68" i="43"/>
  <c r="AB38" i="44" s="1"/>
  <c r="AC38" i="44" s="1"/>
  <c r="AG68" i="43"/>
  <c r="AG38" i="44" s="1"/>
  <c r="AH38" i="44" s="1"/>
  <c r="AM68" i="43"/>
  <c r="AQ68" i="43"/>
  <c r="AQ38" i="44" s="1"/>
  <c r="AR38" i="44" s="1"/>
  <c r="AV68" i="43"/>
  <c r="AV38" i="44" s="1"/>
  <c r="AW38" i="44" s="1"/>
  <c r="BA68" i="43"/>
  <c r="BA38" i="44" s="1"/>
  <c r="BB38" i="44" s="1"/>
  <c r="BF68" i="43"/>
  <c r="BF38" i="44" s="1"/>
  <c r="BG38" i="44" s="1"/>
  <c r="BL68" i="43"/>
  <c r="BQ68" i="43"/>
  <c r="BV68" i="43"/>
  <c r="CA68" i="43"/>
  <c r="CF68" i="43"/>
  <c r="CK68" i="43"/>
  <c r="M69" i="43"/>
  <c r="M39" i="44" s="1"/>
  <c r="N39" i="44" s="1"/>
  <c r="R69" i="43"/>
  <c r="R39" i="44" s="1"/>
  <c r="S39" i="44" s="1"/>
  <c r="W69" i="43"/>
  <c r="W39" i="44" s="1"/>
  <c r="X39" i="44" s="1"/>
  <c r="AB69" i="43"/>
  <c r="AB39" i="44" s="1"/>
  <c r="AC39" i="44" s="1"/>
  <c r="AG69" i="43"/>
  <c r="AG39" i="44" s="1"/>
  <c r="AH39" i="44" s="1"/>
  <c r="AM69" i="43"/>
  <c r="AQ69" i="43"/>
  <c r="AQ39" i="44" s="1"/>
  <c r="AR39" i="44" s="1"/>
  <c r="AV69" i="43"/>
  <c r="AV39" i="44" s="1"/>
  <c r="AW39" i="44" s="1"/>
  <c r="BA69" i="43"/>
  <c r="BA39" i="44" s="1"/>
  <c r="BB39" i="44" s="1"/>
  <c r="BF69" i="43"/>
  <c r="BF39" i="44" s="1"/>
  <c r="BG39" i="44" s="1"/>
  <c r="BL69" i="43"/>
  <c r="BQ69" i="43"/>
  <c r="BV69" i="43"/>
  <c r="CA69" i="43"/>
  <c r="CA206" i="43" s="1"/>
  <c r="CA50" i="44" s="1"/>
  <c r="CB50" i="44" s="1"/>
  <c r="CF69" i="43"/>
  <c r="CK69" i="43"/>
  <c r="CK206" i="43" s="1"/>
  <c r="CK50" i="44" s="1"/>
  <c r="CL50" i="44" s="1"/>
  <c r="M70" i="43"/>
  <c r="M40" i="44" s="1"/>
  <c r="N40" i="44" s="1"/>
  <c r="R70" i="43"/>
  <c r="R40" i="44" s="1"/>
  <c r="S40" i="44" s="1"/>
  <c r="W70" i="43"/>
  <c r="W40" i="44" s="1"/>
  <c r="X40" i="44" s="1"/>
  <c r="AB70" i="43"/>
  <c r="AB40" i="44" s="1"/>
  <c r="AC40" i="44" s="1"/>
  <c r="AG70" i="43"/>
  <c r="AG40" i="44" s="1"/>
  <c r="AH40" i="44" s="1"/>
  <c r="AM70" i="43"/>
  <c r="AQ70" i="43"/>
  <c r="AQ40" i="44" s="1"/>
  <c r="AR40" i="44" s="1"/>
  <c r="AV70" i="43"/>
  <c r="AV40" i="44" s="1"/>
  <c r="AW40" i="44" s="1"/>
  <c r="BA70" i="43"/>
  <c r="BA40" i="44" s="1"/>
  <c r="BB40" i="44" s="1"/>
  <c r="BF70" i="43"/>
  <c r="BF40" i="44" s="1"/>
  <c r="BG40" i="44" s="1"/>
  <c r="BL70" i="43"/>
  <c r="BQ70" i="43"/>
  <c r="BV70" i="43"/>
  <c r="CA70" i="43"/>
  <c r="CF70" i="43"/>
  <c r="CK70" i="43"/>
  <c r="C71" i="43"/>
  <c r="D71" i="43"/>
  <c r="E71" i="43"/>
  <c r="F71" i="43"/>
  <c r="G71" i="43"/>
  <c r="H71" i="43"/>
  <c r="I71" i="43"/>
  <c r="J71" i="43"/>
  <c r="K71" i="43"/>
  <c r="L71" i="43"/>
  <c r="N71" i="43"/>
  <c r="M71" i="43" s="1"/>
  <c r="O71" i="43"/>
  <c r="P71" i="43"/>
  <c r="Q71" i="43"/>
  <c r="S71" i="43"/>
  <c r="R71" i="43" s="1"/>
  <c r="T71" i="43"/>
  <c r="U71" i="43"/>
  <c r="V71" i="43"/>
  <c r="X71" i="43"/>
  <c r="W71" i="43" s="1"/>
  <c r="Y71" i="43"/>
  <c r="Z71" i="43"/>
  <c r="AA71" i="43"/>
  <c r="AC71" i="43"/>
  <c r="AB71" i="43" s="1"/>
  <c r="AD71" i="43"/>
  <c r="AE71" i="43"/>
  <c r="AF71" i="43"/>
  <c r="AH71" i="43"/>
  <c r="AG71" i="43" s="1"/>
  <c r="AI71" i="43"/>
  <c r="AJ71" i="43"/>
  <c r="AK71" i="43"/>
  <c r="AL71" i="43"/>
  <c r="AN71" i="43"/>
  <c r="AO71" i="43"/>
  <c r="AP71" i="43"/>
  <c r="AR71" i="43"/>
  <c r="AS71" i="43"/>
  <c r="AT71" i="43"/>
  <c r="AU71" i="43"/>
  <c r="AW71" i="43"/>
  <c r="AV71" i="43" s="1"/>
  <c r="AX71" i="43"/>
  <c r="AY71" i="43"/>
  <c r="AZ71" i="43"/>
  <c r="BB71" i="43"/>
  <c r="BA71" i="43" s="1"/>
  <c r="BC71" i="43"/>
  <c r="BD71" i="43"/>
  <c r="BE71" i="43"/>
  <c r="BG71" i="43"/>
  <c r="BH71" i="43"/>
  <c r="BI71" i="43"/>
  <c r="BJ71" i="43"/>
  <c r="BK71" i="43"/>
  <c r="BM71" i="43"/>
  <c r="BN71" i="43"/>
  <c r="BO71" i="43"/>
  <c r="BP71" i="43"/>
  <c r="BR71" i="43"/>
  <c r="BS71" i="43"/>
  <c r="BT71" i="43"/>
  <c r="BU71" i="43"/>
  <c r="BW71" i="43"/>
  <c r="BX71" i="43"/>
  <c r="BY71" i="43"/>
  <c r="BZ71" i="43"/>
  <c r="CB71" i="43"/>
  <c r="CC71" i="43"/>
  <c r="CD71" i="43"/>
  <c r="CE71" i="43"/>
  <c r="CG71" i="43"/>
  <c r="CH71" i="43"/>
  <c r="CI71" i="43"/>
  <c r="CJ71" i="43"/>
  <c r="CL71" i="43"/>
  <c r="M80" i="43"/>
  <c r="R80" i="43"/>
  <c r="W80" i="43"/>
  <c r="AB80" i="43"/>
  <c r="AG80" i="43"/>
  <c r="AL80" i="43"/>
  <c r="AM80" i="43" s="1"/>
  <c r="AQ80" i="43"/>
  <c r="AV80" i="43"/>
  <c r="BA80" i="43"/>
  <c r="BF80" i="43"/>
  <c r="BL80" i="43"/>
  <c r="BQ80" i="43"/>
  <c r="BV80" i="43"/>
  <c r="CA80" i="43"/>
  <c r="CF80" i="43"/>
  <c r="CK80" i="43"/>
  <c r="M81" i="43"/>
  <c r="R81" i="43"/>
  <c r="W81" i="43"/>
  <c r="AB81" i="43"/>
  <c r="AG81" i="43"/>
  <c r="AM81" i="43"/>
  <c r="AQ81" i="43"/>
  <c r="AV81" i="43"/>
  <c r="BA81" i="43"/>
  <c r="BF81" i="43"/>
  <c r="BL81" i="43"/>
  <c r="BQ81" i="43"/>
  <c r="BV81" i="43"/>
  <c r="CA81" i="43"/>
  <c r="CF81" i="43"/>
  <c r="CK81" i="43"/>
  <c r="C82" i="43"/>
  <c r="D82" i="43"/>
  <c r="E82" i="43"/>
  <c r="F82" i="43"/>
  <c r="G82" i="43"/>
  <c r="H82" i="43"/>
  <c r="I82" i="43"/>
  <c r="J82" i="43"/>
  <c r="J99" i="43" s="1"/>
  <c r="K82" i="43"/>
  <c r="K99" i="43" s="1"/>
  <c r="L82" i="43"/>
  <c r="L99" i="43" s="1"/>
  <c r="N82" i="43"/>
  <c r="M82" i="43" s="1"/>
  <c r="O82" i="43"/>
  <c r="O99" i="43" s="1"/>
  <c r="P82" i="43"/>
  <c r="P99" i="43" s="1"/>
  <c r="Q82" i="43"/>
  <c r="Q99" i="43" s="1"/>
  <c r="S82" i="43"/>
  <c r="R82" i="43" s="1"/>
  <c r="T82" i="43"/>
  <c r="U82" i="43"/>
  <c r="V82" i="43"/>
  <c r="X82" i="43"/>
  <c r="Y82" i="43"/>
  <c r="AA82" i="43"/>
  <c r="AC82" i="43"/>
  <c r="AB82" i="43" s="1"/>
  <c r="AD82" i="43"/>
  <c r="AE82" i="43"/>
  <c r="AF82" i="43"/>
  <c r="AG82" i="43"/>
  <c r="AI82" i="43"/>
  <c r="AJ82" i="43"/>
  <c r="AK82" i="43"/>
  <c r="AN82" i="43"/>
  <c r="AO82" i="43"/>
  <c r="AP82" i="43"/>
  <c r="AR82" i="43"/>
  <c r="AS82" i="43"/>
  <c r="AT82" i="43"/>
  <c r="AU82" i="43"/>
  <c r="AW82" i="43"/>
  <c r="AV82" i="43" s="1"/>
  <c r="AX82" i="43"/>
  <c r="AY82" i="43"/>
  <c r="AZ82" i="43"/>
  <c r="BB82" i="43"/>
  <c r="BC82" i="43"/>
  <c r="BD82" i="43"/>
  <c r="BE82" i="43"/>
  <c r="BG82" i="43"/>
  <c r="BF82" i="43" s="1"/>
  <c r="BH82" i="43"/>
  <c r="BI82" i="43"/>
  <c r="BJ82" i="43"/>
  <c r="BK82" i="43"/>
  <c r="BL82" i="43" s="1"/>
  <c r="BM82" i="43"/>
  <c r="BN82" i="43"/>
  <c r="BO82" i="43"/>
  <c r="BP82" i="43"/>
  <c r="BQ82" i="43" s="1"/>
  <c r="BR82" i="43"/>
  <c r="BS82" i="43"/>
  <c r="BT82" i="43"/>
  <c r="BU82" i="43"/>
  <c r="BV82" i="43" s="1"/>
  <c r="BW82" i="43"/>
  <c r="BX82" i="43"/>
  <c r="BY82" i="43"/>
  <c r="BZ82" i="43"/>
  <c r="CB82" i="43"/>
  <c r="CC82" i="43"/>
  <c r="CD82" i="43"/>
  <c r="CE82" i="43"/>
  <c r="CF82" i="43" s="1"/>
  <c r="CG82" i="43"/>
  <c r="CH82" i="43"/>
  <c r="CI82" i="43"/>
  <c r="CJ82" i="43"/>
  <c r="CK82" i="43" s="1"/>
  <c r="CL82" i="43"/>
  <c r="M83" i="43"/>
  <c r="R83" i="43"/>
  <c r="W83" i="43"/>
  <c r="AB83" i="43"/>
  <c r="AG83" i="43"/>
  <c r="AM83" i="43"/>
  <c r="AQ83" i="43"/>
  <c r="AV83" i="43"/>
  <c r="BA83" i="43"/>
  <c r="BF83" i="43"/>
  <c r="BL83" i="43"/>
  <c r="BQ83" i="43"/>
  <c r="BV83" i="43"/>
  <c r="CA83" i="43"/>
  <c r="CF83" i="43"/>
  <c r="CK83" i="43"/>
  <c r="M84" i="43"/>
  <c r="R84" i="43"/>
  <c r="W84" i="43"/>
  <c r="AB84" i="43"/>
  <c r="AG84" i="43"/>
  <c r="AM84" i="43"/>
  <c r="AQ84" i="43"/>
  <c r="AV84" i="43"/>
  <c r="BA84" i="43"/>
  <c r="BF84" i="43"/>
  <c r="BL84" i="43"/>
  <c r="BQ84" i="43"/>
  <c r="BV84" i="43"/>
  <c r="CA84" i="43"/>
  <c r="CF84" i="43"/>
  <c r="CK84" i="43"/>
  <c r="M85" i="43"/>
  <c r="R85" i="43"/>
  <c r="W85" i="43"/>
  <c r="AB85" i="43"/>
  <c r="AG85" i="43"/>
  <c r="AM85" i="43"/>
  <c r="AQ85" i="43"/>
  <c r="AV85" i="43"/>
  <c r="BA85" i="43"/>
  <c r="BF85" i="43"/>
  <c r="BL85" i="43"/>
  <c r="BQ85" i="43"/>
  <c r="BV85" i="43"/>
  <c r="CA85" i="43"/>
  <c r="CF85" i="43"/>
  <c r="CK85" i="43"/>
  <c r="M86" i="43"/>
  <c r="R86" i="43"/>
  <c r="W86" i="43"/>
  <c r="AB86" i="43"/>
  <c r="AG86" i="43"/>
  <c r="AM86" i="43"/>
  <c r="M87" i="43"/>
  <c r="R87" i="43"/>
  <c r="W87" i="43"/>
  <c r="AB87" i="43"/>
  <c r="AG87" i="43"/>
  <c r="AM87" i="43"/>
  <c r="AQ87" i="43"/>
  <c r="M88" i="43"/>
  <c r="R88" i="43"/>
  <c r="W88" i="43"/>
  <c r="AB88" i="43"/>
  <c r="AG88" i="43"/>
  <c r="AM88" i="43"/>
  <c r="M89" i="43"/>
  <c r="R89" i="43"/>
  <c r="W89" i="43"/>
  <c r="AB89" i="43"/>
  <c r="AG89" i="43"/>
  <c r="AM89" i="43"/>
  <c r="AQ89" i="43"/>
  <c r="AV89" i="43"/>
  <c r="BA89" i="43"/>
  <c r="BF89" i="43"/>
  <c r="BL89" i="43"/>
  <c r="BQ89" i="43"/>
  <c r="BV89" i="43"/>
  <c r="CA89" i="43"/>
  <c r="CF89" i="43"/>
  <c r="CK89" i="43"/>
  <c r="M90" i="43"/>
  <c r="R90" i="43"/>
  <c r="W90" i="43"/>
  <c r="AB90" i="43"/>
  <c r="AG90" i="43"/>
  <c r="AM90" i="43"/>
  <c r="M91" i="43"/>
  <c r="R91" i="43"/>
  <c r="W91" i="43"/>
  <c r="AB91" i="43"/>
  <c r="AG91" i="43"/>
  <c r="AM91" i="43"/>
  <c r="AQ91" i="43"/>
  <c r="AV91" i="43"/>
  <c r="BA91" i="43"/>
  <c r="BF91" i="43"/>
  <c r="BL91" i="43"/>
  <c r="BQ91" i="43"/>
  <c r="BV91" i="43"/>
  <c r="CA91" i="43"/>
  <c r="CF91" i="43"/>
  <c r="CK91" i="43"/>
  <c r="F92" i="43"/>
  <c r="G92" i="43"/>
  <c r="M92" i="43"/>
  <c r="R92" i="43"/>
  <c r="W92" i="43"/>
  <c r="Y92" i="43"/>
  <c r="AA92" i="43"/>
  <c r="AB92" i="43"/>
  <c r="AF92" i="43"/>
  <c r="AG92" i="43"/>
  <c r="AK92" i="43"/>
  <c r="AM92" i="43"/>
  <c r="AQ92" i="43"/>
  <c r="AS92" i="43"/>
  <c r="AT92" i="43"/>
  <c r="AU92" i="43"/>
  <c r="AW92" i="43"/>
  <c r="AV92" i="43" s="1"/>
  <c r="AY92" i="43"/>
  <c r="AZ92" i="43"/>
  <c r="BA92" i="43"/>
  <c r="BF92" i="43"/>
  <c r="BL92" i="43"/>
  <c r="BQ92" i="43"/>
  <c r="BV92" i="43"/>
  <c r="CA92" i="43"/>
  <c r="CF92" i="43"/>
  <c r="CK92" i="43"/>
  <c r="C93" i="43"/>
  <c r="D93" i="43"/>
  <c r="E93" i="43"/>
  <c r="F93" i="43"/>
  <c r="G93" i="43"/>
  <c r="H93" i="43"/>
  <c r="I93" i="43"/>
  <c r="N93" i="43"/>
  <c r="M93" i="43" s="1"/>
  <c r="S93" i="43"/>
  <c r="T93" i="43"/>
  <c r="U93" i="43"/>
  <c r="V93" i="43"/>
  <c r="X93" i="43"/>
  <c r="W93" i="43" s="1"/>
  <c r="Y93" i="43"/>
  <c r="Z93" i="43"/>
  <c r="Z99" i="43" s="1"/>
  <c r="AA93" i="43"/>
  <c r="AC93" i="43"/>
  <c r="AB93" i="43" s="1"/>
  <c r="AD93" i="43"/>
  <c r="AE93" i="43"/>
  <c r="AF93" i="43"/>
  <c r="AH93" i="43"/>
  <c r="AH99" i="43" s="1"/>
  <c r="AG99" i="43" s="1"/>
  <c r="AI93" i="43"/>
  <c r="AJ93" i="43"/>
  <c r="AK93" i="43"/>
  <c r="AL93" i="43"/>
  <c r="AN93" i="43"/>
  <c r="AO93" i="43"/>
  <c r="AP93" i="43"/>
  <c r="AR93" i="43"/>
  <c r="AQ93" i="43" s="1"/>
  <c r="AS93" i="43"/>
  <c r="AT93" i="43"/>
  <c r="AU93" i="43"/>
  <c r="AW93" i="43"/>
  <c r="AX93" i="43"/>
  <c r="AY93" i="43"/>
  <c r="AZ93" i="43"/>
  <c r="BC93" i="43"/>
  <c r="BD93" i="43"/>
  <c r="BE93" i="43"/>
  <c r="BG93" i="43"/>
  <c r="BH93" i="43"/>
  <c r="BI93" i="43"/>
  <c r="BJ93" i="43"/>
  <c r="BK93" i="43"/>
  <c r="BM93" i="43"/>
  <c r="BN93" i="43"/>
  <c r="BO93" i="43"/>
  <c r="BR93" i="43"/>
  <c r="BS93" i="43"/>
  <c r="BT93" i="43"/>
  <c r="BW93" i="43"/>
  <c r="BX93" i="43"/>
  <c r="BY93" i="43"/>
  <c r="BZ93" i="43"/>
  <c r="CA93" i="43" s="1"/>
  <c r="CB93" i="43"/>
  <c r="CC93" i="43"/>
  <c r="CD93" i="43"/>
  <c r="CG93" i="43"/>
  <c r="CH93" i="43"/>
  <c r="CI93" i="43"/>
  <c r="M94" i="43"/>
  <c r="R94" i="43"/>
  <c r="W94" i="43"/>
  <c r="AB94" i="43"/>
  <c r="AG94" i="43"/>
  <c r="AM94" i="43"/>
  <c r="AQ94" i="43"/>
  <c r="AV94" i="43"/>
  <c r="BA94" i="43"/>
  <c r="BF94" i="43"/>
  <c r="BL94" i="43"/>
  <c r="BQ94" i="43"/>
  <c r="BV94" i="43"/>
  <c r="CA94" i="43"/>
  <c r="CF94" i="43"/>
  <c r="CK94" i="43"/>
  <c r="M95" i="43"/>
  <c r="R95" i="43"/>
  <c r="W95" i="43"/>
  <c r="AB95" i="43"/>
  <c r="AG95" i="43"/>
  <c r="AM95" i="43"/>
  <c r="AQ95" i="43"/>
  <c r="AV95" i="43"/>
  <c r="BA95" i="43"/>
  <c r="BF95" i="43"/>
  <c r="BL95" i="43"/>
  <c r="BQ95" i="43"/>
  <c r="BV95" i="43"/>
  <c r="CA95" i="43"/>
  <c r="CF95" i="43"/>
  <c r="CK95" i="43"/>
  <c r="M96" i="43"/>
  <c r="R96" i="43"/>
  <c r="W96" i="43"/>
  <c r="AB96" i="43"/>
  <c r="AG96" i="43"/>
  <c r="AM96" i="43"/>
  <c r="AQ96" i="43"/>
  <c r="AV96" i="43"/>
  <c r="BA96" i="43"/>
  <c r="BF96" i="43"/>
  <c r="BL96" i="43"/>
  <c r="BQ96" i="43"/>
  <c r="BV96" i="43"/>
  <c r="CA96" i="43"/>
  <c r="CF96" i="43"/>
  <c r="CK96" i="43"/>
  <c r="M97" i="43"/>
  <c r="R97" i="43"/>
  <c r="W97" i="43"/>
  <c r="AB97" i="43"/>
  <c r="AG97" i="43"/>
  <c r="AM97" i="43"/>
  <c r="AQ97" i="43"/>
  <c r="AV97" i="43"/>
  <c r="BA97" i="43"/>
  <c r="BF97" i="43"/>
  <c r="BL97" i="43"/>
  <c r="BQ97" i="43"/>
  <c r="BV97" i="43"/>
  <c r="CA97" i="43"/>
  <c r="CF97" i="43"/>
  <c r="CK97" i="43"/>
  <c r="M98" i="43"/>
  <c r="R98" i="43"/>
  <c r="W98" i="43"/>
  <c r="AB98" i="43"/>
  <c r="AG98" i="43"/>
  <c r="AM98" i="43"/>
  <c r="AM93" i="43" s="1"/>
  <c r="AQ98" i="43"/>
  <c r="AV98" i="43"/>
  <c r="BB98" i="43"/>
  <c r="BA98" i="43" s="1"/>
  <c r="BF98" i="43"/>
  <c r="BL98" i="43"/>
  <c r="BP98" i="43"/>
  <c r="BU98" i="43"/>
  <c r="BU93" i="43" s="1"/>
  <c r="BV93" i="43" s="1"/>
  <c r="CA98" i="43"/>
  <c r="CE98" i="43"/>
  <c r="CE93" i="43" s="1"/>
  <c r="CJ98" i="43"/>
  <c r="CJ93" i="43" s="1"/>
  <c r="CL98" i="43"/>
  <c r="CL93" i="43" s="1"/>
  <c r="M100" i="43"/>
  <c r="R100" i="43"/>
  <c r="T100" i="43"/>
  <c r="T108" i="43" s="1"/>
  <c r="U100" i="43"/>
  <c r="U108" i="43" s="1"/>
  <c r="V100" i="43"/>
  <c r="W100" i="43"/>
  <c r="AB100" i="43"/>
  <c r="AF100" i="43"/>
  <c r="AF108" i="43" s="1"/>
  <c r="AG100" i="43"/>
  <c r="AM100" i="43"/>
  <c r="AQ100" i="43"/>
  <c r="AV100" i="43"/>
  <c r="BA100" i="43"/>
  <c r="BF100" i="43"/>
  <c r="BL100" i="43"/>
  <c r="BQ100" i="43"/>
  <c r="BV100" i="43"/>
  <c r="CA100" i="43"/>
  <c r="CF100" i="43"/>
  <c r="CK100" i="43"/>
  <c r="M101" i="43"/>
  <c r="R101" i="43"/>
  <c r="W101" i="43"/>
  <c r="AB101" i="43"/>
  <c r="AG101" i="43"/>
  <c r="AM101" i="43"/>
  <c r="M102" i="43"/>
  <c r="R102" i="43"/>
  <c r="W102" i="43"/>
  <c r="AB102" i="43"/>
  <c r="AG102" i="43"/>
  <c r="AM102" i="43"/>
  <c r="F103" i="43"/>
  <c r="M103" i="43"/>
  <c r="R103" i="43"/>
  <c r="W103" i="43"/>
  <c r="AB103" i="43"/>
  <c r="AG103" i="43"/>
  <c r="AM103" i="43"/>
  <c r="M104" i="43"/>
  <c r="R104" i="43"/>
  <c r="W104" i="43"/>
  <c r="AB104" i="43"/>
  <c r="AG104" i="43"/>
  <c r="AM104" i="43"/>
  <c r="M105" i="43"/>
  <c r="R105" i="43"/>
  <c r="W105" i="43"/>
  <c r="AB105" i="43"/>
  <c r="AG105" i="43"/>
  <c r="AM105" i="43"/>
  <c r="BV105" i="43"/>
  <c r="CA105" i="43"/>
  <c r="CF105" i="43"/>
  <c r="CK105" i="43"/>
  <c r="D106" i="43"/>
  <c r="D108" i="43" s="1"/>
  <c r="M106" i="43"/>
  <c r="P106" i="43"/>
  <c r="P108" i="43" s="1"/>
  <c r="Q106" i="43"/>
  <c r="Q108" i="43" s="1"/>
  <c r="S106" i="43"/>
  <c r="R106" i="43" s="1"/>
  <c r="W106" i="43"/>
  <c r="AB106" i="43"/>
  <c r="AG106" i="43"/>
  <c r="AM106" i="43"/>
  <c r="BV106" i="43"/>
  <c r="CA106" i="43"/>
  <c r="CF106" i="43"/>
  <c r="CK106" i="43"/>
  <c r="M107" i="43"/>
  <c r="R107" i="43"/>
  <c r="W107" i="43"/>
  <c r="AB107" i="43"/>
  <c r="AG107" i="43"/>
  <c r="AM107" i="43"/>
  <c r="AQ107" i="43"/>
  <c r="AV107" i="43"/>
  <c r="BA107" i="43"/>
  <c r="BF107" i="43"/>
  <c r="BF108" i="43" s="1"/>
  <c r="BL107" i="43"/>
  <c r="BQ107" i="43"/>
  <c r="BV107" i="43"/>
  <c r="CA107" i="43"/>
  <c r="CF107" i="43"/>
  <c r="CK107" i="43"/>
  <c r="C108" i="43"/>
  <c r="E108" i="43"/>
  <c r="F108" i="43"/>
  <c r="G108" i="43"/>
  <c r="H108" i="43"/>
  <c r="I108" i="43"/>
  <c r="J108" i="43"/>
  <c r="K108" i="43"/>
  <c r="L108" i="43"/>
  <c r="N108" i="43"/>
  <c r="M108" i="43" s="1"/>
  <c r="O108" i="43"/>
  <c r="V108" i="43"/>
  <c r="X108" i="43"/>
  <c r="W108" i="43" s="1"/>
  <c r="Y108" i="43"/>
  <c r="Z108" i="43"/>
  <c r="AA108" i="43"/>
  <c r="AC108" i="43"/>
  <c r="AB108" i="43" s="1"/>
  <c r="AD108" i="43"/>
  <c r="AE108" i="43"/>
  <c r="AH108" i="43"/>
  <c r="AG108" i="43" s="1"/>
  <c r="AI108" i="43"/>
  <c r="AJ108" i="43"/>
  <c r="AK108" i="43"/>
  <c r="AL108" i="43"/>
  <c r="AN108" i="43"/>
  <c r="AO108" i="43"/>
  <c r="AP108" i="43"/>
  <c r="AR108" i="43"/>
  <c r="AQ108" i="43" s="1"/>
  <c r="AS108" i="43"/>
  <c r="AT108" i="43"/>
  <c r="AU108" i="43"/>
  <c r="AW108" i="43"/>
  <c r="AV108" i="43" s="1"/>
  <c r="AX108" i="43"/>
  <c r="AY108" i="43"/>
  <c r="AZ108" i="43"/>
  <c r="BB108" i="43"/>
  <c r="BA108" i="43" s="1"/>
  <c r="BC108" i="43"/>
  <c r="BD108" i="43"/>
  <c r="BE108" i="43"/>
  <c r="BG108" i="43"/>
  <c r="BH108" i="43"/>
  <c r="BI108" i="43"/>
  <c r="BJ108" i="43"/>
  <c r="BK108" i="43"/>
  <c r="BL108" i="43" s="1"/>
  <c r="BM108" i="43"/>
  <c r="BN108" i="43"/>
  <c r="BO108" i="43"/>
  <c r="BP108" i="43"/>
  <c r="BQ108" i="43" s="1"/>
  <c r="BR108" i="43"/>
  <c r="BS108" i="43"/>
  <c r="BT108" i="43"/>
  <c r="BU108" i="43"/>
  <c r="BV108" i="43" s="1"/>
  <c r="BW108" i="43"/>
  <c r="BX108" i="43"/>
  <c r="BY108" i="43"/>
  <c r="BZ108" i="43"/>
  <c r="CA108" i="43" s="1"/>
  <c r="CB108" i="43"/>
  <c r="CC108" i="43"/>
  <c r="CD108" i="43"/>
  <c r="CE108" i="43"/>
  <c r="CF108" i="43" s="1"/>
  <c r="CG108" i="43"/>
  <c r="CH108" i="43"/>
  <c r="CI108" i="43"/>
  <c r="CJ108" i="43"/>
  <c r="CK108" i="43" s="1"/>
  <c r="CL108" i="43"/>
  <c r="M109" i="43"/>
  <c r="R109" i="43"/>
  <c r="W109" i="43"/>
  <c r="AB109" i="43"/>
  <c r="AG109" i="43"/>
  <c r="AM109" i="43"/>
  <c r="AQ109" i="43"/>
  <c r="AV109" i="43"/>
  <c r="BA109" i="43"/>
  <c r="BF109" i="43"/>
  <c r="BJ109" i="43"/>
  <c r="BK109" i="43"/>
  <c r="BL109" i="43" s="1"/>
  <c r="BQ109" i="43"/>
  <c r="BT109" i="43"/>
  <c r="BU109" i="43"/>
  <c r="BV109" i="43" s="1"/>
  <c r="BW109" i="43"/>
  <c r="BX109" i="43"/>
  <c r="BY109" i="43"/>
  <c r="BZ109" i="43"/>
  <c r="CA109" i="43" s="1"/>
  <c r="CF109" i="43"/>
  <c r="CK109" i="43"/>
  <c r="I110" i="43"/>
  <c r="J110" i="43"/>
  <c r="J118" i="43" s="1"/>
  <c r="N110" i="43"/>
  <c r="M110" i="43" s="1"/>
  <c r="O110" i="43"/>
  <c r="P110" i="43"/>
  <c r="Q110" i="43"/>
  <c r="S110" i="43"/>
  <c r="R110" i="43" s="1"/>
  <c r="W110" i="43"/>
  <c r="AB110" i="43"/>
  <c r="AG110" i="43"/>
  <c r="AM110" i="43"/>
  <c r="AQ110" i="43"/>
  <c r="AV110" i="43"/>
  <c r="AY110" i="43"/>
  <c r="AY118" i="43" s="1"/>
  <c r="BA110" i="43"/>
  <c r="D111" i="43"/>
  <c r="D118" i="43" s="1"/>
  <c r="E111" i="43"/>
  <c r="F111" i="43"/>
  <c r="F118" i="43" s="1"/>
  <c r="I111" i="43"/>
  <c r="M111" i="43"/>
  <c r="O111" i="43"/>
  <c r="O118" i="43" s="1"/>
  <c r="P111" i="43"/>
  <c r="Q111" i="43"/>
  <c r="S111" i="43"/>
  <c r="R111" i="43" s="1"/>
  <c r="U111" i="43"/>
  <c r="U118" i="43" s="1"/>
  <c r="V111" i="43"/>
  <c r="V118" i="43" s="1"/>
  <c r="W111" i="43"/>
  <c r="Y111" i="43"/>
  <c r="Y118" i="43" s="1"/>
  <c r="Z111" i="43"/>
  <c r="Z118" i="43" s="1"/>
  <c r="AB111" i="43"/>
  <c r="AG111" i="43"/>
  <c r="AJ111" i="43"/>
  <c r="AJ118" i="43" s="1"/>
  <c r="AK111" i="43"/>
  <c r="AL111" i="43"/>
  <c r="AL118" i="43" s="1"/>
  <c r="AM111" i="43"/>
  <c r="AP111" i="43"/>
  <c r="AR111" i="43"/>
  <c r="AQ111" i="43" s="1"/>
  <c r="AV111" i="43"/>
  <c r="AX111" i="43"/>
  <c r="AX118" i="43" s="1"/>
  <c r="BB111" i="43"/>
  <c r="BB118" i="43" s="1"/>
  <c r="BA118" i="43" s="1"/>
  <c r="BD111" i="43"/>
  <c r="BD118" i="43" s="1"/>
  <c r="BE111" i="43"/>
  <c r="BG111" i="43"/>
  <c r="BF111" i="43" s="1"/>
  <c r="BJ111" i="43"/>
  <c r="BK111" i="43"/>
  <c r="BL111" i="43" s="1"/>
  <c r="BM111" i="43"/>
  <c r="BN111" i="43"/>
  <c r="BN118" i="43" s="1"/>
  <c r="BQ111" i="43"/>
  <c r="BV111" i="43"/>
  <c r="CA111" i="43"/>
  <c r="CB111" i="43"/>
  <c r="CB118" i="43" s="1"/>
  <c r="CC111" i="43"/>
  <c r="CC118" i="43" s="1"/>
  <c r="CD111" i="43"/>
  <c r="CD118" i="43" s="1"/>
  <c r="CE111" i="43"/>
  <c r="CF111" i="43" s="1"/>
  <c r="CG111" i="43"/>
  <c r="CG118" i="43" s="1"/>
  <c r="CH111" i="43"/>
  <c r="CK111" i="43"/>
  <c r="M112" i="43"/>
  <c r="R112" i="43"/>
  <c r="W112" i="43"/>
  <c r="AB112" i="43"/>
  <c r="AG112" i="43"/>
  <c r="AM112" i="43"/>
  <c r="AQ112" i="43"/>
  <c r="AS112" i="43"/>
  <c r="AS118" i="43" s="1"/>
  <c r="AT112" i="43"/>
  <c r="AT118" i="43" s="1"/>
  <c r="AU112" i="43"/>
  <c r="AU118" i="43" s="1"/>
  <c r="AW112" i="43"/>
  <c r="AV112" i="43" s="1"/>
  <c r="BA112" i="43"/>
  <c r="BF112" i="43"/>
  <c r="BL112" i="43"/>
  <c r="BQ112" i="43"/>
  <c r="BS112" i="43"/>
  <c r="BT112" i="43"/>
  <c r="BU112" i="43"/>
  <c r="BV112" i="43" s="1"/>
  <c r="CA112" i="43"/>
  <c r="CE112" i="43"/>
  <c r="CF112" i="43" s="1"/>
  <c r="CK112" i="43"/>
  <c r="M113" i="43"/>
  <c r="R113" i="43"/>
  <c r="W113" i="43"/>
  <c r="AB113" i="43"/>
  <c r="AG113" i="43"/>
  <c r="AM113" i="43"/>
  <c r="AQ113" i="43"/>
  <c r="BA113" i="43"/>
  <c r="BF113" i="43"/>
  <c r="BL113" i="43"/>
  <c r="BQ113" i="43"/>
  <c r="BV113" i="43"/>
  <c r="CA113" i="43"/>
  <c r="CF113" i="43"/>
  <c r="CK113" i="43"/>
  <c r="M114" i="43"/>
  <c r="R114" i="43"/>
  <c r="W114" i="43"/>
  <c r="AB114" i="43"/>
  <c r="AG114" i="43"/>
  <c r="AM114" i="43"/>
  <c r="AV114" i="43"/>
  <c r="BA114" i="43"/>
  <c r="M115" i="43"/>
  <c r="R115" i="43"/>
  <c r="W115" i="43"/>
  <c r="AB115" i="43"/>
  <c r="AG115" i="43"/>
  <c r="AM115" i="43"/>
  <c r="CF115" i="43"/>
  <c r="CK115" i="43"/>
  <c r="M116" i="43"/>
  <c r="R116" i="43"/>
  <c r="W116" i="43"/>
  <c r="AB116" i="43"/>
  <c r="AG116" i="43"/>
  <c r="AM116" i="43"/>
  <c r="BF116" i="43"/>
  <c r="BL116" i="43"/>
  <c r="BQ116" i="43"/>
  <c r="BV116" i="43"/>
  <c r="CA116" i="43"/>
  <c r="CF116" i="43"/>
  <c r="CK116" i="43"/>
  <c r="I117" i="43"/>
  <c r="M117" i="43"/>
  <c r="R117" i="43"/>
  <c r="W117" i="43"/>
  <c r="AB117" i="43"/>
  <c r="AG117" i="43"/>
  <c r="AK117" i="43"/>
  <c r="AM117" i="43"/>
  <c r="AQ117" i="43"/>
  <c r="AV117" i="43"/>
  <c r="AZ117" i="43"/>
  <c r="AZ118" i="43" s="1"/>
  <c r="BA117" i="43"/>
  <c r="BF117" i="43"/>
  <c r="BL117" i="43"/>
  <c r="BO117" i="43"/>
  <c r="BO118" i="43" s="1"/>
  <c r="BQ117" i="43"/>
  <c r="BV117" i="43"/>
  <c r="BW117" i="43"/>
  <c r="BX117" i="43"/>
  <c r="BY117" i="43"/>
  <c r="BZ117" i="43"/>
  <c r="CA117" i="43" s="1"/>
  <c r="CF117" i="43"/>
  <c r="CH117" i="43"/>
  <c r="CK117" i="43"/>
  <c r="CL117" i="43"/>
  <c r="CL118" i="43" s="1"/>
  <c r="C118" i="43"/>
  <c r="E118" i="43"/>
  <c r="G118" i="43"/>
  <c r="H118" i="43"/>
  <c r="K118" i="43"/>
  <c r="L118" i="43"/>
  <c r="T118" i="43"/>
  <c r="X118" i="43"/>
  <c r="AA118" i="43"/>
  <c r="AC118" i="43"/>
  <c r="AD118" i="43"/>
  <c r="AE118" i="43"/>
  <c r="AF118" i="43"/>
  <c r="AH118" i="43"/>
  <c r="AG118" i="43" s="1"/>
  <c r="AI118" i="43"/>
  <c r="AN118" i="43"/>
  <c r="AO118" i="43"/>
  <c r="AP118" i="43"/>
  <c r="BC118" i="43"/>
  <c r="BE118" i="43"/>
  <c r="BH118" i="43"/>
  <c r="BI118" i="43"/>
  <c r="BM118" i="43"/>
  <c r="BP118" i="43"/>
  <c r="BQ118" i="43" s="1"/>
  <c r="BR118" i="43"/>
  <c r="BS118" i="43"/>
  <c r="CI118" i="43"/>
  <c r="CJ118" i="43"/>
  <c r="CK118" i="43" s="1"/>
  <c r="W119" i="43"/>
  <c r="Y119" i="43"/>
  <c r="AB119" i="43"/>
  <c r="AG119" i="43"/>
  <c r="W120" i="43"/>
  <c r="AB120" i="43"/>
  <c r="AG120" i="43"/>
  <c r="M121" i="43"/>
  <c r="R121" i="43"/>
  <c r="W121" i="43"/>
  <c r="AB121" i="43"/>
  <c r="AG121" i="43"/>
  <c r="AM121" i="43"/>
  <c r="AQ121" i="43"/>
  <c r="AV121" i="43"/>
  <c r="BA121" i="43"/>
  <c r="BF121" i="43"/>
  <c r="BL121" i="43"/>
  <c r="BQ121" i="43"/>
  <c r="BV121" i="43"/>
  <c r="CA121" i="43"/>
  <c r="CF121" i="43"/>
  <c r="CK121" i="43"/>
  <c r="BV124" i="43"/>
  <c r="BW123" i="43" s="1"/>
  <c r="W132" i="43"/>
  <c r="W13" i="47" s="1"/>
  <c r="AB132" i="43"/>
  <c r="AG132" i="43"/>
  <c r="AM132" i="43"/>
  <c r="AQ132" i="43"/>
  <c r="AT132" i="43"/>
  <c r="BB132" i="43"/>
  <c r="BG132" i="43"/>
  <c r="BL132" i="43"/>
  <c r="BM132" i="43"/>
  <c r="BO132" i="43"/>
  <c r="BO138" i="43" s="1"/>
  <c r="BV132" i="43"/>
  <c r="CA132" i="43"/>
  <c r="CF132" i="43"/>
  <c r="CK132" i="43"/>
  <c r="W133" i="43"/>
  <c r="W19" i="47" s="1"/>
  <c r="AB133" i="43"/>
  <c r="AG133" i="43"/>
  <c r="AM133" i="43"/>
  <c r="AQ133" i="43"/>
  <c r="AT133" i="43"/>
  <c r="BB133" i="43"/>
  <c r="BG133" i="43"/>
  <c r="BL133" i="43"/>
  <c r="BM133" i="43"/>
  <c r="BV133" i="43"/>
  <c r="CA133" i="43"/>
  <c r="CF133" i="43"/>
  <c r="CK133" i="43"/>
  <c r="M134" i="43"/>
  <c r="M22" i="47" s="1"/>
  <c r="R134" i="43"/>
  <c r="R22" i="47" s="1"/>
  <c r="W134" i="43"/>
  <c r="W22" i="47" s="1"/>
  <c r="M135" i="43"/>
  <c r="M23" i="47" s="1"/>
  <c r="R135" i="43"/>
  <c r="R23" i="47" s="1"/>
  <c r="W135" i="43"/>
  <c r="W23" i="47" s="1"/>
  <c r="M136" i="43"/>
  <c r="M24" i="47" s="1"/>
  <c r="R136" i="43"/>
  <c r="R24" i="47" s="1"/>
  <c r="W136" i="43"/>
  <c r="W24" i="47" s="1"/>
  <c r="M137" i="43"/>
  <c r="R137" i="43"/>
  <c r="W137" i="43"/>
  <c r="W25" i="47" s="1"/>
  <c r="AB137" i="43"/>
  <c r="AG137" i="43"/>
  <c r="AM137" i="43"/>
  <c r="AQ137" i="43"/>
  <c r="AW137" i="43"/>
  <c r="BB137" i="43"/>
  <c r="BG137" i="43"/>
  <c r="BL137" i="43"/>
  <c r="BQ137" i="43"/>
  <c r="BV137" i="43"/>
  <c r="CA137" i="43"/>
  <c r="CF137" i="43"/>
  <c r="CK137" i="43"/>
  <c r="C138" i="43"/>
  <c r="C139" i="43" s="1"/>
  <c r="D138" i="43"/>
  <c r="D139" i="43" s="1"/>
  <c r="E138" i="43"/>
  <c r="E139" i="43" s="1"/>
  <c r="F138" i="43"/>
  <c r="F139" i="43" s="1"/>
  <c r="G138" i="43"/>
  <c r="G139" i="43" s="1"/>
  <c r="H138" i="43"/>
  <c r="H139" i="43" s="1"/>
  <c r="I138" i="43"/>
  <c r="I139" i="43" s="1"/>
  <c r="J138" i="43"/>
  <c r="J139" i="43" s="1"/>
  <c r="K138" i="43"/>
  <c r="K139" i="43" s="1"/>
  <c r="L138" i="43"/>
  <c r="L139" i="43" s="1"/>
  <c r="N138" i="43"/>
  <c r="O138" i="43"/>
  <c r="O139" i="43" s="1"/>
  <c r="P138" i="43"/>
  <c r="P139" i="43" s="1"/>
  <c r="Q138" i="43"/>
  <c r="Q139" i="43" s="1"/>
  <c r="S138" i="43"/>
  <c r="S139" i="43" s="1"/>
  <c r="T138" i="43"/>
  <c r="T139" i="43" s="1"/>
  <c r="U138" i="43"/>
  <c r="V138" i="43"/>
  <c r="V139" i="43" s="1"/>
  <c r="X138" i="43"/>
  <c r="X139" i="43" s="1"/>
  <c r="Y138" i="43"/>
  <c r="Y139" i="43" s="1"/>
  <c r="Z138" i="43"/>
  <c r="Z139" i="43" s="1"/>
  <c r="AA138" i="43"/>
  <c r="AA139" i="43" s="1"/>
  <c r="AC138" i="43"/>
  <c r="AD138" i="43"/>
  <c r="AD139" i="43" s="1"/>
  <c r="AE138" i="43"/>
  <c r="AF138" i="43"/>
  <c r="AF139" i="43" s="1"/>
  <c r="AH138" i="43"/>
  <c r="AH139" i="43" s="1"/>
  <c r="AI138" i="43"/>
  <c r="AI139" i="43" s="1"/>
  <c r="AJ138" i="43"/>
  <c r="AJ139" i="43" s="1"/>
  <c r="AK138" i="43"/>
  <c r="AK139" i="43" s="1"/>
  <c r="AL138" i="43"/>
  <c r="AN138" i="43"/>
  <c r="AO138" i="43"/>
  <c r="AP138" i="43"/>
  <c r="AR138" i="43"/>
  <c r="AS138" i="43"/>
  <c r="AU138" i="43"/>
  <c r="AV138" i="43"/>
  <c r="AX138" i="43"/>
  <c r="AY138" i="43"/>
  <c r="AZ138" i="43"/>
  <c r="BA138" i="43"/>
  <c r="BC138" i="43"/>
  <c r="BD138" i="43"/>
  <c r="BE138" i="43"/>
  <c r="BF138" i="43"/>
  <c r="BH138" i="43"/>
  <c r="BI138" i="43"/>
  <c r="BJ138" i="43"/>
  <c r="BK138" i="43"/>
  <c r="BN138" i="43"/>
  <c r="BP138" i="43"/>
  <c r="BR138" i="43"/>
  <c r="BS138" i="43"/>
  <c r="BT138" i="43"/>
  <c r="BU138" i="43"/>
  <c r="BW138" i="43"/>
  <c r="BX138" i="43"/>
  <c r="BY138" i="43"/>
  <c r="BZ138" i="43"/>
  <c r="CB138" i="43"/>
  <c r="CC138" i="43"/>
  <c r="CD138" i="43"/>
  <c r="CE138" i="43"/>
  <c r="CG138" i="43"/>
  <c r="CH138" i="43"/>
  <c r="CI138" i="43"/>
  <c r="CJ138" i="43"/>
  <c r="CL138" i="43"/>
  <c r="W142" i="43"/>
  <c r="AB142" i="43"/>
  <c r="AB79" i="47" s="1"/>
  <c r="AG142" i="43"/>
  <c r="AG79" i="47" s="1"/>
  <c r="AM142" i="43"/>
  <c r="AQ142" i="43"/>
  <c r="AQ79" i="47" s="1"/>
  <c r="AW142" i="43"/>
  <c r="BB142" i="43"/>
  <c r="BG142" i="43"/>
  <c r="BL142" i="43"/>
  <c r="BQ142" i="43"/>
  <c r="BV142" i="43"/>
  <c r="CA142" i="43"/>
  <c r="CF142" i="43"/>
  <c r="CK142" i="43"/>
  <c r="W143" i="43"/>
  <c r="AB143" i="43"/>
  <c r="AB80" i="47" s="1"/>
  <c r="AG143" i="43"/>
  <c r="AG80" i="47" s="1"/>
  <c r="AM143" i="43"/>
  <c r="AQ143" i="43"/>
  <c r="AQ80" i="47" s="1"/>
  <c r="AW143" i="43"/>
  <c r="BB143" i="43"/>
  <c r="BG143" i="43"/>
  <c r="BL143" i="43"/>
  <c r="BQ143" i="43"/>
  <c r="BV143" i="43"/>
  <c r="CA143" i="43"/>
  <c r="CF143" i="43"/>
  <c r="CK143" i="43"/>
  <c r="M144" i="43"/>
  <c r="M81" i="47" s="1"/>
  <c r="R144" i="43"/>
  <c r="R81" i="47" s="1"/>
  <c r="W144" i="43"/>
  <c r="W81" i="47" s="1"/>
  <c r="AB144" i="43"/>
  <c r="AG144" i="43"/>
  <c r="AQ144" i="43"/>
  <c r="AV144" i="43"/>
  <c r="M145" i="43"/>
  <c r="M82" i="47" s="1"/>
  <c r="R145" i="43"/>
  <c r="R82" i="47" s="1"/>
  <c r="W145" i="43"/>
  <c r="W82" i="47" s="1"/>
  <c r="AB145" i="43"/>
  <c r="AG145" i="43"/>
  <c r="AQ145" i="43"/>
  <c r="AV145" i="43"/>
  <c r="M146" i="43"/>
  <c r="M83" i="47" s="1"/>
  <c r="R146" i="43"/>
  <c r="R83" i="47" s="1"/>
  <c r="W146" i="43"/>
  <c r="W83" i="47" s="1"/>
  <c r="AB146" i="43"/>
  <c r="AG146" i="43"/>
  <c r="AQ146" i="43"/>
  <c r="AV146" i="43"/>
  <c r="C147" i="43"/>
  <c r="C85" i="47" s="1"/>
  <c r="E147" i="43"/>
  <c r="E85" i="47" s="1"/>
  <c r="F147" i="43"/>
  <c r="G147" i="43"/>
  <c r="G85" i="47" s="1"/>
  <c r="M147" i="43"/>
  <c r="M85" i="47" s="1"/>
  <c r="R147" i="43"/>
  <c r="R85" i="47" s="1"/>
  <c r="W147" i="43"/>
  <c r="W85" i="47" s="1"/>
  <c r="AG147" i="43"/>
  <c r="AG85" i="47" s="1"/>
  <c r="AG145" i="47" s="1"/>
  <c r="AM147" i="43"/>
  <c r="AQ147" i="43"/>
  <c r="AQ85" i="47" s="1"/>
  <c r="AW147" i="43"/>
  <c r="BB147" i="43"/>
  <c r="BG147" i="43"/>
  <c r="BL147" i="43"/>
  <c r="BQ147" i="43"/>
  <c r="BV147" i="43"/>
  <c r="CA147" i="43"/>
  <c r="CF147" i="43"/>
  <c r="CK147" i="43"/>
  <c r="G148" i="43"/>
  <c r="H148" i="43"/>
  <c r="I148" i="43"/>
  <c r="J148" i="43"/>
  <c r="K148" i="43"/>
  <c r="L148" i="43"/>
  <c r="N148" i="43"/>
  <c r="O148" i="43"/>
  <c r="P148" i="43"/>
  <c r="Q148" i="43"/>
  <c r="S148" i="43"/>
  <c r="T148" i="43"/>
  <c r="U148" i="43"/>
  <c r="V148" i="43"/>
  <c r="X148" i="43"/>
  <c r="Y148" i="43"/>
  <c r="Z148" i="43"/>
  <c r="AA148" i="43"/>
  <c r="AC148" i="43"/>
  <c r="AD148" i="43"/>
  <c r="AE148" i="43"/>
  <c r="AF148" i="43"/>
  <c r="AH148" i="43"/>
  <c r="AI148" i="43"/>
  <c r="AJ148" i="43"/>
  <c r="AK148" i="43"/>
  <c r="AL148" i="43"/>
  <c r="AN148" i="43"/>
  <c r="AO148" i="43"/>
  <c r="AP148" i="43"/>
  <c r="AR148" i="43"/>
  <c r="AS148" i="43"/>
  <c r="AT148" i="43"/>
  <c r="AU148" i="43"/>
  <c r="AX148" i="43"/>
  <c r="AY148" i="43"/>
  <c r="AZ148" i="43"/>
  <c r="BA148" i="43"/>
  <c r="BC148" i="43"/>
  <c r="BD148" i="43"/>
  <c r="BE148" i="43"/>
  <c r="BF148" i="43"/>
  <c r="BH148" i="43"/>
  <c r="BI148" i="43"/>
  <c r="BJ148" i="43"/>
  <c r="BK148" i="43"/>
  <c r="BM148" i="43"/>
  <c r="BN148" i="43"/>
  <c r="BO148" i="43"/>
  <c r="BP148" i="43"/>
  <c r="BR148" i="43"/>
  <c r="BS148" i="43"/>
  <c r="BT148" i="43"/>
  <c r="BU148" i="43"/>
  <c r="BW148" i="43"/>
  <c r="BX148" i="43"/>
  <c r="BY148" i="43"/>
  <c r="BZ148" i="43"/>
  <c r="CB148" i="43"/>
  <c r="CC148" i="43"/>
  <c r="CD148" i="43"/>
  <c r="CE148" i="43"/>
  <c r="CG148" i="43"/>
  <c r="CH148" i="43"/>
  <c r="CI148" i="43"/>
  <c r="CJ148" i="43"/>
  <c r="CL148" i="43"/>
  <c r="AC152" i="43"/>
  <c r="AD152" i="43"/>
  <c r="AM152" i="43"/>
  <c r="AR152" i="43"/>
  <c r="AW152" i="43"/>
  <c r="BB152" i="43"/>
  <c r="BG152" i="43"/>
  <c r="BL152" i="43"/>
  <c r="BQ152" i="43"/>
  <c r="BV152" i="43"/>
  <c r="CA152" i="43"/>
  <c r="CF152" i="43"/>
  <c r="CJ152" i="43"/>
  <c r="CJ13" i="46" s="1"/>
  <c r="AC153" i="43"/>
  <c r="AD153" i="43"/>
  <c r="AM153" i="43"/>
  <c r="AR153" i="43"/>
  <c r="AW153" i="43"/>
  <c r="BB153" i="43"/>
  <c r="BG153" i="43"/>
  <c r="BL153" i="43"/>
  <c r="BQ153" i="43"/>
  <c r="BV153" i="43"/>
  <c r="CA153" i="43"/>
  <c r="CF153" i="43"/>
  <c r="CJ153" i="43"/>
  <c r="CJ14" i="46" s="1"/>
  <c r="M154" i="43"/>
  <c r="R154" i="43"/>
  <c r="W154" i="43"/>
  <c r="Y154" i="43"/>
  <c r="Y65" i="47" s="1"/>
  <c r="Z154" i="43"/>
  <c r="AA154" i="43"/>
  <c r="AA65" i="47" s="1"/>
  <c r="AA72" i="47" s="1"/>
  <c r="AB154" i="43"/>
  <c r="AE154" i="43"/>
  <c r="AE65" i="47" s="1"/>
  <c r="AF154" i="43"/>
  <c r="AG154" i="43"/>
  <c r="AG65" i="47" s="1"/>
  <c r="AJ154" i="43"/>
  <c r="AJ65" i="47" s="1"/>
  <c r="AK154" i="43"/>
  <c r="AL154" i="43"/>
  <c r="AN154" i="43"/>
  <c r="AN65" i="47" s="1"/>
  <c r="AO154" i="43"/>
  <c r="AP154" i="43"/>
  <c r="AP65" i="47" s="1"/>
  <c r="AQ154" i="43"/>
  <c r="AQ65" i="47" s="1"/>
  <c r="AS154" i="43"/>
  <c r="AS65" i="47" s="1"/>
  <c r="AV154" i="43"/>
  <c r="AV65" i="47" s="1"/>
  <c r="AX154" i="43"/>
  <c r="AY154" i="43"/>
  <c r="AY65" i="47" s="1"/>
  <c r="AZ154" i="43"/>
  <c r="AZ65" i="47" s="1"/>
  <c r="BA154" i="43"/>
  <c r="BC154" i="43"/>
  <c r="BC65" i="47" s="1"/>
  <c r="BD154" i="43"/>
  <c r="BD65" i="47" s="1"/>
  <c r="BE154" i="43"/>
  <c r="BE65" i="47" s="1"/>
  <c r="BF154" i="43"/>
  <c r="BH154" i="43"/>
  <c r="BI154" i="43"/>
  <c r="BI65" i="47" s="1"/>
  <c r="BJ154" i="43"/>
  <c r="BK154" i="43"/>
  <c r="BK65" i="47" s="1"/>
  <c r="BM154" i="43"/>
  <c r="BM65" i="47" s="1"/>
  <c r="BN154" i="43"/>
  <c r="BO154" i="43"/>
  <c r="BO65" i="47" s="1"/>
  <c r="BP154" i="43"/>
  <c r="BP65" i="47" s="1"/>
  <c r="BP72" i="47" s="1"/>
  <c r="BR154" i="43"/>
  <c r="BS154" i="43"/>
  <c r="BS65" i="47" s="1"/>
  <c r="BT154" i="43"/>
  <c r="BT65" i="47" s="1"/>
  <c r="BU154" i="43"/>
  <c r="BU65" i="47" s="1"/>
  <c r="BX154" i="43"/>
  <c r="BY154" i="43"/>
  <c r="BY65" i="47" s="1"/>
  <c r="BZ154" i="43"/>
  <c r="BZ65" i="47" s="1"/>
  <c r="CB154" i="43"/>
  <c r="CC154" i="43"/>
  <c r="CD154" i="43"/>
  <c r="CD65" i="47" s="1"/>
  <c r="CE154" i="43"/>
  <c r="CE65" i="47" s="1"/>
  <c r="CG154" i="43"/>
  <c r="CH154" i="43"/>
  <c r="CH65" i="47" s="1"/>
  <c r="CI154" i="43"/>
  <c r="CI65" i="47" s="1"/>
  <c r="CK154" i="43"/>
  <c r="CL154" i="43"/>
  <c r="CL65" i="47" s="1"/>
  <c r="AC156" i="43"/>
  <c r="AD156" i="43"/>
  <c r="AD16" i="46" s="1"/>
  <c r="AM156" i="43"/>
  <c r="AR156" i="43"/>
  <c r="AW156" i="43"/>
  <c r="BB156" i="43"/>
  <c r="BG156" i="43"/>
  <c r="BL156" i="43"/>
  <c r="BQ156" i="43"/>
  <c r="BV156" i="43"/>
  <c r="CA156" i="43"/>
  <c r="CF156" i="43"/>
  <c r="CJ156" i="43"/>
  <c r="AC157" i="43"/>
  <c r="AD157" i="43"/>
  <c r="AM157" i="43"/>
  <c r="AR157" i="43"/>
  <c r="AW157" i="43"/>
  <c r="BB157" i="43"/>
  <c r="BG157" i="43"/>
  <c r="BL157" i="43"/>
  <c r="BQ157" i="43"/>
  <c r="BV157" i="43"/>
  <c r="CA157" i="43"/>
  <c r="CF157" i="43"/>
  <c r="CJ157" i="43"/>
  <c r="CJ17" i="46" s="1"/>
  <c r="M158" i="43"/>
  <c r="R158" i="43"/>
  <c r="W158" i="43"/>
  <c r="Y158" i="43"/>
  <c r="Y66" i="47" s="1"/>
  <c r="Z158" i="43"/>
  <c r="Z66" i="47" s="1"/>
  <c r="AA158" i="43"/>
  <c r="AB158" i="43"/>
  <c r="AB66" i="47" s="1"/>
  <c r="AE158" i="43"/>
  <c r="AF158" i="43"/>
  <c r="AF66" i="47" s="1"/>
  <c r="AG158" i="43"/>
  <c r="AG66" i="47" s="1"/>
  <c r="AI158" i="43"/>
  <c r="AJ158" i="43"/>
  <c r="AJ66" i="47" s="1"/>
  <c r="AK158" i="43"/>
  <c r="AK66" i="47" s="1"/>
  <c r="AK73" i="47" s="1"/>
  <c r="AL158" i="43"/>
  <c r="AN158" i="43"/>
  <c r="AO158" i="43"/>
  <c r="AO66" i="47" s="1"/>
  <c r="AP158" i="43"/>
  <c r="AQ158" i="43"/>
  <c r="AS158" i="43"/>
  <c r="AS66" i="47" s="1"/>
  <c r="AV158" i="43"/>
  <c r="AV66" i="47" s="1"/>
  <c r="AX158" i="43"/>
  <c r="AX66" i="47" s="1"/>
  <c r="AY158" i="43"/>
  <c r="AY66" i="47" s="1"/>
  <c r="AZ158" i="43"/>
  <c r="AZ66" i="47" s="1"/>
  <c r="BA158" i="43"/>
  <c r="BA66" i="47" s="1"/>
  <c r="BC158" i="43"/>
  <c r="BC66" i="47" s="1"/>
  <c r="BC73" i="47" s="1"/>
  <c r="BD158" i="43"/>
  <c r="BD66" i="47" s="1"/>
  <c r="BE158" i="43"/>
  <c r="BE66" i="47" s="1"/>
  <c r="BE73" i="47" s="1"/>
  <c r="BF158" i="43"/>
  <c r="BF66" i="47" s="1"/>
  <c r="BF73" i="47" s="1"/>
  <c r="BH158" i="43"/>
  <c r="BH66" i="47" s="1"/>
  <c r="BI158" i="43"/>
  <c r="BI66" i="47" s="1"/>
  <c r="BI73" i="47" s="1"/>
  <c r="BJ158" i="43"/>
  <c r="BJ66" i="47" s="1"/>
  <c r="BJ73" i="47" s="1"/>
  <c r="BK158" i="43"/>
  <c r="BK66" i="47" s="1"/>
  <c r="BK73" i="47" s="1"/>
  <c r="BM158" i="43"/>
  <c r="BM66" i="47" s="1"/>
  <c r="BN158" i="43"/>
  <c r="BN66" i="47" s="1"/>
  <c r="BO158" i="43"/>
  <c r="BO66" i="47" s="1"/>
  <c r="BP158" i="43"/>
  <c r="BP66" i="47" s="1"/>
  <c r="BR158" i="43"/>
  <c r="BR66" i="47" s="1"/>
  <c r="BS158" i="43"/>
  <c r="BS66" i="47" s="1"/>
  <c r="BS73" i="47" s="1"/>
  <c r="BT158" i="43"/>
  <c r="BT66" i="47" s="1"/>
  <c r="BT73" i="47" s="1"/>
  <c r="BU158" i="43"/>
  <c r="BU66" i="47" s="1"/>
  <c r="BX158" i="43"/>
  <c r="BX66" i="47" s="1"/>
  <c r="BY158" i="43"/>
  <c r="BY66" i="47" s="1"/>
  <c r="BZ158" i="43"/>
  <c r="BZ66" i="47" s="1"/>
  <c r="CB158" i="43"/>
  <c r="CB66" i="47" s="1"/>
  <c r="CC158" i="43"/>
  <c r="CC66" i="47" s="1"/>
  <c r="CC73" i="47" s="1"/>
  <c r="CD158" i="43"/>
  <c r="CD66" i="47" s="1"/>
  <c r="CD73" i="47" s="1"/>
  <c r="CE158" i="43"/>
  <c r="CE66" i="47" s="1"/>
  <c r="CG158" i="43"/>
  <c r="CG66" i="47" s="1"/>
  <c r="CH158" i="43"/>
  <c r="CH66" i="47" s="1"/>
  <c r="CI158" i="43"/>
  <c r="CI66" i="47" s="1"/>
  <c r="CK158" i="43"/>
  <c r="CL158" i="43"/>
  <c r="CL66" i="47" s="1"/>
  <c r="AC160" i="43"/>
  <c r="AD160" i="43"/>
  <c r="AM160" i="43"/>
  <c r="AR160" i="43"/>
  <c r="AW160" i="43"/>
  <c r="BB160" i="43"/>
  <c r="BG160" i="43"/>
  <c r="BL160" i="43"/>
  <c r="BQ160" i="43"/>
  <c r="BV160" i="43"/>
  <c r="CA160" i="43"/>
  <c r="CF160" i="43"/>
  <c r="CJ160" i="43"/>
  <c r="CJ19" i="46" s="1"/>
  <c r="AC161" i="43"/>
  <c r="AD161" i="43"/>
  <c r="AM161" i="43"/>
  <c r="AR161" i="43"/>
  <c r="AW161" i="43"/>
  <c r="BB161" i="43"/>
  <c r="BG161" i="43"/>
  <c r="BL161" i="43"/>
  <c r="BQ161" i="43"/>
  <c r="BV161" i="43"/>
  <c r="CA161" i="43"/>
  <c r="CF161" i="43"/>
  <c r="CJ161" i="43"/>
  <c r="M162" i="43"/>
  <c r="R162" i="43"/>
  <c r="W162" i="43"/>
  <c r="Y162" i="43"/>
  <c r="Z162" i="43"/>
  <c r="Z67" i="47" s="1"/>
  <c r="AA162" i="43"/>
  <c r="AA67" i="47" s="1"/>
  <c r="AB162" i="43"/>
  <c r="AB67" i="47" s="1"/>
  <c r="AE162" i="43"/>
  <c r="AE67" i="47" s="1"/>
  <c r="AF162" i="43"/>
  <c r="AF67" i="47" s="1"/>
  <c r="AG162" i="43"/>
  <c r="AI162" i="43"/>
  <c r="AI67" i="47" s="1"/>
  <c r="AJ162" i="43"/>
  <c r="AJ67" i="47" s="1"/>
  <c r="AJ74" i="47" s="1"/>
  <c r="AK162" i="43"/>
  <c r="AK67" i="47" s="1"/>
  <c r="AK74" i="47" s="1"/>
  <c r="AL162" i="43"/>
  <c r="AN162" i="43"/>
  <c r="AN67" i="47" s="1"/>
  <c r="AO162" i="43"/>
  <c r="AO67" i="47" s="1"/>
  <c r="AP162" i="43"/>
  <c r="AP67" i="47" s="1"/>
  <c r="AQ162" i="43"/>
  <c r="AQ67" i="47" s="1"/>
  <c r="AS162" i="43"/>
  <c r="AS67" i="47" s="1"/>
  <c r="AV162" i="43"/>
  <c r="AV67" i="47" s="1"/>
  <c r="AX162" i="43"/>
  <c r="AX67" i="47" s="1"/>
  <c r="AY162" i="43"/>
  <c r="AY67" i="47" s="1"/>
  <c r="AZ162" i="43"/>
  <c r="AZ67" i="47" s="1"/>
  <c r="AZ74" i="47" s="1"/>
  <c r="BA162" i="43"/>
  <c r="BA67" i="47" s="1"/>
  <c r="BA74" i="47" s="1"/>
  <c r="BC162" i="43"/>
  <c r="BC67" i="47" s="1"/>
  <c r="BD162" i="43"/>
  <c r="BD67" i="47" s="1"/>
  <c r="BE162" i="43"/>
  <c r="BE67" i="47" s="1"/>
  <c r="BF162" i="43"/>
  <c r="BF67" i="47" s="1"/>
  <c r="BF74" i="47" s="1"/>
  <c r="BH162" i="43"/>
  <c r="BH67" i="47" s="1"/>
  <c r="BI162" i="43"/>
  <c r="BI67" i="47" s="1"/>
  <c r="BJ162" i="43"/>
  <c r="BJ67" i="47" s="1"/>
  <c r="BJ74" i="47" s="1"/>
  <c r="BK162" i="43"/>
  <c r="BM162" i="43"/>
  <c r="BM67" i="47" s="1"/>
  <c r="BM74" i="47" s="1"/>
  <c r="BN162" i="43"/>
  <c r="BN67" i="47" s="1"/>
  <c r="BN74" i="47" s="1"/>
  <c r="BO162" i="43"/>
  <c r="BO67" i="47" s="1"/>
  <c r="BO74" i="47" s="1"/>
  <c r="BP162" i="43"/>
  <c r="BP67" i="47" s="1"/>
  <c r="BR162" i="43"/>
  <c r="BR67" i="47" s="1"/>
  <c r="BS162" i="43"/>
  <c r="BS67" i="47" s="1"/>
  <c r="BS74" i="47" s="1"/>
  <c r="BT162" i="43"/>
  <c r="BU162" i="43"/>
  <c r="BU67" i="47" s="1"/>
  <c r="BX162" i="43"/>
  <c r="BX67" i="47" s="1"/>
  <c r="BY162" i="43"/>
  <c r="BY67" i="47" s="1"/>
  <c r="BZ162" i="43"/>
  <c r="BZ67" i="47" s="1"/>
  <c r="CB162" i="43"/>
  <c r="CB67" i="47" s="1"/>
  <c r="CC162" i="43"/>
  <c r="CC67" i="47" s="1"/>
  <c r="CD162" i="43"/>
  <c r="CD67" i="47" s="1"/>
  <c r="CE162" i="43"/>
  <c r="CE67" i="47" s="1"/>
  <c r="CE74" i="47" s="1"/>
  <c r="CG162" i="43"/>
  <c r="CG67" i="47" s="1"/>
  <c r="CH162" i="43"/>
  <c r="CH67" i="47" s="1"/>
  <c r="CI162" i="43"/>
  <c r="CI67" i="47" s="1"/>
  <c r="CK162" i="43"/>
  <c r="CL162" i="43"/>
  <c r="CL67" i="47" s="1"/>
  <c r="M164" i="43"/>
  <c r="R164" i="43"/>
  <c r="W164" i="43"/>
  <c r="C165" i="43"/>
  <c r="D165" i="43"/>
  <c r="E165" i="43"/>
  <c r="F165" i="43"/>
  <c r="G165" i="43"/>
  <c r="H165" i="43"/>
  <c r="I165" i="43"/>
  <c r="J165" i="43"/>
  <c r="K165" i="43"/>
  <c r="L165" i="43"/>
  <c r="N165" i="43"/>
  <c r="O165" i="43"/>
  <c r="P165" i="43"/>
  <c r="Q165" i="43"/>
  <c r="S165" i="43"/>
  <c r="T165" i="43"/>
  <c r="U165" i="43"/>
  <c r="V165" i="43"/>
  <c r="X165" i="43"/>
  <c r="AT165" i="43"/>
  <c r="AU165" i="43"/>
  <c r="BW165" i="43"/>
  <c r="C169" i="43"/>
  <c r="D169" i="43"/>
  <c r="E169" i="43"/>
  <c r="F169" i="43"/>
  <c r="G169" i="43"/>
  <c r="H169" i="43"/>
  <c r="I169" i="43"/>
  <c r="N169" i="43"/>
  <c r="S169" i="43"/>
  <c r="X169" i="43"/>
  <c r="AC169" i="43"/>
  <c r="AH169" i="43"/>
  <c r="AR169" i="43"/>
  <c r="BL169" i="43"/>
  <c r="BL224" i="43" s="1"/>
  <c r="BL223" i="43" s="1"/>
  <c r="D170" i="43"/>
  <c r="E170" i="43"/>
  <c r="F170" i="43"/>
  <c r="G170" i="43"/>
  <c r="H170" i="43"/>
  <c r="I170" i="43"/>
  <c r="N170" i="43"/>
  <c r="S170" i="43"/>
  <c r="X170" i="43"/>
  <c r="AC170" i="43"/>
  <c r="AH170" i="43"/>
  <c r="AR170" i="43"/>
  <c r="BB170" i="43"/>
  <c r="BB234" i="43" s="1"/>
  <c r="BL170" i="43"/>
  <c r="BL234" i="43" s="1"/>
  <c r="BV170" i="43"/>
  <c r="D171" i="43"/>
  <c r="E171" i="43"/>
  <c r="F171" i="43"/>
  <c r="G171" i="43"/>
  <c r="H171" i="43"/>
  <c r="I171" i="43"/>
  <c r="N171" i="43"/>
  <c r="S171" i="43"/>
  <c r="X171" i="43"/>
  <c r="AC171" i="43"/>
  <c r="AH171" i="43"/>
  <c r="AR171" i="43"/>
  <c r="BL171" i="43"/>
  <c r="BL235" i="43" s="1"/>
  <c r="CQ171" i="43"/>
  <c r="CQ235" i="43" s="1"/>
  <c r="BV172" i="43"/>
  <c r="BV269" i="43" s="1"/>
  <c r="C176" i="43"/>
  <c r="C177" i="43" s="1"/>
  <c r="D176" i="43"/>
  <c r="E176" i="43"/>
  <c r="F176" i="43"/>
  <c r="G176" i="43"/>
  <c r="H176" i="43"/>
  <c r="I176" i="43"/>
  <c r="N176" i="43"/>
  <c r="S176" i="43"/>
  <c r="X176" i="43"/>
  <c r="AC176" i="43"/>
  <c r="AH176" i="43"/>
  <c r="AR176" i="43"/>
  <c r="BL176" i="43"/>
  <c r="D179" i="43"/>
  <c r="E179" i="43"/>
  <c r="F179" i="43"/>
  <c r="H179" i="43"/>
  <c r="I179" i="43"/>
  <c r="N179" i="43"/>
  <c r="S179" i="43"/>
  <c r="X179" i="43"/>
  <c r="AC179" i="43"/>
  <c r="H180" i="43"/>
  <c r="I180" i="43"/>
  <c r="N180" i="43"/>
  <c r="S180" i="43"/>
  <c r="X180" i="43"/>
  <c r="AC180" i="43"/>
  <c r="D181" i="43"/>
  <c r="E181" i="43"/>
  <c r="F181" i="43"/>
  <c r="H181" i="43"/>
  <c r="I181" i="43"/>
  <c r="N181" i="43"/>
  <c r="S181" i="43"/>
  <c r="X181" i="43"/>
  <c r="AC181" i="43"/>
  <c r="H182" i="43"/>
  <c r="I182" i="43"/>
  <c r="N182" i="43"/>
  <c r="S182" i="43"/>
  <c r="X182" i="43"/>
  <c r="AC182" i="43"/>
  <c r="G184" i="43"/>
  <c r="W187" i="43"/>
  <c r="BD187" i="43"/>
  <c r="BE187" i="43"/>
  <c r="BH187" i="43"/>
  <c r="BI187" i="43"/>
  <c r="BJ187" i="43"/>
  <c r="BL187" i="43"/>
  <c r="BO187" i="43"/>
  <c r="BP187" i="43"/>
  <c r="BR187" i="43"/>
  <c r="BS187" i="43"/>
  <c r="BT187" i="43"/>
  <c r="BU187" i="43"/>
  <c r="BW187" i="43"/>
  <c r="BX187" i="43"/>
  <c r="BY187" i="43"/>
  <c r="BZ187" i="43"/>
  <c r="CB187" i="43"/>
  <c r="CC187" i="43"/>
  <c r="CD187" i="43"/>
  <c r="CE187" i="43"/>
  <c r="CG187" i="43"/>
  <c r="CH187" i="43"/>
  <c r="CI187" i="43"/>
  <c r="CJ187" i="43"/>
  <c r="CL187" i="43"/>
  <c r="W188" i="43"/>
  <c r="BG188" i="43"/>
  <c r="BL188" i="43"/>
  <c r="BQ188" i="43"/>
  <c r="BV188" i="43"/>
  <c r="CA188" i="43"/>
  <c r="CF188" i="43"/>
  <c r="CK188" i="43"/>
  <c r="BC189" i="43"/>
  <c r="BF189" i="43"/>
  <c r="BF187" i="43" s="1"/>
  <c r="BG187" i="43" s="1"/>
  <c r="BL189" i="43"/>
  <c r="BQ189" i="43"/>
  <c r="BV189" i="43"/>
  <c r="CA189" i="43"/>
  <c r="CF189" i="43"/>
  <c r="CK189" i="43"/>
  <c r="W190" i="43"/>
  <c r="BG191" i="43"/>
  <c r="BL191" i="43"/>
  <c r="BQ191" i="43"/>
  <c r="BV191" i="43"/>
  <c r="CA191" i="43"/>
  <c r="BG192" i="43"/>
  <c r="BL192" i="43"/>
  <c r="BQ192" i="43"/>
  <c r="BV192" i="43"/>
  <c r="CA192" i="43"/>
  <c r="BA193" i="43"/>
  <c r="BC190" i="43" s="1"/>
  <c r="BC193" i="43" s="1"/>
  <c r="BD190" i="43" s="1"/>
  <c r="BQ196" i="43"/>
  <c r="BQ37" i="45" s="1"/>
  <c r="BV196" i="43"/>
  <c r="CA196" i="43"/>
  <c r="CF196" i="43"/>
  <c r="CK196" i="43"/>
  <c r="C201" i="43"/>
  <c r="C40" i="45" s="1"/>
  <c r="D201" i="43"/>
  <c r="D40" i="45" s="1"/>
  <c r="E201" i="43"/>
  <c r="E40" i="45" s="1"/>
  <c r="F201" i="43"/>
  <c r="F40" i="45" s="1"/>
  <c r="G201" i="43"/>
  <c r="G40" i="45" s="1"/>
  <c r="H201" i="43"/>
  <c r="H40" i="45" s="1"/>
  <c r="I201" i="43"/>
  <c r="I40" i="45" s="1"/>
  <c r="K201" i="43"/>
  <c r="K40" i="45" s="1"/>
  <c r="L201" i="43"/>
  <c r="L40" i="45" s="1"/>
  <c r="N201" i="43"/>
  <c r="O201" i="43"/>
  <c r="O40" i="45" s="1"/>
  <c r="P201" i="43"/>
  <c r="P40" i="45" s="1"/>
  <c r="Q201" i="43"/>
  <c r="Q40" i="45" s="1"/>
  <c r="S201" i="43"/>
  <c r="V201" i="43"/>
  <c r="V40" i="45" s="1"/>
  <c r="X201" i="43"/>
  <c r="W201" i="43" s="1"/>
  <c r="W40" i="45" s="1"/>
  <c r="Y201" i="43"/>
  <c r="Y40" i="45" s="1"/>
  <c r="Z201" i="43"/>
  <c r="Z40" i="45" s="1"/>
  <c r="AA201" i="43"/>
  <c r="AA40" i="45" s="1"/>
  <c r="AC201" i="43"/>
  <c r="AD201" i="43"/>
  <c r="AD40" i="45" s="1"/>
  <c r="AE201" i="43"/>
  <c r="AE40" i="45" s="1"/>
  <c r="AF201" i="43"/>
  <c r="AF40" i="45" s="1"/>
  <c r="AH201" i="43"/>
  <c r="AI201" i="43"/>
  <c r="AI40" i="45" s="1"/>
  <c r="AJ201" i="43"/>
  <c r="AJ40" i="45" s="1"/>
  <c r="AK201" i="43"/>
  <c r="AK40" i="45" s="1"/>
  <c r="AM201" i="43"/>
  <c r="AO201" i="43"/>
  <c r="AO40" i="45" s="1"/>
  <c r="AP201" i="43"/>
  <c r="AP40" i="45" s="1"/>
  <c r="AR201" i="43"/>
  <c r="AT201" i="43"/>
  <c r="AT40" i="45" s="1"/>
  <c r="BA201" i="43"/>
  <c r="BA40" i="45" s="1"/>
  <c r="BF201" i="43"/>
  <c r="BF40" i="45" s="1"/>
  <c r="BK201" i="43"/>
  <c r="BK40" i="45" s="1"/>
  <c r="BP201" i="43"/>
  <c r="BP40" i="45" s="1"/>
  <c r="BU201" i="43"/>
  <c r="BU40" i="45" s="1"/>
  <c r="BZ201" i="43"/>
  <c r="BZ40" i="45" s="1"/>
  <c r="CE201" i="43"/>
  <c r="CE40" i="45" s="1"/>
  <c r="CJ201" i="43"/>
  <c r="CJ40" i="45" s="1"/>
  <c r="C203" i="43"/>
  <c r="C47" i="44" s="1"/>
  <c r="D203" i="43"/>
  <c r="D47" i="44" s="1"/>
  <c r="E203" i="43"/>
  <c r="E47" i="44" s="1"/>
  <c r="F203" i="43"/>
  <c r="F47" i="44" s="1"/>
  <c r="G203" i="43"/>
  <c r="G47" i="44" s="1"/>
  <c r="H203" i="43"/>
  <c r="H47" i="44" s="1"/>
  <c r="I203" i="43"/>
  <c r="N203" i="43"/>
  <c r="N47" i="44" s="1"/>
  <c r="S203" i="43"/>
  <c r="X203" i="43"/>
  <c r="X47" i="44" s="1"/>
  <c r="AC203" i="43"/>
  <c r="AC47" i="44" s="1"/>
  <c r="AH203" i="43"/>
  <c r="AH47" i="44" s="1"/>
  <c r="AM203" i="43"/>
  <c r="AM47" i="44" s="1"/>
  <c r="AR203" i="43"/>
  <c r="AR47" i="44" s="1"/>
  <c r="AW203" i="43"/>
  <c r="AW47" i="44" s="1"/>
  <c r="BB203" i="43"/>
  <c r="BB47" i="44" s="1"/>
  <c r="BG203" i="43"/>
  <c r="BL203" i="43"/>
  <c r="BL47" i="44" s="1"/>
  <c r="BQ203" i="43"/>
  <c r="BQ47" i="44" s="1"/>
  <c r="BV203" i="43"/>
  <c r="BV47" i="44" s="1"/>
  <c r="CA203" i="43"/>
  <c r="CA205" i="43" s="1"/>
  <c r="CF203" i="43"/>
  <c r="CF47" i="44" s="1"/>
  <c r="CK203" i="43"/>
  <c r="CK47" i="44" s="1"/>
  <c r="C204" i="43"/>
  <c r="C48" i="44" s="1"/>
  <c r="D204" i="43"/>
  <c r="E204" i="43"/>
  <c r="E48" i="44" s="1"/>
  <c r="F204" i="43"/>
  <c r="G204" i="43"/>
  <c r="G48" i="44" s="1"/>
  <c r="H204" i="43"/>
  <c r="I204" i="43"/>
  <c r="I48" i="44" s="1"/>
  <c r="N204" i="43"/>
  <c r="S204" i="43"/>
  <c r="S48" i="44" s="1"/>
  <c r="X204" i="43"/>
  <c r="AC204" i="43"/>
  <c r="AC48" i="44" s="1"/>
  <c r="AH204" i="43"/>
  <c r="AM204" i="43"/>
  <c r="AM48" i="44" s="1"/>
  <c r="CK205" i="43"/>
  <c r="X206" i="43"/>
  <c r="X50" i="44" s="1"/>
  <c r="Y50" i="44" s="1"/>
  <c r="Z50" i="44" s="1"/>
  <c r="CF206" i="43"/>
  <c r="CF50" i="44" s="1"/>
  <c r="CG50" i="44" s="1"/>
  <c r="CH50" i="44" s="1"/>
  <c r="C211" i="43"/>
  <c r="C210" i="43" s="1"/>
  <c r="D211" i="43"/>
  <c r="D210" i="43" s="1"/>
  <c r="E211" i="43"/>
  <c r="E210" i="43" s="1"/>
  <c r="F211" i="43"/>
  <c r="F210" i="43" s="1"/>
  <c r="G211" i="43"/>
  <c r="G210" i="43" s="1"/>
  <c r="H211" i="43"/>
  <c r="H210" i="43" s="1"/>
  <c r="I211" i="43"/>
  <c r="I210" i="43" s="1"/>
  <c r="N211" i="43"/>
  <c r="N210" i="43" s="1"/>
  <c r="S211" i="43"/>
  <c r="S210" i="43" s="1"/>
  <c r="X211" i="43"/>
  <c r="X210" i="43" s="1"/>
  <c r="AC211" i="43"/>
  <c r="AC210" i="43" s="1"/>
  <c r="AH211" i="43"/>
  <c r="AH210" i="43" s="1"/>
  <c r="AS213" i="43"/>
  <c r="AT213" i="43"/>
  <c r="AU213" i="43"/>
  <c r="AX213" i="43"/>
  <c r="AY213" i="43"/>
  <c r="AZ213" i="43"/>
  <c r="BC213" i="43"/>
  <c r="BD213" i="43"/>
  <c r="BE213" i="43"/>
  <c r="CK213" i="43"/>
  <c r="X219" i="43"/>
  <c r="AC219" i="43"/>
  <c r="AH219" i="43"/>
  <c r="AM219" i="43"/>
  <c r="AO219" i="43"/>
  <c r="AP219" i="43" s="1"/>
  <c r="AQ219" i="43" s="1"/>
  <c r="AV219" i="43"/>
  <c r="AX219" i="43"/>
  <c r="BQ235" i="43"/>
  <c r="BV235" i="43"/>
  <c r="CA235" i="43"/>
  <c r="CF235" i="43"/>
  <c r="CK235" i="43"/>
  <c r="CP235" i="43"/>
  <c r="BQ257" i="43"/>
  <c r="BV257" i="43" s="1"/>
  <c r="CA257" i="43" s="1"/>
  <c r="CF257" i="43" s="1"/>
  <c r="CK257" i="43" s="1"/>
  <c r="CP257" i="43" s="1"/>
  <c r="CQ257" i="43" s="1"/>
  <c r="CR257" i="43" s="1"/>
  <c r="CS257" i="43" s="1"/>
  <c r="BQ259" i="43"/>
  <c r="BV259" i="43" s="1"/>
  <c r="CA259" i="43" s="1"/>
  <c r="CF259" i="43" s="1"/>
  <c r="CK259" i="43" s="1"/>
  <c r="CP259" i="43" s="1"/>
  <c r="CQ259" i="43" s="1"/>
  <c r="CR259" i="43" s="1"/>
  <c r="CS259" i="43" s="1"/>
  <c r="BQ260" i="43"/>
  <c r="BV260" i="43" s="1"/>
  <c r="CA260" i="43" s="1"/>
  <c r="CF260" i="43" s="1"/>
  <c r="CK260" i="43" s="1"/>
  <c r="CP260" i="43" s="1"/>
  <c r="CQ260" i="43" s="1"/>
  <c r="CR260" i="43" s="1"/>
  <c r="CS260" i="43" s="1"/>
  <c r="BQ261" i="43"/>
  <c r="BV261" i="43" s="1"/>
  <c r="CA261" i="43" s="1"/>
  <c r="CF261" i="43" s="1"/>
  <c r="CK261" i="43" s="1"/>
  <c r="CP261" i="43" s="1"/>
  <c r="CQ261" i="43" s="1"/>
  <c r="CR261" i="43" s="1"/>
  <c r="CS261" i="43" s="1"/>
  <c r="BQ262" i="43"/>
  <c r="BV262" i="43" s="1"/>
  <c r="CA262" i="43" s="1"/>
  <c r="CF262" i="43" s="1"/>
  <c r="CK262" i="43" s="1"/>
  <c r="CP262" i="43" s="1"/>
  <c r="CQ262" i="43" s="1"/>
  <c r="CR262" i="43" s="1"/>
  <c r="CS262" i="43" s="1"/>
  <c r="BQ263" i="43"/>
  <c r="BV263" i="43" s="1"/>
  <c r="CA263" i="43" s="1"/>
  <c r="CF263" i="43" s="1"/>
  <c r="CK263" i="43" s="1"/>
  <c r="CP263" i="43" s="1"/>
  <c r="CQ263" i="43" s="1"/>
  <c r="CR263" i="43" s="1"/>
  <c r="CS263" i="43" s="1"/>
  <c r="BQ264" i="43"/>
  <c r="BV264" i="43" s="1"/>
  <c r="CA264" i="43" s="1"/>
  <c r="CF264" i="43" s="1"/>
  <c r="CK264" i="43" s="1"/>
  <c r="CP264" i="43" s="1"/>
  <c r="CQ264" i="43" s="1"/>
  <c r="CR264" i="43" s="1"/>
  <c r="CS264" i="43" s="1"/>
  <c r="BQ265" i="43"/>
  <c r="BV265" i="43" s="1"/>
  <c r="CA265" i="43" s="1"/>
  <c r="CF265" i="43" s="1"/>
  <c r="CK265" i="43" s="1"/>
  <c r="CP265" i="43" s="1"/>
  <c r="CQ265" i="43" s="1"/>
  <c r="CR265" i="43" s="1"/>
  <c r="CS265" i="43" s="1"/>
  <c r="BQ266" i="43"/>
  <c r="BV266" i="43" s="1"/>
  <c r="CA266" i="43" s="1"/>
  <c r="CF266" i="43" s="1"/>
  <c r="CK266" i="43" s="1"/>
  <c r="CP266" i="43" s="1"/>
  <c r="CQ266" i="43" s="1"/>
  <c r="CR266" i="43" s="1"/>
  <c r="CS266" i="43" s="1"/>
  <c r="BQ268" i="43"/>
  <c r="BV268" i="43" s="1"/>
  <c r="CA268" i="43" s="1"/>
  <c r="CF268" i="43" s="1"/>
  <c r="CK268" i="43" s="1"/>
  <c r="CP268" i="43" s="1"/>
  <c r="CQ268" i="43" s="1"/>
  <c r="CR268" i="43" s="1"/>
  <c r="CS268" i="43" s="1"/>
  <c r="BQ270" i="43"/>
  <c r="BQ271" i="43"/>
  <c r="BV271" i="43" s="1"/>
  <c r="CA271" i="43" s="1"/>
  <c r="CF271" i="43" s="1"/>
  <c r="CK271" i="43" s="1"/>
  <c r="CP271" i="43" s="1"/>
  <c r="CQ271" i="43" s="1"/>
  <c r="CR271" i="43" s="1"/>
  <c r="CS271" i="43" s="1"/>
  <c r="BQ272" i="43"/>
  <c r="BV272" i="43" s="1"/>
  <c r="CA272" i="43" s="1"/>
  <c r="CF272" i="43" s="1"/>
  <c r="CK272" i="43" s="1"/>
  <c r="CP272" i="43" s="1"/>
  <c r="CQ272" i="43" s="1"/>
  <c r="CR272" i="43" s="1"/>
  <c r="CS272" i="43" s="1"/>
  <c r="BQ273" i="43"/>
  <c r="BV273" i="43" s="1"/>
  <c r="CA273" i="43" s="1"/>
  <c r="CF273" i="43" s="1"/>
  <c r="CK273" i="43" s="1"/>
  <c r="CP273" i="43" s="1"/>
  <c r="CQ273" i="43" s="1"/>
  <c r="CR273" i="43" s="1"/>
  <c r="CS273" i="43" s="1"/>
  <c r="BQ274" i="43"/>
  <c r="BV274" i="43" s="1"/>
  <c r="CA274" i="43" s="1"/>
  <c r="CF274" i="43" s="1"/>
  <c r="CK274" i="43" s="1"/>
  <c r="CP274" i="43" s="1"/>
  <c r="CQ274" i="43" s="1"/>
  <c r="CR274" i="43" s="1"/>
  <c r="CS274" i="43" s="1"/>
  <c r="BQ275" i="43"/>
  <c r="BV275" i="43" s="1"/>
  <c r="CA275" i="43" s="1"/>
  <c r="CF275" i="43" s="1"/>
  <c r="CK275" i="43" s="1"/>
  <c r="CP275" i="43" s="1"/>
  <c r="CQ275" i="43" s="1"/>
  <c r="CR275" i="43" s="1"/>
  <c r="CS275" i="43" s="1"/>
  <c r="BQ276" i="43"/>
  <c r="BV276" i="43" s="1"/>
  <c r="CA276" i="43" s="1"/>
  <c r="CF276" i="43" s="1"/>
  <c r="CK276" i="43" s="1"/>
  <c r="CP276" i="43" s="1"/>
  <c r="CQ276" i="43" s="1"/>
  <c r="CR276" i="43" s="1"/>
  <c r="CS276" i="43" s="1"/>
  <c r="BQ278" i="43"/>
  <c r="BV278" i="43" s="1"/>
  <c r="CA278" i="43" s="1"/>
  <c r="CF278" i="43" s="1"/>
  <c r="CK278" i="43" s="1"/>
  <c r="CP278" i="43" s="1"/>
  <c r="CQ278" i="43" s="1"/>
  <c r="CR278" i="43" s="1"/>
  <c r="CS278" i="43" s="1"/>
  <c r="BQ279" i="43"/>
  <c r="BV279" i="43" s="1"/>
  <c r="CA279" i="43" s="1"/>
  <c r="CF279" i="43" s="1"/>
  <c r="CK279" i="43" s="1"/>
  <c r="CP279" i="43" s="1"/>
  <c r="CQ279" i="43" s="1"/>
  <c r="CR279" i="43" s="1"/>
  <c r="CS279" i="43" s="1"/>
  <c r="CQ281" i="43"/>
  <c r="CR281" i="43" s="1"/>
  <c r="CS281" i="43" s="1"/>
  <c r="BQ282" i="43"/>
  <c r="BV282" i="43" s="1"/>
  <c r="CA282" i="43" s="1"/>
  <c r="CF282" i="43" s="1"/>
  <c r="CK282" i="43" s="1"/>
  <c r="CP282" i="43" s="1"/>
  <c r="CQ282" i="43" s="1"/>
  <c r="CR282" i="43" s="1"/>
  <c r="CS282" i="43" s="1"/>
  <c r="BQ283" i="43"/>
  <c r="BV283" i="43" s="1"/>
  <c r="CA283" i="43" s="1"/>
  <c r="CF283" i="43" s="1"/>
  <c r="CK283" i="43" s="1"/>
  <c r="CP283" i="43" s="1"/>
  <c r="CQ283" i="43" s="1"/>
  <c r="CR283" i="43" s="1"/>
  <c r="CS283" i="43" s="1"/>
  <c r="BQ284" i="43"/>
  <c r="BV284" i="43" s="1"/>
  <c r="CA284" i="43" s="1"/>
  <c r="CF284" i="43" s="1"/>
  <c r="CK284" i="43" s="1"/>
  <c r="CP284" i="43" s="1"/>
  <c r="CQ284" i="43" s="1"/>
  <c r="CR284" i="43" s="1"/>
  <c r="CS284" i="43" s="1"/>
  <c r="BQ285" i="43"/>
  <c r="BV285" i="43" s="1"/>
  <c r="CA285" i="43" s="1"/>
  <c r="CF285" i="43" s="1"/>
  <c r="CK285" i="43" s="1"/>
  <c r="CP285" i="43" s="1"/>
  <c r="CQ285" i="43" s="1"/>
  <c r="CR285" i="43" s="1"/>
  <c r="CS285" i="43" s="1"/>
  <c r="BQ286" i="43"/>
  <c r="BV286" i="43" s="1"/>
  <c r="CA286" i="43" s="1"/>
  <c r="CF286" i="43" s="1"/>
  <c r="CK286" i="43" s="1"/>
  <c r="CP286" i="43" s="1"/>
  <c r="CQ286" i="43" s="1"/>
  <c r="CR286" i="43" s="1"/>
  <c r="CS286" i="43" s="1"/>
  <c r="BQ287" i="43"/>
  <c r="BV287" i="43" s="1"/>
  <c r="CA287" i="43" s="1"/>
  <c r="CF287" i="43" s="1"/>
  <c r="CK287" i="43" s="1"/>
  <c r="CP287" i="43" s="1"/>
  <c r="CQ287" i="43" s="1"/>
  <c r="CR287" i="43" s="1"/>
  <c r="CS287" i="43" s="1"/>
  <c r="BQ288" i="43"/>
  <c r="BV288" i="43" s="1"/>
  <c r="CA288" i="43" s="1"/>
  <c r="CF288" i="43" s="1"/>
  <c r="CK288" i="43" s="1"/>
  <c r="CP288" i="43" s="1"/>
  <c r="CQ288" i="43" s="1"/>
  <c r="CR288" i="43" s="1"/>
  <c r="CS288" i="43" s="1"/>
  <c r="BQ289" i="43"/>
  <c r="BV289" i="43" s="1"/>
  <c r="CA289" i="43" s="1"/>
  <c r="CF289" i="43" s="1"/>
  <c r="CK289" i="43" s="1"/>
  <c r="CP289" i="43" s="1"/>
  <c r="CQ289" i="43" s="1"/>
  <c r="CR289" i="43" s="1"/>
  <c r="CS289" i="43" s="1"/>
  <c r="BQ290" i="43"/>
  <c r="BV290" i="43" s="1"/>
  <c r="CA290" i="43" s="1"/>
  <c r="CF290" i="43" s="1"/>
  <c r="CK290" i="43" s="1"/>
  <c r="CP290" i="43" s="1"/>
  <c r="CQ290" i="43" s="1"/>
  <c r="CR290" i="43" s="1"/>
  <c r="CS290" i="43" s="1"/>
  <c r="BQ291" i="43"/>
  <c r="BV291" i="43" s="1"/>
  <c r="CA291" i="43" s="1"/>
  <c r="CF291" i="43" s="1"/>
  <c r="CK291" i="43" s="1"/>
  <c r="CP291" i="43" s="1"/>
  <c r="CQ291" i="43" s="1"/>
  <c r="CR291" i="43" s="1"/>
  <c r="CS291" i="43" s="1"/>
  <c r="BQ292" i="43"/>
  <c r="BV292" i="43" s="1"/>
  <c r="CA292" i="43" s="1"/>
  <c r="CF292" i="43" s="1"/>
  <c r="CK292" i="43" s="1"/>
  <c r="CP292" i="43" s="1"/>
  <c r="CQ292" i="43" s="1"/>
  <c r="CR292" i="43" s="1"/>
  <c r="CS292" i="43" s="1"/>
  <c r="BQ293" i="43"/>
  <c r="BV293" i="43" s="1"/>
  <c r="CA293" i="43" s="1"/>
  <c r="CF293" i="43" s="1"/>
  <c r="CK293" i="43" s="1"/>
  <c r="CP293" i="43" s="1"/>
  <c r="CQ293" i="43" s="1"/>
  <c r="CR293" i="43" s="1"/>
  <c r="CS293" i="43" s="1"/>
  <c r="BQ294" i="43"/>
  <c r="BV294" i="43" s="1"/>
  <c r="CA294" i="43" s="1"/>
  <c r="CF294" i="43" s="1"/>
  <c r="CK294" i="43" s="1"/>
  <c r="CP294" i="43" s="1"/>
  <c r="CQ294" i="43" s="1"/>
  <c r="CR294" i="43" s="1"/>
  <c r="CS294" i="43" s="1"/>
  <c r="BQ295" i="43"/>
  <c r="BV295" i="43" s="1"/>
  <c r="CA295" i="43" s="1"/>
  <c r="CF295" i="43" s="1"/>
  <c r="CK295" i="43" s="1"/>
  <c r="CP295" i="43" s="1"/>
  <c r="CQ295" i="43" s="1"/>
  <c r="CR295" i="43" s="1"/>
  <c r="CS295" i="43" s="1"/>
  <c r="BQ296" i="43"/>
  <c r="BV296" i="43" s="1"/>
  <c r="CA296" i="43" s="1"/>
  <c r="CF296" i="43" s="1"/>
  <c r="CK296" i="43" s="1"/>
  <c r="CP296" i="43" s="1"/>
  <c r="CQ296" i="43" s="1"/>
  <c r="CR296" i="43" s="1"/>
  <c r="CS296" i="43" s="1"/>
  <c r="BQ297" i="43"/>
  <c r="BV297" i="43" s="1"/>
  <c r="CA297" i="43" s="1"/>
  <c r="CF297" i="43" s="1"/>
  <c r="CK297" i="43" s="1"/>
  <c r="CP297" i="43" s="1"/>
  <c r="CQ297" i="43" s="1"/>
  <c r="CR297" i="43" s="1"/>
  <c r="CS297" i="43" s="1"/>
  <c r="BQ298" i="43"/>
  <c r="BV298" i="43" s="1"/>
  <c r="CA298" i="43" s="1"/>
  <c r="CF298" i="43" s="1"/>
  <c r="CK298" i="43" s="1"/>
  <c r="CP298" i="43" s="1"/>
  <c r="CQ298" i="43" s="1"/>
  <c r="CR298" i="43" s="1"/>
  <c r="CS298" i="43" s="1"/>
  <c r="BQ299" i="43"/>
  <c r="BV299" i="43" s="1"/>
  <c r="CA299" i="43" s="1"/>
  <c r="CF299" i="43" s="1"/>
  <c r="CK299" i="43" s="1"/>
  <c r="CP299" i="43" s="1"/>
  <c r="CQ299" i="43" s="1"/>
  <c r="CR299" i="43" s="1"/>
  <c r="CS299" i="43" s="1"/>
  <c r="BQ300" i="43"/>
  <c r="BV300" i="43" s="1"/>
  <c r="CA300" i="43" s="1"/>
  <c r="CF300" i="43" s="1"/>
  <c r="CK300" i="43" s="1"/>
  <c r="CP300" i="43" s="1"/>
  <c r="CQ300" i="43" s="1"/>
  <c r="CR300" i="43" s="1"/>
  <c r="CS300" i="43" s="1"/>
  <c r="BQ301" i="43"/>
  <c r="BV301" i="43" s="1"/>
  <c r="CA301" i="43" s="1"/>
  <c r="CF301" i="43" s="1"/>
  <c r="CK301" i="43" s="1"/>
  <c r="CP301" i="43" s="1"/>
  <c r="CQ301" i="43" s="1"/>
  <c r="CR301" i="43" s="1"/>
  <c r="CS301" i="43" s="1"/>
  <c r="BQ302" i="43"/>
  <c r="BV302" i="43" s="1"/>
  <c r="CA302" i="43" s="1"/>
  <c r="CF302" i="43" s="1"/>
  <c r="CK302" i="43" s="1"/>
  <c r="CP302" i="43" s="1"/>
  <c r="CQ302" i="43" s="1"/>
  <c r="CR302" i="43" s="1"/>
  <c r="CS302" i="43" s="1"/>
  <c r="BQ303" i="43"/>
  <c r="BV303" i="43" s="1"/>
  <c r="CA303" i="43" s="1"/>
  <c r="CF303" i="43" s="1"/>
  <c r="CK303" i="43" s="1"/>
  <c r="CP303" i="43" s="1"/>
  <c r="CQ303" i="43" s="1"/>
  <c r="CR303" i="43" s="1"/>
  <c r="CS303" i="43" s="1"/>
  <c r="BQ304" i="43"/>
  <c r="BV304" i="43" s="1"/>
  <c r="CA304" i="43" s="1"/>
  <c r="CF304" i="43" s="1"/>
  <c r="CK304" i="43" s="1"/>
  <c r="CP304" i="43" s="1"/>
  <c r="CQ304" i="43" s="1"/>
  <c r="CR304" i="43" s="1"/>
  <c r="CS304" i="43" s="1"/>
  <c r="CA308" i="43"/>
  <c r="BQ309" i="43"/>
  <c r="BV309" i="43"/>
  <c r="CA310" i="43"/>
  <c r="BQ311" i="43"/>
  <c r="BV311" i="43"/>
  <c r="BQ314" i="43"/>
  <c r="BU314" i="43"/>
  <c r="BV314" i="43" s="1"/>
  <c r="CA314" i="43" s="1"/>
  <c r="CF314" i="43" s="1"/>
  <c r="CK314" i="43" s="1"/>
  <c r="CP314" i="43" s="1"/>
  <c r="CQ314" i="43" s="1"/>
  <c r="CR314" i="43" s="1"/>
  <c r="CS314" i="43" s="1"/>
  <c r="BQ315" i="43"/>
  <c r="BU315" i="43"/>
  <c r="BV315" i="43"/>
  <c r="CA315" i="43" s="1"/>
  <c r="CF315" i="43" s="1"/>
  <c r="CK315" i="43" s="1"/>
  <c r="CP315" i="43" s="1"/>
  <c r="CQ315" i="43" s="1"/>
  <c r="CR315" i="43" s="1"/>
  <c r="CS315" i="43" s="1"/>
  <c r="BB339" i="43"/>
  <c r="BG339" i="43"/>
  <c r="BL339" i="43"/>
  <c r="BQ339" i="43"/>
  <c r="BV339" i="43"/>
  <c r="CA339" i="43"/>
  <c r="CF339" i="43"/>
  <c r="CK339" i="43"/>
  <c r="CP339" i="43"/>
  <c r="CQ339" i="43"/>
  <c r="CR339" i="43"/>
  <c r="CS339" i="43"/>
  <c r="BB356" i="43"/>
  <c r="BG356" i="43"/>
  <c r="BL356" i="43"/>
  <c r="BQ356" i="43"/>
  <c r="BV356" i="43"/>
  <c r="CA356" i="43"/>
  <c r="CF356" i="43"/>
  <c r="CK356" i="43"/>
  <c r="CP356" i="43"/>
  <c r="CQ356" i="43"/>
  <c r="CR356" i="43"/>
  <c r="CS356" i="43"/>
  <c r="AC29" i="48" l="1"/>
  <c r="AA71" i="48"/>
  <c r="AA70" i="48" s="1"/>
  <c r="W71" i="48"/>
  <c r="W70" i="48" s="1"/>
  <c r="S71" i="48"/>
  <c r="S70" i="48" s="1"/>
  <c r="AA32" i="48"/>
  <c r="V29" i="48"/>
  <c r="V74" i="48" s="1"/>
  <c r="AA29" i="48"/>
  <c r="AA74" i="48" s="1"/>
  <c r="AA132" i="48" s="1"/>
  <c r="W29" i="48"/>
  <c r="AB71" i="48"/>
  <c r="AB70" i="48" s="1"/>
  <c r="X71" i="48"/>
  <c r="X70" i="48" s="1"/>
  <c r="T71" i="48"/>
  <c r="T70" i="48" s="1"/>
  <c r="R74" i="48"/>
  <c r="S75" i="48" s="1"/>
  <c r="AC32" i="48"/>
  <c r="Y32" i="48"/>
  <c r="AB10" i="48"/>
  <c r="CC74" i="47"/>
  <c r="AO44" i="47"/>
  <c r="Q72" i="47"/>
  <c r="H72" i="47"/>
  <c r="BQ205" i="43"/>
  <c r="AR205" i="43"/>
  <c r="AF54" i="44"/>
  <c r="Z54" i="44"/>
  <c r="BC52" i="45"/>
  <c r="T52" i="45"/>
  <c r="AN67" i="45"/>
  <c r="AF60" i="45"/>
  <c r="E60" i="45"/>
  <c r="BO56" i="47"/>
  <c r="AL56" i="47"/>
  <c r="AK45" i="47"/>
  <c r="AK44" i="47"/>
  <c r="AT126" i="47"/>
  <c r="AF116" i="47"/>
  <c r="U74" i="47"/>
  <c r="D72" i="47"/>
  <c r="AT52" i="46"/>
  <c r="BH49" i="47"/>
  <c r="BG169" i="43"/>
  <c r="BG224" i="43" s="1"/>
  <c r="BG223" i="43" s="1"/>
  <c r="AH177" i="43"/>
  <c r="G177" i="43"/>
  <c r="F177" i="43"/>
  <c r="AJ72" i="43"/>
  <c r="AJ73" i="43" s="1"/>
  <c r="AM176" i="43"/>
  <c r="BX118" i="43"/>
  <c r="T72" i="43"/>
  <c r="T73" i="43" s="1"/>
  <c r="AW205" i="43"/>
  <c r="BV176" i="43"/>
  <c r="BV305" i="43" s="1"/>
  <c r="BV175" i="43"/>
  <c r="BV267" i="43" s="1"/>
  <c r="BJ118" i="43"/>
  <c r="AU50" i="43"/>
  <c r="AN8" i="43"/>
  <c r="AN12" i="43" s="1"/>
  <c r="AN15" i="43" s="1"/>
  <c r="AN18" i="43" s="1"/>
  <c r="AN20" i="43" s="1"/>
  <c r="BZ55" i="47"/>
  <c r="BT54" i="44"/>
  <c r="F72" i="47"/>
  <c r="BC132" i="47"/>
  <c r="V70" i="44"/>
  <c r="T32" i="46"/>
  <c r="CA173" i="43"/>
  <c r="CA277" i="43" s="1"/>
  <c r="BM53" i="45"/>
  <c r="BH53" i="45"/>
  <c r="BC53" i="45"/>
  <c r="AX53" i="45"/>
  <c r="AS53" i="45"/>
  <c r="AL53" i="45"/>
  <c r="AF53" i="45"/>
  <c r="T53" i="45"/>
  <c r="L53" i="45"/>
  <c r="H53" i="45"/>
  <c r="D53" i="45"/>
  <c r="BT15" i="46"/>
  <c r="BT44" i="46" s="1"/>
  <c r="BT45" i="46" s="1"/>
  <c r="BT46" i="46" s="1"/>
  <c r="CJ41" i="45"/>
  <c r="AT41" i="45"/>
  <c r="CA175" i="43"/>
  <c r="CA267" i="43" s="1"/>
  <c r="CA172" i="43"/>
  <c r="CA269" i="43" s="1"/>
  <c r="AM170" i="43"/>
  <c r="CA169" i="43"/>
  <c r="CA224" i="43" s="1"/>
  <c r="CA223" i="43" s="1"/>
  <c r="O130" i="47"/>
  <c r="AG15" i="46"/>
  <c r="AG45" i="46" s="1"/>
  <c r="CE56" i="47"/>
  <c r="AZ56" i="47"/>
  <c r="AU45" i="47"/>
  <c r="CL55" i="47"/>
  <c r="BR55" i="47"/>
  <c r="BJ55" i="47"/>
  <c r="BE55" i="47"/>
  <c r="BG176" i="43"/>
  <c r="BG171" i="43" s="1"/>
  <c r="BG235" i="43" s="1"/>
  <c r="AM169" i="43"/>
  <c r="AM177" i="43" s="1"/>
  <c r="Y73" i="47"/>
  <c r="AY72" i="47"/>
  <c r="AK149" i="43"/>
  <c r="AF149" i="43"/>
  <c r="AM8" i="43"/>
  <c r="AM12" i="43" s="1"/>
  <c r="AM15" i="43" s="1"/>
  <c r="AM18" i="43" s="1"/>
  <c r="AM25" i="43" s="1"/>
  <c r="BP56" i="44"/>
  <c r="CF54" i="44"/>
  <c r="BM70" i="44"/>
  <c r="CE142" i="47"/>
  <c r="CE155" i="47" s="1"/>
  <c r="BZ107" i="47"/>
  <c r="BN44" i="47"/>
  <c r="CA176" i="43"/>
  <c r="CA305" i="43" s="1"/>
  <c r="CA174" i="43"/>
  <c r="CA270" i="43" s="1"/>
  <c r="T122" i="47"/>
  <c r="U119" i="47"/>
  <c r="P128" i="47"/>
  <c r="AL127" i="47"/>
  <c r="AS74" i="47"/>
  <c r="AL69" i="44"/>
  <c r="BN71" i="44"/>
  <c r="BN72" i="44" s="1"/>
  <c r="BP67" i="45"/>
  <c r="L69" i="44"/>
  <c r="BR145" i="47"/>
  <c r="BF116" i="47"/>
  <c r="AP107" i="47"/>
  <c r="Q41" i="45"/>
  <c r="CB74" i="47"/>
  <c r="AY73" i="47"/>
  <c r="O129" i="47"/>
  <c r="CI57" i="44"/>
  <c r="AP57" i="44"/>
  <c r="AK57" i="44"/>
  <c r="Y57" i="44"/>
  <c r="G57" i="44"/>
  <c r="H54" i="44"/>
  <c r="D34" i="46"/>
  <c r="F31" i="46"/>
  <c r="BY15" i="46"/>
  <c r="BY44" i="46" s="1"/>
  <c r="BY45" i="46" s="1"/>
  <c r="AF15" i="46"/>
  <c r="AF44" i="46" s="1"/>
  <c r="BK145" i="47"/>
  <c r="BP143" i="47"/>
  <c r="BP150" i="47" s="1"/>
  <c r="AE122" i="47"/>
  <c r="BI99" i="47"/>
  <c r="BD99" i="47"/>
  <c r="BY56" i="47"/>
  <c r="BI55" i="47"/>
  <c r="AF55" i="47"/>
  <c r="BB93" i="43"/>
  <c r="BA93" i="43" s="1"/>
  <c r="M201" i="43"/>
  <c r="M40" i="45" s="1"/>
  <c r="BM138" i="43"/>
  <c r="CE118" i="43"/>
  <c r="CF118" i="43" s="1"/>
  <c r="AW118" i="43"/>
  <c r="AV118" i="43" s="1"/>
  <c r="S118" i="43"/>
  <c r="R118" i="43" s="1"/>
  <c r="I118" i="43"/>
  <c r="BT118" i="43"/>
  <c r="CH43" i="43"/>
  <c r="CH50" i="43" s="1"/>
  <c r="CF205" i="43"/>
  <c r="E205" i="43"/>
  <c r="BG189" i="43"/>
  <c r="AL82" i="43"/>
  <c r="AM82" i="43" s="1"/>
  <c r="AM99" i="43" s="1"/>
  <c r="AW50" i="43"/>
  <c r="AV50" i="43" s="1"/>
  <c r="CF60" i="43"/>
  <c r="CF65" i="43" s="1"/>
  <c r="CK138" i="43"/>
  <c r="CG99" i="43"/>
  <c r="CG122" i="43" s="1"/>
  <c r="L72" i="43"/>
  <c r="L73" i="43" s="1"/>
  <c r="H72" i="43"/>
  <c r="H73" i="43" s="1"/>
  <c r="CC21" i="46"/>
  <c r="CC52" i="46" s="1"/>
  <c r="CC53" i="46" s="1"/>
  <c r="CC54" i="46" s="1"/>
  <c r="BX21" i="46"/>
  <c r="BX52" i="46" s="1"/>
  <c r="BS21" i="46"/>
  <c r="BS52" i="46" s="1"/>
  <c r="BS53" i="46" s="1"/>
  <c r="BI21" i="46"/>
  <c r="BI52" i="46" s="1"/>
  <c r="BI53" i="46" s="1"/>
  <c r="BI54" i="46" s="1"/>
  <c r="AY21" i="46"/>
  <c r="AY33" i="46" s="1"/>
  <c r="BE10" i="46"/>
  <c r="M41" i="45"/>
  <c r="CH72" i="43"/>
  <c r="V27" i="43"/>
  <c r="V25" i="43"/>
  <c r="BI15" i="46"/>
  <c r="BI44" i="46" s="1"/>
  <c r="BI45" i="46" s="1"/>
  <c r="BD122" i="47"/>
  <c r="AO41" i="45"/>
  <c r="AD41" i="45"/>
  <c r="CE56" i="44"/>
  <c r="BK56" i="44"/>
  <c r="CH70" i="44"/>
  <c r="BN70" i="44"/>
  <c r="BE26" i="46"/>
  <c r="I31" i="46"/>
  <c r="CH15" i="46"/>
  <c r="CH44" i="46" s="1"/>
  <c r="CH45" i="46" s="1"/>
  <c r="CH46" i="46" s="1"/>
  <c r="CC15" i="46"/>
  <c r="CC44" i="46" s="1"/>
  <c r="CC45" i="46" s="1"/>
  <c r="BN15" i="46"/>
  <c r="BN31" i="46" s="1"/>
  <c r="BD15" i="46"/>
  <c r="BD44" i="46" s="1"/>
  <c r="BD45" i="46" s="1"/>
  <c r="BD46" i="46" s="1"/>
  <c r="Y15" i="46"/>
  <c r="Y31" i="46" s="1"/>
  <c r="I41" i="45"/>
  <c r="E41" i="45"/>
  <c r="AQ26" i="43"/>
  <c r="CJ56" i="44"/>
  <c r="BU56" i="44"/>
  <c r="AL56" i="44"/>
  <c r="AL57" i="44" s="1"/>
  <c r="AO54" i="44"/>
  <c r="AJ54" i="44"/>
  <c r="AD54" i="44"/>
  <c r="V54" i="44"/>
  <c r="E65" i="43"/>
  <c r="CD50" i="43"/>
  <c r="H15" i="43"/>
  <c r="H18" i="43" s="1"/>
  <c r="H20" i="43" s="1"/>
  <c r="BC54" i="44"/>
  <c r="CH71" i="44"/>
  <c r="CH72" i="44" s="1"/>
  <c r="BE69" i="44"/>
  <c r="BS56" i="47"/>
  <c r="C49" i="44"/>
  <c r="C62" i="44" s="1"/>
  <c r="C63" i="44" s="1"/>
  <c r="AL201" i="43"/>
  <c r="AL40" i="45" s="1"/>
  <c r="AL41" i="45" s="1"/>
  <c r="AG201" i="43"/>
  <c r="AG40" i="45" s="1"/>
  <c r="AH40" i="45" s="1"/>
  <c r="S177" i="43"/>
  <c r="C148" i="43"/>
  <c r="C149" i="43" s="1"/>
  <c r="BU118" i="43"/>
  <c r="BV118" i="43" s="1"/>
  <c r="BY118" i="43"/>
  <c r="CK98" i="43"/>
  <c r="BM50" i="43"/>
  <c r="K12" i="43"/>
  <c r="K15" i="43" s="1"/>
  <c r="K18" i="43" s="1"/>
  <c r="G12" i="43"/>
  <c r="G15" i="43" s="1"/>
  <c r="G18" i="43" s="1"/>
  <c r="G22" i="43" s="1"/>
  <c r="G32" i="43" s="1"/>
  <c r="BA27" i="46"/>
  <c r="BG118" i="43"/>
  <c r="AK118" i="43"/>
  <c r="Q118" i="43"/>
  <c r="Q122" i="43" s="1"/>
  <c r="BW118" i="43"/>
  <c r="CJ50" i="43"/>
  <c r="O12" i="43"/>
  <c r="O15" i="43" s="1"/>
  <c r="O18" i="43" s="1"/>
  <c r="O22" i="43" s="1"/>
  <c r="O32" i="43" s="1"/>
  <c r="D69" i="44"/>
  <c r="S108" i="43"/>
  <c r="R108" i="43" s="1"/>
  <c r="CF98" i="43"/>
  <c r="BY50" i="43"/>
  <c r="AH12" i="43"/>
  <c r="AH15" i="43" s="1"/>
  <c r="AH18" i="43" s="1"/>
  <c r="AH25" i="43" s="1"/>
  <c r="AC12" i="43"/>
  <c r="AC149" i="43" s="1"/>
  <c r="CA47" i="44"/>
  <c r="CA49" i="44" s="1"/>
  <c r="AT54" i="46"/>
  <c r="AN72" i="43"/>
  <c r="CE53" i="44"/>
  <c r="BW54" i="44"/>
  <c r="BX70" i="44"/>
  <c r="BS70" i="44"/>
  <c r="BI70" i="44"/>
  <c r="CC71" i="44"/>
  <c r="CC72" i="44" s="1"/>
  <c r="BX71" i="44"/>
  <c r="BX72" i="44" s="1"/>
  <c r="BS71" i="44"/>
  <c r="BS72" i="44" s="1"/>
  <c r="V71" i="44"/>
  <c r="V72" i="44" s="1"/>
  <c r="BM69" i="44"/>
  <c r="BE53" i="45"/>
  <c r="AZ53" i="45"/>
  <c r="V53" i="45"/>
  <c r="AK71" i="44"/>
  <c r="AK72" i="44" s="1"/>
  <c r="I69" i="44"/>
  <c r="E52" i="45"/>
  <c r="F32" i="46"/>
  <c r="AZ18" i="46"/>
  <c r="AZ48" i="46" s="1"/>
  <c r="AZ49" i="46" s="1"/>
  <c r="AZ50" i="46" s="1"/>
  <c r="CB15" i="46"/>
  <c r="CL15" i="46"/>
  <c r="CL44" i="46" s="1"/>
  <c r="BZ15" i="46"/>
  <c r="BZ44" i="46" s="1"/>
  <c r="BZ45" i="46" s="1"/>
  <c r="BZ46" i="46" s="1"/>
  <c r="BA15" i="46"/>
  <c r="AV15" i="46"/>
  <c r="AV44" i="46" s="1"/>
  <c r="AV45" i="46" s="1"/>
  <c r="AV46" i="46" s="1"/>
  <c r="AG44" i="46"/>
  <c r="BY27" i="46"/>
  <c r="AK10" i="46"/>
  <c r="CF154" i="43"/>
  <c r="D147" i="43"/>
  <c r="D148" i="43" s="1"/>
  <c r="D149" i="43" s="1"/>
  <c r="G72" i="43"/>
  <c r="G73" i="43" s="1"/>
  <c r="BL43" i="43"/>
  <c r="BL50" i="43" s="1"/>
  <c r="BL26" i="43"/>
  <c r="CJ53" i="44"/>
  <c r="CJ54" i="44" s="1"/>
  <c r="BK53" i="44"/>
  <c r="AI41" i="45"/>
  <c r="H41" i="45"/>
  <c r="D41" i="45"/>
  <c r="I184" i="43"/>
  <c r="CF173" i="43"/>
  <c r="CF277" i="43" s="1"/>
  <c r="CR171" i="43"/>
  <c r="CS171" i="43" s="1"/>
  <c r="CS235" i="43" s="1"/>
  <c r="BT99" i="43"/>
  <c r="BT122" i="43" s="1"/>
  <c r="BT124" i="43" s="1"/>
  <c r="BE99" i="43"/>
  <c r="BE122" i="43" s="1"/>
  <c r="AV71" i="44"/>
  <c r="AV72" i="44" s="1"/>
  <c r="BU53" i="44"/>
  <c r="BU54" i="44" s="1"/>
  <c r="BP53" i="44"/>
  <c r="BP54" i="44" s="1"/>
  <c r="CH69" i="44"/>
  <c r="AU69" i="44"/>
  <c r="V69" i="44"/>
  <c r="CG57" i="44"/>
  <c r="CB54" i="44"/>
  <c r="BR54" i="44"/>
  <c r="BH54" i="44"/>
  <c r="AT54" i="44"/>
  <c r="AN54" i="44"/>
  <c r="U54" i="44"/>
  <c r="AN41" i="45"/>
  <c r="CI52" i="45"/>
  <c r="CD52" i="45"/>
  <c r="BY52" i="45"/>
  <c r="BT52" i="45"/>
  <c r="BO52" i="45"/>
  <c r="BJ52" i="45"/>
  <c r="BE52" i="45"/>
  <c r="AU52" i="45"/>
  <c r="AO52" i="45"/>
  <c r="AD52" i="45"/>
  <c r="V52" i="45"/>
  <c r="G32" i="46"/>
  <c r="AG18" i="46"/>
  <c r="AG49" i="46" s="1"/>
  <c r="V101" i="47"/>
  <c r="J100" i="47"/>
  <c r="CK49" i="44"/>
  <c r="CL49" i="44" s="1"/>
  <c r="CM49" i="44" s="1"/>
  <c r="CN49" i="44" s="1"/>
  <c r="AW49" i="44"/>
  <c r="AX49" i="44" s="1"/>
  <c r="CE41" i="45"/>
  <c r="AA74" i="47"/>
  <c r="AD69" i="44"/>
  <c r="BB26" i="43"/>
  <c r="CA8" i="43"/>
  <c r="CA12" i="43" s="1"/>
  <c r="CA15" i="43" s="1"/>
  <c r="CA18" i="43" s="1"/>
  <c r="CA25" i="43" s="1"/>
  <c r="AY57" i="44"/>
  <c r="AS41" i="45"/>
  <c r="CH53" i="45"/>
  <c r="CC53" i="45"/>
  <c r="BX53" i="45"/>
  <c r="BS53" i="45"/>
  <c r="BI53" i="45"/>
  <c r="BD53" i="45"/>
  <c r="AN53" i="45"/>
  <c r="AI53" i="45"/>
  <c r="AA53" i="45"/>
  <c r="O53" i="45"/>
  <c r="I53" i="45"/>
  <c r="E53" i="45"/>
  <c r="T60" i="45"/>
  <c r="E34" i="46"/>
  <c r="BU18" i="46"/>
  <c r="BE15" i="46"/>
  <c r="BE44" i="46" s="1"/>
  <c r="BE45" i="46" s="1"/>
  <c r="BE46" i="46" s="1"/>
  <c r="AP15" i="46"/>
  <c r="AP45" i="46" s="1"/>
  <c r="AK15" i="46"/>
  <c r="AK45" i="46" s="1"/>
  <c r="BU10" i="46"/>
  <c r="Z99" i="47"/>
  <c r="P101" i="47"/>
  <c r="P100" i="47"/>
  <c r="F100" i="47"/>
  <c r="BZ41" i="45"/>
  <c r="BF41" i="45"/>
  <c r="Z41" i="45"/>
  <c r="BV43" i="43"/>
  <c r="BV50" i="43" s="1"/>
  <c r="CI69" i="44"/>
  <c r="BZ54" i="44"/>
  <c r="CC70" i="44"/>
  <c r="AE70" i="44"/>
  <c r="AN69" i="44"/>
  <c r="E69" i="44"/>
  <c r="CI54" i="44"/>
  <c r="G54" i="44"/>
  <c r="C54" i="44"/>
  <c r="BE8" i="45"/>
  <c r="BE51" i="45" s="1"/>
  <c r="CI21" i="46"/>
  <c r="CI52" i="46" s="1"/>
  <c r="CI53" i="46" s="1"/>
  <c r="BE21" i="46"/>
  <c r="BE52" i="46" s="1"/>
  <c r="BE53" i="46" s="1"/>
  <c r="BE54" i="46" s="1"/>
  <c r="AU21" i="46"/>
  <c r="AU52" i="46" s="1"/>
  <c r="AO21" i="46"/>
  <c r="AO53" i="46" s="1"/>
  <c r="AJ21" i="46"/>
  <c r="AJ52" i="46" s="1"/>
  <c r="Y21" i="46"/>
  <c r="Y52" i="46" s="1"/>
  <c r="BH21" i="46"/>
  <c r="BH52" i="46" s="1"/>
  <c r="AL26" i="46"/>
  <c r="AA26" i="46"/>
  <c r="AP27" i="46"/>
  <c r="AK27" i="46"/>
  <c r="CH26" i="46"/>
  <c r="CC26" i="46"/>
  <c r="BS26" i="46"/>
  <c r="AO26" i="46"/>
  <c r="BI145" i="47"/>
  <c r="AF142" i="47"/>
  <c r="AF151" i="47" s="1"/>
  <c r="CL98" i="47"/>
  <c r="CL182" i="47" s="1"/>
  <c r="BA41" i="45"/>
  <c r="CF169" i="43"/>
  <c r="BG50" i="43"/>
  <c r="BF50" i="43" s="1"/>
  <c r="S50" i="43"/>
  <c r="R50" i="43" s="1"/>
  <c r="BF54" i="44"/>
  <c r="AB67" i="45"/>
  <c r="T54" i="44"/>
  <c r="CJ71" i="44"/>
  <c r="CJ72" i="44" s="1"/>
  <c r="L71" i="44"/>
  <c r="L72" i="44" s="1"/>
  <c r="D71" i="44"/>
  <c r="D72" i="44" s="1"/>
  <c r="BT69" i="44"/>
  <c r="BJ69" i="44"/>
  <c r="P54" i="44"/>
  <c r="BJ53" i="45"/>
  <c r="AU53" i="45"/>
  <c r="AD53" i="45"/>
  <c r="AV21" i="46"/>
  <c r="AV52" i="46" s="1"/>
  <c r="CH126" i="47"/>
  <c r="AF98" i="47"/>
  <c r="AN127" i="47"/>
  <c r="AF117" i="47"/>
  <c r="CC126" i="47"/>
  <c r="BS126" i="47"/>
  <c r="AY126" i="47"/>
  <c r="AA126" i="47"/>
  <c r="AS99" i="43"/>
  <c r="AS122" i="43" s="1"/>
  <c r="U143" i="47"/>
  <c r="U151" i="47" s="1"/>
  <c r="U117" i="47"/>
  <c r="BS165" i="43"/>
  <c r="BX74" i="47"/>
  <c r="CI99" i="43"/>
  <c r="CI122" i="43" s="1"/>
  <c r="CB71" i="44"/>
  <c r="CB72" i="44" s="1"/>
  <c r="BZ69" i="44"/>
  <c r="BG20" i="46"/>
  <c r="AS21" i="46"/>
  <c r="AS52" i="46" s="1"/>
  <c r="AN21" i="46"/>
  <c r="AN52" i="46" s="1"/>
  <c r="BA21" i="46"/>
  <c r="AF26" i="46"/>
  <c r="AF21" i="46"/>
  <c r="BD143" i="47"/>
  <c r="AA143" i="47"/>
  <c r="AA150" i="47" s="1"/>
  <c r="CC142" i="47"/>
  <c r="CH155" i="47" s="1"/>
  <c r="BS142" i="47"/>
  <c r="AY142" i="47"/>
  <c r="AA142" i="47"/>
  <c r="AA151" i="47" s="1"/>
  <c r="AY116" i="47"/>
  <c r="BD132" i="47"/>
  <c r="BD145" i="47"/>
  <c r="AY122" i="47"/>
  <c r="AY145" i="47"/>
  <c r="AI145" i="47"/>
  <c r="AI122" i="47"/>
  <c r="CB117" i="47"/>
  <c r="CB143" i="47"/>
  <c r="CB144" i="47" s="1"/>
  <c r="AL99" i="47"/>
  <c r="AL143" i="47"/>
  <c r="BR116" i="47"/>
  <c r="BR142" i="47"/>
  <c r="BW155" i="47" s="1"/>
  <c r="BH98" i="47"/>
  <c r="BH107" i="47"/>
  <c r="BH142" i="47"/>
  <c r="BH149" i="47" s="1"/>
  <c r="BC107" i="47"/>
  <c r="BC116" i="47"/>
  <c r="AS116" i="47"/>
  <c r="AL98" i="47"/>
  <c r="AL142" i="47"/>
  <c r="AL149" i="47" s="1"/>
  <c r="AI99" i="47"/>
  <c r="AA99" i="47"/>
  <c r="AG21" i="46"/>
  <c r="CD27" i="46"/>
  <c r="BS108" i="47"/>
  <c r="BT127" i="47"/>
  <c r="BS143" i="47"/>
  <c r="BS150" i="47" s="1"/>
  <c r="AY117" i="47"/>
  <c r="AY143" i="47"/>
  <c r="AY150" i="47" s="1"/>
  <c r="BX126" i="47"/>
  <c r="BX142" i="47"/>
  <c r="BX149" i="47" s="1"/>
  <c r="BN116" i="47"/>
  <c r="BN142" i="47"/>
  <c r="BD126" i="47"/>
  <c r="BD142" i="47"/>
  <c r="BD149" i="47" s="1"/>
  <c r="AN116" i="47"/>
  <c r="AN98" i="47"/>
  <c r="BF213" i="43"/>
  <c r="H184" i="43"/>
  <c r="BV162" i="43"/>
  <c r="AG73" i="47"/>
  <c r="CF158" i="43"/>
  <c r="BL158" i="43"/>
  <c r="T133" i="43"/>
  <c r="T19" i="47" s="1"/>
  <c r="T45" i="47" s="1"/>
  <c r="T132" i="43"/>
  <c r="T13" i="47" s="1"/>
  <c r="U55" i="47" s="1"/>
  <c r="BO99" i="43"/>
  <c r="BO122" i="43" s="1"/>
  <c r="C99" i="43"/>
  <c r="C122" i="43" s="1"/>
  <c r="C124" i="43" s="1"/>
  <c r="D123" i="43" s="1"/>
  <c r="BN72" i="43"/>
  <c r="M26" i="43"/>
  <c r="V22" i="43"/>
  <c r="V32" i="43" s="1"/>
  <c r="CL70" i="44"/>
  <c r="CG70" i="44"/>
  <c r="AT70" i="44"/>
  <c r="BO60" i="45"/>
  <c r="BO53" i="45"/>
  <c r="F34" i="46"/>
  <c r="BF15" i="46"/>
  <c r="BF44" i="46" s="1"/>
  <c r="AL15" i="46"/>
  <c r="AL44" i="46" s="1"/>
  <c r="AL27" i="46"/>
  <c r="CI26" i="46"/>
  <c r="Y10" i="46"/>
  <c r="BS145" i="47"/>
  <c r="CL143" i="47"/>
  <c r="CL142" i="47"/>
  <c r="BM142" i="47"/>
  <c r="AS142" i="47"/>
  <c r="AS151" i="47" s="1"/>
  <c r="BN126" i="47"/>
  <c r="BI117" i="47"/>
  <c r="Z117" i="47"/>
  <c r="AX116" i="47"/>
  <c r="CC99" i="47"/>
  <c r="CC183" i="47" s="1"/>
  <c r="BC98" i="47"/>
  <c r="AA56" i="47"/>
  <c r="AT127" i="47"/>
  <c r="AT143" i="47"/>
  <c r="AT144" i="47" s="1"/>
  <c r="AT146" i="47" s="1"/>
  <c r="BI98" i="47"/>
  <c r="BI126" i="47"/>
  <c r="AC158" i="43"/>
  <c r="AB126" i="47"/>
  <c r="BG99" i="43"/>
  <c r="CE165" i="43"/>
  <c r="AA149" i="43"/>
  <c r="V149" i="43"/>
  <c r="H149" i="43"/>
  <c r="I99" i="43"/>
  <c r="E99" i="43"/>
  <c r="E122" i="43" s="1"/>
  <c r="CB99" i="43"/>
  <c r="CB122" i="43" s="1"/>
  <c r="BM99" i="43"/>
  <c r="BM122" i="43" s="1"/>
  <c r="AF72" i="43"/>
  <c r="AF73" i="43" s="1"/>
  <c r="CF26" i="43"/>
  <c r="BZ56" i="44"/>
  <c r="BZ57" i="44" s="1"/>
  <c r="I54" i="44"/>
  <c r="CD70" i="44"/>
  <c r="AP70" i="44"/>
  <c r="Q70" i="44"/>
  <c r="K70" i="44"/>
  <c r="BJ26" i="46"/>
  <c r="BJ15" i="46"/>
  <c r="BJ44" i="46" s="1"/>
  <c r="BJ45" i="46" s="1"/>
  <c r="BJ46" i="46" s="1"/>
  <c r="CG143" i="47"/>
  <c r="AN143" i="47"/>
  <c r="AN150" i="47" s="1"/>
  <c r="BI142" i="47"/>
  <c r="AN142" i="47"/>
  <c r="AN149" i="47" s="1"/>
  <c r="AN122" i="47"/>
  <c r="BD117" i="47"/>
  <c r="CG116" i="47"/>
  <c r="BH116" i="47"/>
  <c r="AS107" i="47"/>
  <c r="AS98" i="47"/>
  <c r="T74" i="47"/>
  <c r="L54" i="44"/>
  <c r="D54" i="44"/>
  <c r="CI53" i="45"/>
  <c r="CD53" i="45"/>
  <c r="BY53" i="45"/>
  <c r="BT53" i="45"/>
  <c r="AI60" i="45"/>
  <c r="V67" i="45"/>
  <c r="O52" i="45"/>
  <c r="AA27" i="46"/>
  <c r="AU26" i="46"/>
  <c r="CH27" i="46"/>
  <c r="BN27" i="46"/>
  <c r="AB18" i="46"/>
  <c r="U132" i="47"/>
  <c r="V129" i="47"/>
  <c r="F118" i="47"/>
  <c r="Z126" i="47"/>
  <c r="BI26" i="47"/>
  <c r="BI57" i="47" s="1"/>
  <c r="AF26" i="47"/>
  <c r="AZ69" i="44"/>
  <c r="AF69" i="44"/>
  <c r="H69" i="44"/>
  <c r="BD54" i="44"/>
  <c r="AX54" i="44"/>
  <c r="Q54" i="44"/>
  <c r="CB41" i="45"/>
  <c r="BH41" i="45"/>
  <c r="AP71" i="44"/>
  <c r="AP72" i="44" s="1"/>
  <c r="AJ71" i="44"/>
  <c r="AJ72" i="44" s="1"/>
  <c r="F71" i="44"/>
  <c r="F72" i="44" s="1"/>
  <c r="AL52" i="45"/>
  <c r="AF8" i="45"/>
  <c r="AF51" i="45" s="1"/>
  <c r="L52" i="45"/>
  <c r="F33" i="46"/>
  <c r="CL27" i="46"/>
  <c r="BU21" i="46"/>
  <c r="BU52" i="46" s="1"/>
  <c r="BU53" i="46" s="1"/>
  <c r="BU54" i="46" s="1"/>
  <c r="BP27" i="46"/>
  <c r="BK21" i="46"/>
  <c r="BK52" i="46" s="1"/>
  <c r="BK53" i="46" s="1"/>
  <c r="BF27" i="46"/>
  <c r="CL18" i="46"/>
  <c r="CL48" i="46" s="1"/>
  <c r="CL49" i="46" s="1"/>
  <c r="CL50" i="46" s="1"/>
  <c r="CE18" i="46"/>
  <c r="CE48" i="46" s="1"/>
  <c r="CE49" i="46" s="1"/>
  <c r="CE50" i="46" s="1"/>
  <c r="BP18" i="46"/>
  <c r="BP48" i="46" s="1"/>
  <c r="BP49" i="46" s="1"/>
  <c r="BP50" i="46" s="1"/>
  <c r="BK18" i="46"/>
  <c r="AV18" i="46"/>
  <c r="AV48" i="46" s="1"/>
  <c r="AV49" i="46" s="1"/>
  <c r="AV50" i="46" s="1"/>
  <c r="AA18" i="46"/>
  <c r="Q119" i="47"/>
  <c r="H109" i="47"/>
  <c r="G75" i="47"/>
  <c r="E73" i="47"/>
  <c r="I72" i="47"/>
  <c r="AI54" i="44"/>
  <c r="AI57" i="44"/>
  <c r="CE71" i="44"/>
  <c r="CE72" i="44" s="1"/>
  <c r="AP26" i="47"/>
  <c r="AK26" i="47"/>
  <c r="AK46" i="47" s="1"/>
  <c r="CL99" i="47"/>
  <c r="CL183" i="47" s="1"/>
  <c r="CL108" i="47"/>
  <c r="CL45" i="47"/>
  <c r="CL56" i="47"/>
  <c r="CH56" i="47"/>
  <c r="CG56" i="47"/>
  <c r="CG108" i="47"/>
  <c r="CG99" i="47"/>
  <c r="CG183" i="47" s="1"/>
  <c r="CB45" i="47"/>
  <c r="CC56" i="47"/>
  <c r="CB99" i="47"/>
  <c r="CB183" i="47" s="1"/>
  <c r="CB108" i="47"/>
  <c r="BW99" i="47"/>
  <c r="BW183" i="47" s="1"/>
  <c r="BW45" i="47"/>
  <c r="BX56" i="47"/>
  <c r="CI165" i="43"/>
  <c r="BP165" i="43"/>
  <c r="AD14" i="46"/>
  <c r="AH153" i="43"/>
  <c r="BF93" i="43"/>
  <c r="BF99" i="43" s="1"/>
  <c r="BI99" i="43"/>
  <c r="BI122" i="43" s="1"/>
  <c r="AZ99" i="43"/>
  <c r="AZ122" i="43" s="1"/>
  <c r="AP99" i="43"/>
  <c r="AP122" i="43" s="1"/>
  <c r="AK99" i="43"/>
  <c r="AF99" i="43"/>
  <c r="AF122" i="43" s="1"/>
  <c r="BF71" i="43"/>
  <c r="CF71" i="43"/>
  <c r="BL71" i="43"/>
  <c r="BB65" i="43"/>
  <c r="AL72" i="43"/>
  <c r="BL60" i="43"/>
  <c r="BL65" i="43" s="1"/>
  <c r="AL71" i="44"/>
  <c r="AL72" i="44" s="1"/>
  <c r="E71" i="44"/>
  <c r="E72" i="44" s="1"/>
  <c r="V41" i="44"/>
  <c r="V55" i="44" s="1"/>
  <c r="AY71" i="44"/>
  <c r="AY72" i="44" s="1"/>
  <c r="AF71" i="44"/>
  <c r="AF72" i="44" s="1"/>
  <c r="H71" i="44"/>
  <c r="H72" i="44" s="1"/>
  <c r="CD69" i="44"/>
  <c r="CG149" i="47"/>
  <c r="CG155" i="47"/>
  <c r="CG45" i="47"/>
  <c r="AQ82" i="43"/>
  <c r="AR99" i="43"/>
  <c r="AQ99" i="43" s="1"/>
  <c r="AM23" i="43"/>
  <c r="AM26" i="43"/>
  <c r="BZ71" i="44"/>
  <c r="BZ72" i="44" s="1"/>
  <c r="BA213" i="43"/>
  <c r="CC65" i="47"/>
  <c r="CC165" i="43"/>
  <c r="BH65" i="47"/>
  <c r="BM72" i="47" s="1"/>
  <c r="BH165" i="43"/>
  <c r="BT72" i="43"/>
  <c r="BF60" i="43"/>
  <c r="BG65" i="43"/>
  <c r="AP72" i="43"/>
  <c r="AK72" i="43"/>
  <c r="AK73" i="43" s="1"/>
  <c r="AM60" i="43"/>
  <c r="AM65" i="43" s="1"/>
  <c r="BY69" i="44"/>
  <c r="P29" i="44"/>
  <c r="P34" i="44" s="1"/>
  <c r="AI29" i="44"/>
  <c r="AI34" i="44" s="1"/>
  <c r="AS10" i="46"/>
  <c r="BY10" i="46"/>
  <c r="BN26" i="46"/>
  <c r="BD193" i="43"/>
  <c r="BE190" i="43" s="1"/>
  <c r="BE193" i="43" s="1"/>
  <c r="BF190" i="43" s="1"/>
  <c r="BF193" i="43" s="1"/>
  <c r="BG193" i="43" s="1"/>
  <c r="BH190" i="43" s="1"/>
  <c r="BH193" i="43" s="1"/>
  <c r="BI190" i="43" s="1"/>
  <c r="BI193" i="43" s="1"/>
  <c r="BJ190" i="43" s="1"/>
  <c r="BJ193" i="43" s="1"/>
  <c r="BK190" i="43" s="1"/>
  <c r="AC162" i="43"/>
  <c r="AM158" i="43"/>
  <c r="AG8" i="43"/>
  <c r="CF175" i="43"/>
  <c r="CF267" i="43" s="1"/>
  <c r="CF170" i="43"/>
  <c r="CF172" i="43"/>
  <c r="CF269" i="43" s="1"/>
  <c r="CF174" i="43"/>
  <c r="CF270" i="43" s="1"/>
  <c r="BL57" i="44"/>
  <c r="CZ108" i="44" s="1"/>
  <c r="BO54" i="44"/>
  <c r="BJ54" i="44"/>
  <c r="AE12" i="44"/>
  <c r="AE19" i="44" s="1"/>
  <c r="AE53" i="44"/>
  <c r="AE54" i="44" s="1"/>
  <c r="CG71" i="44"/>
  <c r="CG72" i="44" s="1"/>
  <c r="CH60" i="45"/>
  <c r="CI67" i="45"/>
  <c r="CD67" i="45"/>
  <c r="CC67" i="45"/>
  <c r="AN60" i="45"/>
  <c r="AS60" i="45"/>
  <c r="AA52" i="45"/>
  <c r="AA60" i="45"/>
  <c r="I52" i="45"/>
  <c r="I60" i="45"/>
  <c r="CI18" i="46"/>
  <c r="CI27" i="46"/>
  <c r="AU18" i="46"/>
  <c r="AU27" i="46"/>
  <c r="AK18" i="46"/>
  <c r="AK49" i="46" s="1"/>
  <c r="AF27" i="46"/>
  <c r="AF18" i="46"/>
  <c r="J41" i="44"/>
  <c r="J55" i="44" s="1"/>
  <c r="J58" i="44" s="1"/>
  <c r="F41" i="44"/>
  <c r="F55" i="44" s="1"/>
  <c r="F61" i="44" s="1"/>
  <c r="BS57" i="44"/>
  <c r="BC57" i="44"/>
  <c r="AU57" i="44"/>
  <c r="AD57" i="44"/>
  <c r="AL70" i="44"/>
  <c r="AA67" i="45"/>
  <c r="H34" i="46"/>
  <c r="I34" i="46"/>
  <c r="CG21" i="46"/>
  <c r="CG52" i="46" s="1"/>
  <c r="CG53" i="46" s="1"/>
  <c r="CG54" i="46" s="1"/>
  <c r="BW21" i="46"/>
  <c r="BW52" i="46" s="1"/>
  <c r="BX18" i="46"/>
  <c r="BX48" i="46" s="1"/>
  <c r="BX49" i="46" s="1"/>
  <c r="BX50" i="46" s="1"/>
  <c r="BD18" i="46"/>
  <c r="BD48" i="46" s="1"/>
  <c r="AE27" i="46"/>
  <c r="CA8" i="46"/>
  <c r="AM8" i="46"/>
  <c r="BA10" i="46"/>
  <c r="CP85" i="47"/>
  <c r="CP145" i="47" s="1"/>
  <c r="CL132" i="47"/>
  <c r="CL122" i="47"/>
  <c r="CM132" i="47"/>
  <c r="CL145" i="47"/>
  <c r="CL86" i="47"/>
  <c r="CG145" i="47"/>
  <c r="CG132" i="47"/>
  <c r="CB122" i="47"/>
  <c r="CB145" i="47"/>
  <c r="CB132" i="47"/>
  <c r="BW145" i="47"/>
  <c r="BW122" i="47"/>
  <c r="BM145" i="47"/>
  <c r="BM132" i="47"/>
  <c r="BI132" i="47"/>
  <c r="BH145" i="47"/>
  <c r="BC122" i="47"/>
  <c r="BC145" i="47"/>
  <c r="AX132" i="47"/>
  <c r="AX122" i="47"/>
  <c r="AY132" i="47"/>
  <c r="AS122" i="47"/>
  <c r="AS145" i="47"/>
  <c r="AT132" i="47"/>
  <c r="AL132" i="47"/>
  <c r="AL145" i="47"/>
  <c r="AN132" i="47"/>
  <c r="AF132" i="47"/>
  <c r="AF122" i="47"/>
  <c r="AF145" i="47"/>
  <c r="Z122" i="47"/>
  <c r="Z145" i="47"/>
  <c r="U130" i="47"/>
  <c r="U120" i="47"/>
  <c r="O102" i="47"/>
  <c r="P130" i="47"/>
  <c r="U128" i="47"/>
  <c r="V128" i="47"/>
  <c r="U118" i="47"/>
  <c r="BU143" i="47"/>
  <c r="BU117" i="47"/>
  <c r="BK117" i="47"/>
  <c r="BK143" i="47"/>
  <c r="BK150" i="47" s="1"/>
  <c r="BF143" i="47"/>
  <c r="BF144" i="47" s="1"/>
  <c r="BH127" i="47"/>
  <c r="AP108" i="47"/>
  <c r="AP143" i="47"/>
  <c r="AP99" i="47"/>
  <c r="AK84" i="47"/>
  <c r="AK86" i="47" s="1"/>
  <c r="AK99" i="47"/>
  <c r="AK143" i="47"/>
  <c r="AK150" i="47" s="1"/>
  <c r="AE108" i="47"/>
  <c r="AE117" i="47"/>
  <c r="AE143" i="47"/>
  <c r="AE150" i="47" s="1"/>
  <c r="Y143" i="47"/>
  <c r="Y150" i="47" s="1"/>
  <c r="Z127" i="47"/>
  <c r="CJ98" i="47"/>
  <c r="CJ182" i="47" s="1"/>
  <c r="CL126" i="47"/>
  <c r="CJ142" i="47"/>
  <c r="BZ98" i="47"/>
  <c r="BZ182" i="47" s="1"/>
  <c r="BZ116" i="47"/>
  <c r="CB126" i="47"/>
  <c r="BU142" i="47"/>
  <c r="BU149" i="47" s="1"/>
  <c r="BU84" i="47"/>
  <c r="BU86" i="47" s="1"/>
  <c r="BU116" i="47"/>
  <c r="BU98" i="47"/>
  <c r="BU182" i="47" s="1"/>
  <c r="BP98" i="47"/>
  <c r="BP182" i="47" s="1"/>
  <c r="BP142" i="47"/>
  <c r="BP116" i="47"/>
  <c r="BK84" i="47"/>
  <c r="BK86" i="47" s="1"/>
  <c r="BK94" i="47" s="1"/>
  <c r="BK116" i="47"/>
  <c r="BK126" i="47"/>
  <c r="BK142" i="47"/>
  <c r="BM126" i="47"/>
  <c r="BA142" i="47"/>
  <c r="BA149" i="47" s="1"/>
  <c r="BA116" i="47"/>
  <c r="BC126" i="47"/>
  <c r="AV142" i="47"/>
  <c r="AV149" i="47" s="1"/>
  <c r="AX126" i="47"/>
  <c r="AK116" i="47"/>
  <c r="AK98" i="47"/>
  <c r="AK107" i="47"/>
  <c r="T111" i="47"/>
  <c r="U100" i="47"/>
  <c r="BU103" i="47"/>
  <c r="BU184" i="47" s="1"/>
  <c r="BE45" i="47"/>
  <c r="BE56" i="47"/>
  <c r="U45" i="47"/>
  <c r="Z45" i="47"/>
  <c r="U99" i="47"/>
  <c r="U108" i="47"/>
  <c r="Z108" i="47"/>
  <c r="CL103" i="47"/>
  <c r="CL184" i="47" s="1"/>
  <c r="CL107" i="47"/>
  <c r="CG55" i="47"/>
  <c r="CG98" i="47"/>
  <c r="CG182" i="47" s="1"/>
  <c r="CG107" i="47"/>
  <c r="CB44" i="47"/>
  <c r="CB26" i="47"/>
  <c r="CB50" i="47" s="1"/>
  <c r="CB149" i="47"/>
  <c r="CB155" i="47"/>
  <c r="CB98" i="47"/>
  <c r="CB182" i="47" s="1"/>
  <c r="BW44" i="47"/>
  <c r="BW55" i="47"/>
  <c r="BW98" i="47"/>
  <c r="BW182" i="47" s="1"/>
  <c r="AF107" i="47"/>
  <c r="AF44" i="47"/>
  <c r="U44" i="47"/>
  <c r="U98" i="47"/>
  <c r="U107" i="47"/>
  <c r="Z107" i="47"/>
  <c r="CF162" i="43"/>
  <c r="AW158" i="43"/>
  <c r="CA154" i="43"/>
  <c r="BQ154" i="43"/>
  <c r="AW154" i="43"/>
  <c r="AW184" i="43" s="1"/>
  <c r="AC154" i="43"/>
  <c r="AC184" i="43" s="1"/>
  <c r="AI149" i="43"/>
  <c r="Y149" i="43"/>
  <c r="T149" i="43"/>
  <c r="W119" i="47"/>
  <c r="R100" i="47"/>
  <c r="BS99" i="43"/>
  <c r="BS122" i="43" s="1"/>
  <c r="BS124" i="43" s="1"/>
  <c r="BC99" i="43"/>
  <c r="BC122" i="43" s="1"/>
  <c r="AN99" i="43"/>
  <c r="AN122" i="43" s="1"/>
  <c r="AI99" i="43"/>
  <c r="AI122" i="43" s="1"/>
  <c r="AD99" i="43"/>
  <c r="AD122" i="43" s="1"/>
  <c r="BH99" i="43"/>
  <c r="BH122" i="43" s="1"/>
  <c r="BD99" i="43"/>
  <c r="BD122" i="43" s="1"/>
  <c r="AJ99" i="43"/>
  <c r="AJ122" i="43" s="1"/>
  <c r="BD72" i="43"/>
  <c r="P72" i="43"/>
  <c r="P73" i="43" s="1"/>
  <c r="BV71" i="43"/>
  <c r="CA60" i="43"/>
  <c r="CA65" i="43" s="1"/>
  <c r="AG70" i="44"/>
  <c r="T69" i="44"/>
  <c r="AB52" i="45"/>
  <c r="AB53" i="45"/>
  <c r="BX41" i="44"/>
  <c r="BX55" i="44" s="1"/>
  <c r="BX61" i="44" s="1"/>
  <c r="BH57" i="44"/>
  <c r="AZ57" i="44"/>
  <c r="AT57" i="44"/>
  <c r="CH52" i="45"/>
  <c r="CC52" i="45"/>
  <c r="BX52" i="45"/>
  <c r="BS52" i="45"/>
  <c r="BI52" i="45"/>
  <c r="BD52" i="45"/>
  <c r="AN52" i="45"/>
  <c r="AI52" i="45"/>
  <c r="CI71" i="44"/>
  <c r="CI72" i="44" s="1"/>
  <c r="CD71" i="44"/>
  <c r="CD72" i="44" s="1"/>
  <c r="BY71" i="44"/>
  <c r="BY72" i="44" s="1"/>
  <c r="BO71" i="44"/>
  <c r="BO72" i="44" s="1"/>
  <c r="AU70" i="44"/>
  <c r="O8" i="45"/>
  <c r="O51" i="45" s="1"/>
  <c r="E8" i="45"/>
  <c r="E51" i="45" s="1"/>
  <c r="CE21" i="46"/>
  <c r="CE52" i="46" s="1"/>
  <c r="CE27" i="46"/>
  <c r="BC21" i="46"/>
  <c r="BC52" i="46" s="1"/>
  <c r="AM20" i="46"/>
  <c r="BL19" i="46"/>
  <c r="AK142" i="47"/>
  <c r="AA132" i="47"/>
  <c r="BH126" i="47"/>
  <c r="BF117" i="47"/>
  <c r="AK103" i="47"/>
  <c r="CJ122" i="47"/>
  <c r="CJ145" i="47"/>
  <c r="CO122" i="47"/>
  <c r="BZ122" i="47"/>
  <c r="BZ145" i="47"/>
  <c r="BU145" i="47"/>
  <c r="BU122" i="47"/>
  <c r="BF122" i="47"/>
  <c r="BF145" i="47"/>
  <c r="BA122" i="47"/>
  <c r="BA145" i="47"/>
  <c r="AK145" i="47"/>
  <c r="AK122" i="47"/>
  <c r="Y122" i="47"/>
  <c r="Y145" i="47"/>
  <c r="AA55" i="47"/>
  <c r="AZ45" i="47"/>
  <c r="Y41" i="45"/>
  <c r="CF187" i="43"/>
  <c r="S184" i="43"/>
  <c r="CA233" i="43"/>
  <c r="BB233" i="43"/>
  <c r="BB162" i="43"/>
  <c r="BI69" i="47"/>
  <c r="BL154" i="43"/>
  <c r="AR154" i="43"/>
  <c r="AR184" i="43" s="1"/>
  <c r="X149" i="43"/>
  <c r="AG138" i="43"/>
  <c r="AG139" i="43" s="1"/>
  <c r="W138" i="43"/>
  <c r="W139" i="43" s="1"/>
  <c r="O122" i="43"/>
  <c r="CC99" i="43"/>
  <c r="CC122" i="43" s="1"/>
  <c r="CC124" i="43" s="1"/>
  <c r="BX99" i="43"/>
  <c r="AX72" i="43"/>
  <c r="J72" i="43"/>
  <c r="J73" i="43" s="1"/>
  <c r="Y72" i="43"/>
  <c r="Y73" i="43" s="1"/>
  <c r="I72" i="43"/>
  <c r="I73" i="43" s="1"/>
  <c r="E72" i="43"/>
  <c r="E73" i="43" s="1"/>
  <c r="CK60" i="43"/>
  <c r="CK65" i="43" s="1"/>
  <c r="O69" i="44"/>
  <c r="AQ52" i="45"/>
  <c r="W52" i="45"/>
  <c r="AQ53" i="45"/>
  <c r="W53" i="45"/>
  <c r="M69" i="44"/>
  <c r="AK70" i="44"/>
  <c r="CB57" i="44"/>
  <c r="AS12" i="44"/>
  <c r="AS19" i="44" s="1"/>
  <c r="BW12" i="44"/>
  <c r="BW19" i="44" s="1"/>
  <c r="BW41" i="45"/>
  <c r="AS52" i="45"/>
  <c r="AF52" i="45"/>
  <c r="H52" i="45"/>
  <c r="D52" i="45"/>
  <c r="AO67" i="45"/>
  <c r="G31" i="46"/>
  <c r="G23" i="46"/>
  <c r="CG27" i="46"/>
  <c r="BW15" i="46"/>
  <c r="BW44" i="46" s="1"/>
  <c r="BW45" i="46" s="1"/>
  <c r="BR15" i="46"/>
  <c r="BR44" i="46" s="1"/>
  <c r="BR45" i="46" s="1"/>
  <c r="BR46" i="46" s="1"/>
  <c r="BH27" i="46"/>
  <c r="BC15" i="46"/>
  <c r="AX27" i="46"/>
  <c r="AS27" i="46"/>
  <c r="AN15" i="46"/>
  <c r="AN45" i="46" s="1"/>
  <c r="AI15" i="46"/>
  <c r="CL26" i="46"/>
  <c r="CP26" i="46" s="1"/>
  <c r="CE26" i="46"/>
  <c r="BU26" i="46"/>
  <c r="BP26" i="46"/>
  <c r="AX145" i="47"/>
  <c r="T145" i="47"/>
  <c r="BA143" i="47"/>
  <c r="AP142" i="47"/>
  <c r="AP149" i="47" s="1"/>
  <c r="AI149" i="47"/>
  <c r="Y142" i="47"/>
  <c r="Z132" i="47"/>
  <c r="BM122" i="47"/>
  <c r="U109" i="47"/>
  <c r="AE99" i="47"/>
  <c r="BR98" i="47"/>
  <c r="BR182" i="47" s="1"/>
  <c r="AA98" i="47"/>
  <c r="O74" i="47"/>
  <c r="T73" i="47"/>
  <c r="T72" i="47"/>
  <c r="CB55" i="47"/>
  <c r="O23" i="46"/>
  <c r="AD10" i="46"/>
  <c r="CG10" i="46"/>
  <c r="BX144" i="47"/>
  <c r="BX146" i="47" s="1"/>
  <c r="T120" i="47"/>
  <c r="T119" i="47"/>
  <c r="T100" i="47"/>
  <c r="T118" i="47"/>
  <c r="L84" i="47"/>
  <c r="D84" i="47"/>
  <c r="D100" i="47"/>
  <c r="CI117" i="47"/>
  <c r="CI143" i="47"/>
  <c r="CI156" i="47" s="1"/>
  <c r="CD99" i="47"/>
  <c r="CD183" i="47" s="1"/>
  <c r="CD108" i="47"/>
  <c r="CD117" i="47"/>
  <c r="BJ103" i="47"/>
  <c r="Q73" i="47"/>
  <c r="AZ27" i="46"/>
  <c r="CD15" i="46"/>
  <c r="AY26" i="46"/>
  <c r="AM13" i="46"/>
  <c r="BV9" i="46"/>
  <c r="BW150" i="47"/>
  <c r="L100" i="47"/>
  <c r="CI99" i="47"/>
  <c r="CI183" i="47" s="1"/>
  <c r="BY99" i="47"/>
  <c r="BY183" i="47" s="1"/>
  <c r="H84" i="47"/>
  <c r="H86" i="47" s="1"/>
  <c r="AI144" i="47"/>
  <c r="U149" i="47"/>
  <c r="H120" i="47"/>
  <c r="D110" i="47"/>
  <c r="U75" i="47"/>
  <c r="F101" i="47"/>
  <c r="AS117" i="47"/>
  <c r="T75" i="47"/>
  <c r="H75" i="47"/>
  <c r="D75" i="47"/>
  <c r="Q74" i="47"/>
  <c r="V73" i="47"/>
  <c r="U73" i="47"/>
  <c r="O73" i="47"/>
  <c r="F73" i="47"/>
  <c r="V72" i="47"/>
  <c r="O72" i="47"/>
  <c r="G72" i="47"/>
  <c r="AE45" i="47"/>
  <c r="AX44" i="47"/>
  <c r="BA56" i="47"/>
  <c r="BA108" i="47"/>
  <c r="BA45" i="47"/>
  <c r="AD45" i="47"/>
  <c r="AE56" i="47"/>
  <c r="V45" i="47"/>
  <c r="V56" i="47"/>
  <c r="CH149" i="47"/>
  <c r="CH107" i="47"/>
  <c r="BP107" i="47"/>
  <c r="BK98" i="47"/>
  <c r="BK107" i="47"/>
  <c r="BA44" i="47"/>
  <c r="BA98" i="47"/>
  <c r="BA103" i="47"/>
  <c r="BA107" i="47"/>
  <c r="BC55" i="47"/>
  <c r="AK55" i="47"/>
  <c r="AJ44" i="47"/>
  <c r="W79" i="47"/>
  <c r="W116" i="47" s="1"/>
  <c r="T142" i="43"/>
  <c r="T79" i="47" s="1"/>
  <c r="BR22" i="43"/>
  <c r="BR25" i="43"/>
  <c r="CA23" i="44"/>
  <c r="BZ29" i="44"/>
  <c r="BZ34" i="44" s="1"/>
  <c r="BT8" i="45"/>
  <c r="BT51" i="45" s="1"/>
  <c r="BT70" i="44"/>
  <c r="BT71" i="44"/>
  <c r="BT72" i="44" s="1"/>
  <c r="BJ70" i="44"/>
  <c r="BJ71" i="44"/>
  <c r="BJ72" i="44" s="1"/>
  <c r="AZ8" i="45"/>
  <c r="AZ51" i="45" s="1"/>
  <c r="AZ71" i="44"/>
  <c r="AZ72" i="44" s="1"/>
  <c r="AA70" i="44"/>
  <c r="AA71" i="44"/>
  <c r="AA72" i="44" s="1"/>
  <c r="I70" i="44"/>
  <c r="I8" i="45"/>
  <c r="I71" i="44"/>
  <c r="I72" i="44" s="1"/>
  <c r="CJ60" i="45"/>
  <c r="CJ53" i="45"/>
  <c r="CJ67" i="45"/>
  <c r="CJ52" i="45"/>
  <c r="CJ69" i="44"/>
  <c r="CE52" i="45"/>
  <c r="CE60" i="45"/>
  <c r="CE67" i="45"/>
  <c r="CE69" i="44"/>
  <c r="BZ60" i="45"/>
  <c r="BZ67" i="45"/>
  <c r="BZ52" i="45"/>
  <c r="BZ53" i="45"/>
  <c r="BU52" i="45"/>
  <c r="BU53" i="45"/>
  <c r="BU67" i="45"/>
  <c r="BU60" i="45"/>
  <c r="BU69" i="44"/>
  <c r="BP52" i="45"/>
  <c r="BP60" i="45"/>
  <c r="BK60" i="45"/>
  <c r="BK67" i="45"/>
  <c r="BK69" i="44"/>
  <c r="BF67" i="45"/>
  <c r="BF60" i="45"/>
  <c r="BA8" i="45"/>
  <c r="BA51" i="45" s="1"/>
  <c r="BA67" i="45"/>
  <c r="BA52" i="45"/>
  <c r="BA60" i="45"/>
  <c r="AV52" i="45"/>
  <c r="AV8" i="45"/>
  <c r="AV67" i="45"/>
  <c r="AX67" i="45"/>
  <c r="AK53" i="45"/>
  <c r="AK60" i="45"/>
  <c r="AL67" i="45"/>
  <c r="AK8" i="45"/>
  <c r="AK51" i="45" s="1"/>
  <c r="AK69" i="44"/>
  <c r="Y52" i="45"/>
  <c r="AD60" i="45"/>
  <c r="Y53" i="45"/>
  <c r="Y60" i="45"/>
  <c r="Q53" i="45"/>
  <c r="Q60" i="45"/>
  <c r="V60" i="45"/>
  <c r="AJ26" i="46"/>
  <c r="AM16" i="46"/>
  <c r="AJ18" i="46"/>
  <c r="AJ49" i="46" s="1"/>
  <c r="AE18" i="46"/>
  <c r="CB44" i="46"/>
  <c r="AD13" i="46"/>
  <c r="AH152" i="43"/>
  <c r="AD154" i="43"/>
  <c r="AD65" i="47" s="1"/>
  <c r="N65" i="43"/>
  <c r="M60" i="43"/>
  <c r="AV56" i="47"/>
  <c r="AV99" i="47"/>
  <c r="AJ56" i="47"/>
  <c r="AK56" i="47"/>
  <c r="AA44" i="47"/>
  <c r="V44" i="47"/>
  <c r="AH65" i="43"/>
  <c r="AG60" i="43"/>
  <c r="O20" i="43"/>
  <c r="C20" i="43"/>
  <c r="C24" i="43" s="1"/>
  <c r="C22" i="43"/>
  <c r="C32" i="43" s="1"/>
  <c r="BS20" i="43"/>
  <c r="BS22" i="43"/>
  <c r="BT67" i="47"/>
  <c r="BV67" i="47" s="1"/>
  <c r="BT165" i="43"/>
  <c r="BL162" i="43"/>
  <c r="AR162" i="43"/>
  <c r="BN73" i="47"/>
  <c r="AN66" i="47"/>
  <c r="AS73" i="47" s="1"/>
  <c r="AN165" i="43"/>
  <c r="CG65" i="47"/>
  <c r="CG69" i="47" s="1"/>
  <c r="CG165" i="43"/>
  <c r="Y99" i="43"/>
  <c r="Y122" i="43" s="1"/>
  <c r="CD72" i="43"/>
  <c r="BO72" i="43"/>
  <c r="S65" i="43"/>
  <c r="BR20" i="43"/>
  <c r="BK25" i="43"/>
  <c r="BK20" i="43"/>
  <c r="Z15" i="43"/>
  <c r="Z18" i="43" s="1"/>
  <c r="Z25" i="43" s="1"/>
  <c r="Z149" i="43"/>
  <c r="BV8" i="43"/>
  <c r="BV12" i="43" s="1"/>
  <c r="BV15" i="43" s="1"/>
  <c r="BV18" i="43" s="1"/>
  <c r="BV174" i="43"/>
  <c r="BV173" i="43"/>
  <c r="BV277" i="43" s="1"/>
  <c r="BB8" i="43"/>
  <c r="BB12" i="43" s="1"/>
  <c r="BB15" i="43" s="1"/>
  <c r="BB18" i="43" s="1"/>
  <c r="BB22" i="43" s="1"/>
  <c r="BB169" i="43"/>
  <c r="BB224" i="43" s="1"/>
  <c r="BB223" i="43" s="1"/>
  <c r="BB176" i="43"/>
  <c r="AU71" i="44"/>
  <c r="AU72" i="44" s="1"/>
  <c r="CI70" i="44"/>
  <c r="AU41" i="44"/>
  <c r="AU55" i="44" s="1"/>
  <c r="AU61" i="44" s="1"/>
  <c r="CM30" i="44"/>
  <c r="CL56" i="44"/>
  <c r="CZ80" i="45" s="1"/>
  <c r="BN57" i="44"/>
  <c r="CJ70" i="44"/>
  <c r="CE70" i="44"/>
  <c r="BY70" i="44"/>
  <c r="BE70" i="44"/>
  <c r="AL20" i="43"/>
  <c r="AL22" i="43"/>
  <c r="BW20" i="43"/>
  <c r="BW25" i="43"/>
  <c r="BW22" i="43"/>
  <c r="AU20" i="43"/>
  <c r="AU27" i="43" s="1"/>
  <c r="AU25" i="43"/>
  <c r="AU22" i="43"/>
  <c r="BF45" i="47"/>
  <c r="BH56" i="47"/>
  <c r="BF56" i="47"/>
  <c r="BF99" i="47"/>
  <c r="BF108" i="47"/>
  <c r="BS44" i="47"/>
  <c r="BS55" i="47"/>
  <c r="BT55" i="47"/>
  <c r="BF44" i="47"/>
  <c r="BH55" i="47"/>
  <c r="BF103" i="47"/>
  <c r="AV26" i="47"/>
  <c r="AV55" i="47"/>
  <c r="AV98" i="47"/>
  <c r="AV103" i="47"/>
  <c r="AD44" i="47"/>
  <c r="AE55" i="47"/>
  <c r="AG148" i="43"/>
  <c r="U99" i="43"/>
  <c r="U122" i="43" s="1"/>
  <c r="CJ154" i="43"/>
  <c r="CJ65" i="47" s="1"/>
  <c r="BA65" i="47"/>
  <c r="BA69" i="47" s="1"/>
  <c r="BA165" i="43"/>
  <c r="BG154" i="43"/>
  <c r="AM154" i="43"/>
  <c r="AM184" i="43" s="1"/>
  <c r="CA138" i="43"/>
  <c r="BG138" i="43"/>
  <c r="AV93" i="43"/>
  <c r="AW99" i="43"/>
  <c r="AV99" i="43" s="1"/>
  <c r="CL72" i="43"/>
  <c r="AV16" i="44"/>
  <c r="AW16" i="44" s="1"/>
  <c r="AV213" i="43"/>
  <c r="BS25" i="43"/>
  <c r="AL25" i="43"/>
  <c r="BV23" i="43"/>
  <c r="BV26" i="43"/>
  <c r="BA69" i="44"/>
  <c r="BV57" i="44"/>
  <c r="DB108" i="44" s="1"/>
  <c r="L41" i="44"/>
  <c r="L55" i="44" s="1"/>
  <c r="CE53" i="45"/>
  <c r="T23" i="46"/>
  <c r="T34" i="46"/>
  <c r="BQ60" i="43"/>
  <c r="BQ65" i="43" s="1"/>
  <c r="BD57" i="44"/>
  <c r="AX57" i="44"/>
  <c r="V32" i="46"/>
  <c r="H32" i="46"/>
  <c r="I32" i="46"/>
  <c r="D32" i="46"/>
  <c r="E32" i="46"/>
  <c r="CC18" i="46"/>
  <c r="CC27" i="46"/>
  <c r="BS27" i="46"/>
  <c r="BS18" i="46"/>
  <c r="BI27" i="46"/>
  <c r="BI18" i="46"/>
  <c r="AY18" i="46"/>
  <c r="AY48" i="46" s="1"/>
  <c r="AY49" i="46" s="1"/>
  <c r="AY27" i="46"/>
  <c r="AO18" i="46"/>
  <c r="AO49" i="46" s="1"/>
  <c r="CG18" i="46"/>
  <c r="CG48" i="46" s="1"/>
  <c r="CB18" i="46"/>
  <c r="CB48" i="46" s="1"/>
  <c r="CB49" i="46" s="1"/>
  <c r="CB50" i="46" s="1"/>
  <c r="CB26" i="46"/>
  <c r="BM18" i="46"/>
  <c r="BH18" i="46"/>
  <c r="BC26" i="46"/>
  <c r="AX26" i="46"/>
  <c r="AS18" i="46"/>
  <c r="AN18" i="46"/>
  <c r="AN26" i="46"/>
  <c r="BF118" i="43"/>
  <c r="BX72" i="43"/>
  <c r="AD72" i="43"/>
  <c r="AD73" i="43" s="1"/>
  <c r="BH72" i="43"/>
  <c r="AY72" i="43"/>
  <c r="AT72" i="43"/>
  <c r="AO72" i="43"/>
  <c r="V72" i="43"/>
  <c r="V73" i="43" s="1"/>
  <c r="AC49" i="44"/>
  <c r="AD49" i="44" s="1"/>
  <c r="AF74" i="47"/>
  <c r="CA162" i="43"/>
  <c r="BG162" i="43"/>
  <c r="AM162" i="43"/>
  <c r="CK165" i="43"/>
  <c r="BL66" i="47"/>
  <c r="CA148" i="43"/>
  <c r="BG148" i="43"/>
  <c r="AM148" i="43"/>
  <c r="AC99" i="43"/>
  <c r="AB99" i="43" s="1"/>
  <c r="G99" i="43"/>
  <c r="G122" i="43" s="1"/>
  <c r="CH99" i="43"/>
  <c r="CD99" i="43"/>
  <c r="CD122" i="43" s="1"/>
  <c r="CD124" i="43" s="1"/>
  <c r="BY99" i="43"/>
  <c r="CJ72" i="43"/>
  <c r="CB72" i="43"/>
  <c r="BW72" i="43"/>
  <c r="BS72" i="43"/>
  <c r="BJ72" i="43"/>
  <c r="CI72" i="43"/>
  <c r="CE72" i="43"/>
  <c r="BZ72" i="43"/>
  <c r="BU72" i="43"/>
  <c r="M23" i="43"/>
  <c r="CF57" i="44"/>
  <c r="DD108" i="44" s="1"/>
  <c r="U57" i="44"/>
  <c r="O57" i="44"/>
  <c r="CF49" i="44"/>
  <c r="CG49" i="44" s="1"/>
  <c r="BD29" i="44"/>
  <c r="BD34" i="44" s="1"/>
  <c r="BW29" i="44"/>
  <c r="BW34" i="44" s="1"/>
  <c r="AJ29" i="44"/>
  <c r="AJ34" i="44" s="1"/>
  <c r="BS12" i="44"/>
  <c r="BS19" i="44" s="1"/>
  <c r="BW99" i="43"/>
  <c r="BC72" i="43"/>
  <c r="CI69" i="47"/>
  <c r="AE74" i="47"/>
  <c r="BG158" i="43"/>
  <c r="AR158" i="43"/>
  <c r="CD72" i="47"/>
  <c r="M148" i="43"/>
  <c r="M138" i="43"/>
  <c r="M139" i="43" s="1"/>
  <c r="AH122" i="43"/>
  <c r="AG122" i="43" s="1"/>
  <c r="K122" i="43"/>
  <c r="Z122" i="43"/>
  <c r="J122" i="43"/>
  <c r="AO99" i="43"/>
  <c r="AO122" i="43" s="1"/>
  <c r="AE99" i="43"/>
  <c r="AE122" i="43" s="1"/>
  <c r="H99" i="43"/>
  <c r="H122" i="43" s="1"/>
  <c r="D99" i="43"/>
  <c r="D122" i="43" s="1"/>
  <c r="AZ72" i="43"/>
  <c r="BK72" i="43"/>
  <c r="BE72" i="43"/>
  <c r="AQ60" i="43"/>
  <c r="BG12" i="43"/>
  <c r="BG15" i="43" s="1"/>
  <c r="BG18" i="43" s="1"/>
  <c r="BW41" i="44"/>
  <c r="BW55" i="44" s="1"/>
  <c r="BW58" i="44" s="1"/>
  <c r="BC41" i="44"/>
  <c r="BC55" i="44" s="1"/>
  <c r="BC58" i="44" s="1"/>
  <c r="G41" i="44"/>
  <c r="G55" i="44" s="1"/>
  <c r="G61" i="44" s="1"/>
  <c r="BT57" i="44"/>
  <c r="BO57" i="44"/>
  <c r="CB29" i="44"/>
  <c r="CB34" i="44" s="1"/>
  <c r="O12" i="44"/>
  <c r="O19" i="44" s="1"/>
  <c r="BW27" i="46"/>
  <c r="BC18" i="46"/>
  <c r="AN29" i="44"/>
  <c r="AN34" i="44" s="1"/>
  <c r="AA29" i="44"/>
  <c r="AA34" i="44" s="1"/>
  <c r="AY12" i="44"/>
  <c r="AY19" i="44" s="1"/>
  <c r="AM11" i="45"/>
  <c r="BP53" i="45"/>
  <c r="BK53" i="45"/>
  <c r="BF53" i="45"/>
  <c r="BA53" i="45"/>
  <c r="AV53" i="45"/>
  <c r="T8" i="45"/>
  <c r="L8" i="45"/>
  <c r="L51" i="45" s="1"/>
  <c r="H8" i="45"/>
  <c r="D8" i="45"/>
  <c r="D51" i="45" s="1"/>
  <c r="AX18" i="46"/>
  <c r="BF26" i="46"/>
  <c r="BA18" i="46"/>
  <c r="BA26" i="46"/>
  <c r="BU27" i="46"/>
  <c r="BK27" i="46"/>
  <c r="CF7" i="46"/>
  <c r="U72" i="47"/>
  <c r="P72" i="47"/>
  <c r="AZ70" i="44"/>
  <c r="H70" i="44"/>
  <c r="AO12" i="44"/>
  <c r="AO19" i="44" s="1"/>
  <c r="BG11" i="45"/>
  <c r="CG8" i="45"/>
  <c r="Y8" i="45"/>
  <c r="Q8" i="45"/>
  <c r="Q51" i="45" s="1"/>
  <c r="BX67" i="45"/>
  <c r="BS67" i="45"/>
  <c r="BE67" i="45"/>
  <c r="BK26" i="46"/>
  <c r="G33" i="46"/>
  <c r="BM21" i="46"/>
  <c r="BI26" i="46"/>
  <c r="BL13" i="46"/>
  <c r="AT15" i="46"/>
  <c r="AE26" i="46"/>
  <c r="AE28" i="46" s="1"/>
  <c r="AV150" i="47"/>
  <c r="AU12" i="44"/>
  <c r="AU19" i="44" s="1"/>
  <c r="Q69" i="44"/>
  <c r="BK52" i="45"/>
  <c r="AK52" i="45"/>
  <c r="Q52" i="45"/>
  <c r="BQ9" i="45"/>
  <c r="CJ8" i="45"/>
  <c r="BM67" i="45"/>
  <c r="BC67" i="45"/>
  <c r="BP21" i="46"/>
  <c r="AP26" i="46"/>
  <c r="AK26" i="46"/>
  <c r="AK21" i="46"/>
  <c r="BD27" i="46"/>
  <c r="BG14" i="46"/>
  <c r="AO27" i="46"/>
  <c r="AM14" i="46"/>
  <c r="AJ27" i="46"/>
  <c r="Y27" i="46"/>
  <c r="CG15" i="46"/>
  <c r="CG26" i="46"/>
  <c r="BW26" i="46"/>
  <c r="BR26" i="46"/>
  <c r="BM15" i="46"/>
  <c r="AS26" i="46"/>
  <c r="BT84" i="47"/>
  <c r="BT86" i="47" s="1"/>
  <c r="BT90" i="47" s="1"/>
  <c r="BT117" i="47"/>
  <c r="BU127" i="47"/>
  <c r="BT143" i="47"/>
  <c r="BY156" i="47" s="1"/>
  <c r="BV80" i="47"/>
  <c r="BY108" i="47"/>
  <c r="BT99" i="47"/>
  <c r="BT183" i="47" s="1"/>
  <c r="BY117" i="47"/>
  <c r="BT108" i="47"/>
  <c r="BO99" i="47"/>
  <c r="BO183" i="47" s="1"/>
  <c r="BO108" i="47"/>
  <c r="BO127" i="47"/>
  <c r="BO143" i="47"/>
  <c r="BO117" i="47"/>
  <c r="BP127" i="47"/>
  <c r="BJ108" i="47"/>
  <c r="BJ117" i="47"/>
  <c r="BK127" i="47"/>
  <c r="BJ143" i="47"/>
  <c r="BJ150" i="47" s="1"/>
  <c r="BE143" i="47"/>
  <c r="BE150" i="47" s="1"/>
  <c r="BE117" i="47"/>
  <c r="BE99" i="47"/>
  <c r="BE108" i="47"/>
  <c r="BF127" i="47"/>
  <c r="AZ99" i="47"/>
  <c r="AZ108" i="47"/>
  <c r="BA127" i="47"/>
  <c r="AZ143" i="47"/>
  <c r="AZ150" i="47" s="1"/>
  <c r="AZ117" i="47"/>
  <c r="AU117" i="47"/>
  <c r="AV127" i="47"/>
  <c r="AU99" i="47"/>
  <c r="AU143" i="47"/>
  <c r="AU150" i="47" s="1"/>
  <c r="AU108" i="47"/>
  <c r="AO117" i="47"/>
  <c r="AO127" i="47"/>
  <c r="AO143" i="47"/>
  <c r="AO150" i="47" s="1"/>
  <c r="AT117" i="47"/>
  <c r="AJ117" i="47"/>
  <c r="AJ99" i="47"/>
  <c r="AJ143" i="47"/>
  <c r="AJ127" i="47"/>
  <c r="AA108" i="47"/>
  <c r="V99" i="47"/>
  <c r="AA117" i="47"/>
  <c r="V127" i="47"/>
  <c r="V108" i="47"/>
  <c r="V117" i="47"/>
  <c r="V143" i="47"/>
  <c r="CI84" i="47"/>
  <c r="CI121" i="47" s="1"/>
  <c r="CI116" i="47"/>
  <c r="CJ126" i="47"/>
  <c r="CI98" i="47"/>
  <c r="CI182" i="47" s="1"/>
  <c r="CI126" i="47"/>
  <c r="CI142" i="47"/>
  <c r="CI149" i="47" s="1"/>
  <c r="CD103" i="47"/>
  <c r="CD184" i="47" s="1"/>
  <c r="CD107" i="47"/>
  <c r="CD126" i="47"/>
  <c r="CE126" i="47"/>
  <c r="CD98" i="47"/>
  <c r="CD182" i="47" s="1"/>
  <c r="CD116" i="47"/>
  <c r="CD142" i="47"/>
  <c r="BY126" i="47"/>
  <c r="BZ126" i="47"/>
  <c r="BY84" i="47"/>
  <c r="BY121" i="47" s="1"/>
  <c r="BY103" i="47"/>
  <c r="BY184" i="47" s="1"/>
  <c r="BY107" i="47"/>
  <c r="BY98" i="47"/>
  <c r="BY182" i="47" s="1"/>
  <c r="BY142" i="47"/>
  <c r="BT98" i="47"/>
  <c r="BT182" i="47" s="1"/>
  <c r="BT103" i="47"/>
  <c r="BT184" i="47" s="1"/>
  <c r="BT116" i="47"/>
  <c r="BT126" i="47"/>
  <c r="BU126" i="47"/>
  <c r="BT142" i="47"/>
  <c r="BO84" i="47"/>
  <c r="BO86" i="47" s="1"/>
  <c r="BO94" i="47" s="1"/>
  <c r="BO116" i="47"/>
  <c r="BO126" i="47"/>
  <c r="BO142" i="47"/>
  <c r="BP126" i="47"/>
  <c r="BJ126" i="47"/>
  <c r="BJ116" i="47"/>
  <c r="BJ142" i="47"/>
  <c r="BJ151" i="47" s="1"/>
  <c r="BE103" i="47"/>
  <c r="BE98" i="47"/>
  <c r="BE126" i="47"/>
  <c r="BF126" i="47"/>
  <c r="BE142" i="47"/>
  <c r="AZ126" i="47"/>
  <c r="AZ142" i="47"/>
  <c r="AZ149" i="47" s="1"/>
  <c r="AU126" i="47"/>
  <c r="AU107" i="47"/>
  <c r="AU142" i="47"/>
  <c r="AU151" i="47" s="1"/>
  <c r="AO107" i="47"/>
  <c r="AO126" i="47"/>
  <c r="AP126" i="47"/>
  <c r="AO142" i="47"/>
  <c r="AK126" i="47"/>
  <c r="AJ126" i="47"/>
  <c r="AJ142" i="47"/>
  <c r="AJ149" i="47" s="1"/>
  <c r="AD116" i="47"/>
  <c r="AD142" i="47"/>
  <c r="AD149" i="47" s="1"/>
  <c r="AI107" i="47"/>
  <c r="V142" i="47"/>
  <c r="V149" i="47" s="1"/>
  <c r="AA116" i="47"/>
  <c r="BH15" i="46"/>
  <c r="BB9" i="46"/>
  <c r="BW10" i="46"/>
  <c r="AO10" i="46"/>
  <c r="CI86" i="47"/>
  <c r="CJ132" i="47"/>
  <c r="CI145" i="47"/>
  <c r="CN122" i="47"/>
  <c r="BZ132" i="47"/>
  <c r="BY145" i="47"/>
  <c r="BT122" i="47"/>
  <c r="BU132" i="47"/>
  <c r="BT145" i="47"/>
  <c r="BF132" i="47"/>
  <c r="BE145" i="47"/>
  <c r="BA132" i="47"/>
  <c r="AZ145" i="47"/>
  <c r="AU122" i="47"/>
  <c r="AU145" i="47"/>
  <c r="AD122" i="47"/>
  <c r="AE132" i="47"/>
  <c r="U122" i="47"/>
  <c r="P132" i="47"/>
  <c r="Q132" i="47"/>
  <c r="K132" i="47"/>
  <c r="O122" i="47"/>
  <c r="K84" i="47"/>
  <c r="K86" i="47" s="1"/>
  <c r="K91" i="47" s="1"/>
  <c r="P120" i="47"/>
  <c r="L130" i="47"/>
  <c r="Q101" i="47"/>
  <c r="V110" i="47"/>
  <c r="V119" i="47"/>
  <c r="Q129" i="47"/>
  <c r="L129" i="47"/>
  <c r="P110" i="47"/>
  <c r="P119" i="47"/>
  <c r="H119" i="47"/>
  <c r="H110" i="47"/>
  <c r="L128" i="47"/>
  <c r="P109" i="47"/>
  <c r="G100" i="47"/>
  <c r="G109" i="47"/>
  <c r="H118" i="47"/>
  <c r="C100" i="47"/>
  <c r="D109" i="47"/>
  <c r="D118" i="47"/>
  <c r="CH143" i="47"/>
  <c r="CH144" i="47" s="1"/>
  <c r="CH99" i="47"/>
  <c r="CH183" i="47" s="1"/>
  <c r="CH108" i="47"/>
  <c r="CC117" i="47"/>
  <c r="CD127" i="47"/>
  <c r="CC143" i="47"/>
  <c r="BX99" i="47"/>
  <c r="BX183" i="47" s="1"/>
  <c r="BX108" i="47"/>
  <c r="BY127" i="47"/>
  <c r="BT26" i="47"/>
  <c r="BE26" i="47"/>
  <c r="BE50" i="47" s="1"/>
  <c r="AO26" i="47"/>
  <c r="AO49" i="47" s="1"/>
  <c r="U110" i="47"/>
  <c r="U101" i="47"/>
  <c r="O26" i="47"/>
  <c r="O52" i="47" s="1"/>
  <c r="O109" i="47"/>
  <c r="O100" i="47"/>
  <c r="T109" i="47"/>
  <c r="I26" i="47"/>
  <c r="I52" i="47" s="1"/>
  <c r="E26" i="47"/>
  <c r="E52" i="47" s="1"/>
  <c r="CJ45" i="47"/>
  <c r="CJ56" i="47"/>
  <c r="BJ45" i="47"/>
  <c r="BJ56" i="47"/>
  <c r="BG19" i="47"/>
  <c r="BE61" i="47" s="1"/>
  <c r="BZ26" i="46"/>
  <c r="V23" i="46"/>
  <c r="CD26" i="46"/>
  <c r="BT26" i="46"/>
  <c r="AM19" i="46"/>
  <c r="BY18" i="46"/>
  <c r="BR10" i="46"/>
  <c r="AX10" i="46"/>
  <c r="K130" i="47"/>
  <c r="P122" i="47"/>
  <c r="D120" i="47"/>
  <c r="Q110" i="47"/>
  <c r="BC27" i="46"/>
  <c r="AN27" i="46"/>
  <c r="C23" i="46"/>
  <c r="AB21" i="46"/>
  <c r="BO27" i="46"/>
  <c r="BJ27" i="46"/>
  <c r="BB17" i="46"/>
  <c r="CH18" i="46"/>
  <c r="CA16" i="46"/>
  <c r="H31" i="46"/>
  <c r="D31" i="46"/>
  <c r="CA14" i="46"/>
  <c r="Z27" i="46"/>
  <c r="CF13" i="46"/>
  <c r="CC10" i="46"/>
  <c r="BG8" i="46"/>
  <c r="CE132" i="47"/>
  <c r="AV132" i="47"/>
  <c r="CI127" i="47"/>
  <c r="D119" i="47"/>
  <c r="P118" i="47"/>
  <c r="CC103" i="47"/>
  <c r="CC184" i="47" s="1"/>
  <c r="G73" i="47"/>
  <c r="CB10" i="46"/>
  <c r="Q75" i="47"/>
  <c r="T26" i="47"/>
  <c r="T52" i="47" s="1"/>
  <c r="BO45" i="47"/>
  <c r="AI45" i="47"/>
  <c r="CG26" i="47"/>
  <c r="AI44" i="47"/>
  <c r="BZ117" i="47"/>
  <c r="P69" i="47"/>
  <c r="I74" i="47"/>
  <c r="H73" i="47"/>
  <c r="D73" i="47"/>
  <c r="BH51" i="47"/>
  <c r="BH52" i="47" s="1"/>
  <c r="AS44" i="47"/>
  <c r="BF149" i="47"/>
  <c r="D74" i="47"/>
  <c r="BF26" i="47"/>
  <c r="BF50" i="47" s="1"/>
  <c r="BA26" i="47"/>
  <c r="BA51" i="47" s="1"/>
  <c r="BC22" i="43"/>
  <c r="BC25" i="43"/>
  <c r="BC20" i="43"/>
  <c r="AH41" i="44"/>
  <c r="AH55" i="44" s="1"/>
  <c r="AH61" i="44" s="1"/>
  <c r="J20" i="43"/>
  <c r="J22" i="43"/>
  <c r="J32" i="43" s="1"/>
  <c r="J25" i="43"/>
  <c r="CL25" i="43"/>
  <c r="CL20" i="43"/>
  <c r="CL22" i="43"/>
  <c r="G49" i="44"/>
  <c r="G62" i="44" s="1"/>
  <c r="AI165" i="43"/>
  <c r="AI66" i="47"/>
  <c r="AV72" i="47"/>
  <c r="AV69" i="47"/>
  <c r="AK165" i="43"/>
  <c r="AK65" i="47"/>
  <c r="AP72" i="47" s="1"/>
  <c r="M65" i="47"/>
  <c r="N65" i="47" s="1"/>
  <c r="M15" i="46"/>
  <c r="AR85" i="47"/>
  <c r="AR145" i="47" s="1"/>
  <c r="AS132" i="47"/>
  <c r="AQ145" i="47"/>
  <c r="AQ122" i="47"/>
  <c r="AV122" i="47"/>
  <c r="AQ132" i="47"/>
  <c r="AB143" i="47"/>
  <c r="AB127" i="47"/>
  <c r="AD127" i="47"/>
  <c r="BM19" i="47"/>
  <c r="BM8" i="46"/>
  <c r="BM27" i="46" s="1"/>
  <c r="AB13" i="47"/>
  <c r="AC13" i="47" s="1"/>
  <c r="AB7" i="46"/>
  <c r="AW23" i="44"/>
  <c r="AV70" i="44"/>
  <c r="AC22" i="44"/>
  <c r="AB29" i="44"/>
  <c r="AB34" i="44" s="1"/>
  <c r="AW7" i="44"/>
  <c r="AW53" i="44" s="1"/>
  <c r="AW54" i="44" s="1"/>
  <c r="AV53" i="44"/>
  <c r="AV54" i="44" s="1"/>
  <c r="CA26" i="43"/>
  <c r="CA23" i="43"/>
  <c r="CD25" i="43"/>
  <c r="CD20" i="43"/>
  <c r="AX20" i="43"/>
  <c r="AX22" i="43"/>
  <c r="AI22" i="43"/>
  <c r="AI32" i="43" s="1"/>
  <c r="AI25" i="43"/>
  <c r="F22" i="43"/>
  <c r="F32" i="43" s="1"/>
  <c r="F25" i="43"/>
  <c r="AW12" i="43"/>
  <c r="AW15" i="43" s="1"/>
  <c r="AW18" i="43" s="1"/>
  <c r="AW25" i="43" s="1"/>
  <c r="BV258" i="43"/>
  <c r="BL205" i="43"/>
  <c r="AC205" i="43"/>
  <c r="AH205" i="43"/>
  <c r="AH48" i="44"/>
  <c r="AH49" i="44" s="1"/>
  <c r="N205" i="43"/>
  <c r="N48" i="44"/>
  <c r="N49" i="44" s="1"/>
  <c r="O49" i="44" s="1"/>
  <c r="F205" i="43"/>
  <c r="F48" i="44"/>
  <c r="F49" i="44" s="1"/>
  <c r="F62" i="44" s="1"/>
  <c r="I205" i="43"/>
  <c r="I47" i="44"/>
  <c r="I49" i="44" s="1"/>
  <c r="BL201" i="43"/>
  <c r="BB201" i="43"/>
  <c r="AB201" i="43"/>
  <c r="AB40" i="45" s="1"/>
  <c r="AB41" i="45" s="1"/>
  <c r="W189" i="43"/>
  <c r="X184" i="43"/>
  <c r="BU165" i="43"/>
  <c r="BO165" i="43"/>
  <c r="BE165" i="43"/>
  <c r="AZ165" i="43"/>
  <c r="AS165" i="43"/>
  <c r="M165" i="43"/>
  <c r="R68" i="47"/>
  <c r="S68" i="47" s="1"/>
  <c r="R22" i="46"/>
  <c r="BU74" i="47"/>
  <c r="BK165" i="43"/>
  <c r="BK67" i="47"/>
  <c r="BC74" i="47"/>
  <c r="BG67" i="47"/>
  <c r="AN74" i="47"/>
  <c r="Y165" i="43"/>
  <c r="Y67" i="47"/>
  <c r="CJ162" i="43"/>
  <c r="CJ67" i="47" s="1"/>
  <c r="CK67" i="47" s="1"/>
  <c r="CJ20" i="46"/>
  <c r="CJ27" i="46" s="1"/>
  <c r="BQ162" i="43"/>
  <c r="AW162" i="43"/>
  <c r="AD162" i="43"/>
  <c r="AD67" i="47" s="1"/>
  <c r="AI74" i="47" s="1"/>
  <c r="AD19" i="46"/>
  <c r="BO73" i="47"/>
  <c r="BA73" i="47"/>
  <c r="AP165" i="43"/>
  <c r="AP66" i="47"/>
  <c r="AU73" i="47" s="1"/>
  <c r="AL165" i="43"/>
  <c r="W66" i="47"/>
  <c r="X66" i="47" s="1"/>
  <c r="W18" i="46"/>
  <c r="CJ158" i="43"/>
  <c r="CJ66" i="47" s="1"/>
  <c r="CK66" i="47" s="1"/>
  <c r="CJ16" i="46"/>
  <c r="BQ158" i="43"/>
  <c r="CE72" i="47"/>
  <c r="BI72" i="47"/>
  <c r="AJ69" i="47"/>
  <c r="AJ72" i="47"/>
  <c r="Y72" i="47"/>
  <c r="J149" i="43"/>
  <c r="AQ148" i="43"/>
  <c r="E148" i="43"/>
  <c r="E149" i="43" s="1"/>
  <c r="W118" i="47"/>
  <c r="W100" i="47"/>
  <c r="AS127" i="47"/>
  <c r="AQ143" i="47"/>
  <c r="AV117" i="47"/>
  <c r="AQ127" i="47"/>
  <c r="AQ117" i="47"/>
  <c r="T143" i="43"/>
  <c r="T80" i="47" s="1"/>
  <c r="W80" i="47"/>
  <c r="AG84" i="47"/>
  <c r="AG86" i="47" s="1"/>
  <c r="AG94" i="47" s="1"/>
  <c r="AG142" i="47"/>
  <c r="AE139" i="43"/>
  <c r="N139" i="43"/>
  <c r="AG25" i="47"/>
  <c r="AH25" i="47" s="1"/>
  <c r="AG9" i="46"/>
  <c r="AH9" i="46" s="1"/>
  <c r="AQ19" i="47"/>
  <c r="AQ8" i="46"/>
  <c r="AQ27" i="46" s="1"/>
  <c r="Y56" i="47"/>
  <c r="W45" i="47"/>
  <c r="W56" i="47"/>
  <c r="BL138" i="43"/>
  <c r="AQ13" i="47"/>
  <c r="AQ107" i="47" s="1"/>
  <c r="AQ7" i="46"/>
  <c r="AQ26" i="46" s="1"/>
  <c r="W44" i="47"/>
  <c r="W55" i="47"/>
  <c r="BK118" i="43"/>
  <c r="BL118" i="43" s="1"/>
  <c r="P118" i="43"/>
  <c r="P122" i="43" s="1"/>
  <c r="BZ118" i="43"/>
  <c r="CA118" i="43" s="1"/>
  <c r="CL99" i="43"/>
  <c r="CL122" i="43" s="1"/>
  <c r="AX99" i="43"/>
  <c r="AX122" i="43" s="1"/>
  <c r="T99" i="43"/>
  <c r="T122" i="43" s="1"/>
  <c r="S35" i="44"/>
  <c r="S41" i="44" s="1"/>
  <c r="R41" i="44"/>
  <c r="R55" i="44" s="1"/>
  <c r="AU72" i="43"/>
  <c r="O72" i="43"/>
  <c r="O73" i="43" s="1"/>
  <c r="D65" i="43"/>
  <c r="D72" i="43" s="1"/>
  <c r="D73" i="43" s="1"/>
  <c r="D32" i="44"/>
  <c r="BB30" i="44"/>
  <c r="BB56" i="44" s="1"/>
  <c r="BB57" i="44" s="1"/>
  <c r="BA56" i="44"/>
  <c r="AH30" i="44"/>
  <c r="AH56" i="44" s="1"/>
  <c r="AG56" i="44"/>
  <c r="AA72" i="43"/>
  <c r="AA73" i="43" s="1"/>
  <c r="X23" i="44"/>
  <c r="Y70" i="44" s="1"/>
  <c r="W70" i="44"/>
  <c r="AR22" i="44"/>
  <c r="AR29" i="44" s="1"/>
  <c r="AQ29" i="44"/>
  <c r="AQ34" i="44" s="1"/>
  <c r="X22" i="44"/>
  <c r="AC50" i="43"/>
  <c r="AB50" i="43" s="1"/>
  <c r="AV44" i="43"/>
  <c r="AV13" i="44" s="1"/>
  <c r="AW13" i="44" s="1"/>
  <c r="AW211" i="43" s="1"/>
  <c r="BH50" i="43"/>
  <c r="CI43" i="43"/>
  <c r="CI50" i="43" s="1"/>
  <c r="CI10" i="44"/>
  <c r="CI12" i="44" s="1"/>
  <c r="CI19" i="44" s="1"/>
  <c r="AR8" i="44"/>
  <c r="AS69" i="44" s="1"/>
  <c r="AQ69" i="44"/>
  <c r="X8" i="44"/>
  <c r="Y69" i="44" s="1"/>
  <c r="W69" i="44"/>
  <c r="AR7" i="44"/>
  <c r="AR53" i="44" s="1"/>
  <c r="AQ53" i="44"/>
  <c r="X7" i="44"/>
  <c r="X53" i="44" s="1"/>
  <c r="W12" i="44"/>
  <c r="W19" i="44" s="1"/>
  <c r="W53" i="44"/>
  <c r="AG26" i="43"/>
  <c r="AQ23" i="43"/>
  <c r="AQ34" i="45"/>
  <c r="CE24" i="43"/>
  <c r="CE27" i="43"/>
  <c r="BN24" i="43"/>
  <c r="BN27" i="43"/>
  <c r="AI20" i="43"/>
  <c r="F20" i="43"/>
  <c r="BN22" i="43"/>
  <c r="BN25" i="43"/>
  <c r="BZ20" i="43"/>
  <c r="BZ25" i="43"/>
  <c r="BZ22" i="43"/>
  <c r="AO12" i="43"/>
  <c r="AO15" i="43" s="1"/>
  <c r="AO18" i="43" s="1"/>
  <c r="S12" i="43"/>
  <c r="N12" i="43"/>
  <c r="M8" i="43"/>
  <c r="W71" i="44"/>
  <c r="W72" i="44" s="1"/>
  <c r="AG71" i="44"/>
  <c r="AG72" i="44" s="1"/>
  <c r="BA70" i="44"/>
  <c r="C57" i="44"/>
  <c r="BS41" i="44"/>
  <c r="BS55" i="44" s="1"/>
  <c r="BA71" i="44"/>
  <c r="BA72" i="44" s="1"/>
  <c r="W68" i="47"/>
  <c r="X68" i="47" s="1"/>
  <c r="W22" i="46"/>
  <c r="M21" i="46"/>
  <c r="M67" i="47"/>
  <c r="N67" i="47" s="1"/>
  <c r="AH161" i="43"/>
  <c r="AD20" i="46"/>
  <c r="AH20" i="46" s="1"/>
  <c r="AQ165" i="43"/>
  <c r="AQ66" i="47"/>
  <c r="CB165" i="43"/>
  <c r="CB65" i="47"/>
  <c r="CB72" i="47" s="1"/>
  <c r="BR165" i="43"/>
  <c r="BR65" i="47"/>
  <c r="BV65" i="47" s="1"/>
  <c r="BE69" i="47"/>
  <c r="BE72" i="47"/>
  <c r="R132" i="47"/>
  <c r="R122" i="47"/>
  <c r="AB19" i="47"/>
  <c r="AB8" i="46"/>
  <c r="AB27" i="46" s="1"/>
  <c r="AT13" i="47"/>
  <c r="AT7" i="46"/>
  <c r="AT26" i="46" s="1"/>
  <c r="L122" i="43"/>
  <c r="S30" i="44"/>
  <c r="S56" i="44" s="1"/>
  <c r="R56" i="44"/>
  <c r="AW22" i="44"/>
  <c r="AV29" i="44"/>
  <c r="AV34" i="44" s="1"/>
  <c r="BG26" i="43"/>
  <c r="BG23" i="43"/>
  <c r="AB53" i="44"/>
  <c r="AB54" i="44" s="1"/>
  <c r="BV222" i="43"/>
  <c r="AR219" i="43"/>
  <c r="BB205" i="43"/>
  <c r="BM165" i="43"/>
  <c r="BD165" i="43"/>
  <c r="AV165" i="43"/>
  <c r="M68" i="47"/>
  <c r="M22" i="46"/>
  <c r="AX74" i="47"/>
  <c r="AG165" i="43"/>
  <c r="AG67" i="47"/>
  <c r="AG74" i="47" s="1"/>
  <c r="W67" i="47"/>
  <c r="AB74" i="47" s="1"/>
  <c r="W21" i="46"/>
  <c r="CH69" i="47"/>
  <c r="AO73" i="47"/>
  <c r="AT73" i="47"/>
  <c r="AA165" i="43"/>
  <c r="AA66" i="47"/>
  <c r="AA73" i="47" s="1"/>
  <c r="R66" i="47"/>
  <c r="R18" i="46"/>
  <c r="BT72" i="47"/>
  <c r="AX165" i="43"/>
  <c r="AX65" i="47"/>
  <c r="AX72" i="47" s="1"/>
  <c r="AB165" i="43"/>
  <c r="AB65" i="47"/>
  <c r="W165" i="43"/>
  <c r="W65" i="47"/>
  <c r="W15" i="46"/>
  <c r="BV154" i="43"/>
  <c r="BB154" i="43"/>
  <c r="BB184" i="43" s="1"/>
  <c r="AJ149" i="43"/>
  <c r="CK148" i="43"/>
  <c r="BQ148" i="43"/>
  <c r="AW148" i="43"/>
  <c r="R138" i="43"/>
  <c r="R139" i="43" s="1"/>
  <c r="AB25" i="47"/>
  <c r="AC25" i="47" s="1"/>
  <c r="AB9" i="46"/>
  <c r="M26" i="47"/>
  <c r="AM138" i="43"/>
  <c r="BV138" i="43"/>
  <c r="AM118" i="43"/>
  <c r="AU99" i="43"/>
  <c r="AU122" i="43" s="1"/>
  <c r="AY99" i="43"/>
  <c r="AY122" i="43" s="1"/>
  <c r="BN99" i="43"/>
  <c r="BN122" i="43" s="1"/>
  <c r="BJ99" i="43"/>
  <c r="F99" i="43"/>
  <c r="F122" i="43" s="1"/>
  <c r="BP72" i="43"/>
  <c r="CK71" i="43"/>
  <c r="BQ71" i="43"/>
  <c r="BY72" i="43"/>
  <c r="BI72" i="43"/>
  <c r="AC65" i="43"/>
  <c r="U72" i="43"/>
  <c r="U73" i="43" s="1"/>
  <c r="AW30" i="44"/>
  <c r="AW56" i="44" s="1"/>
  <c r="AV56" i="44"/>
  <c r="AC30" i="44"/>
  <c r="AC56" i="44" s="1"/>
  <c r="AC57" i="44" s="1"/>
  <c r="AB56" i="44"/>
  <c r="AI72" i="43"/>
  <c r="AI73" i="43" s="1"/>
  <c r="AE72" i="43"/>
  <c r="AE73" i="43" s="1"/>
  <c r="K72" i="43"/>
  <c r="K73" i="43" s="1"/>
  <c r="CC60" i="43"/>
  <c r="CC65" i="43" s="1"/>
  <c r="CC72" i="43" s="1"/>
  <c r="CC27" i="44"/>
  <c r="CC29" i="44" s="1"/>
  <c r="CC34" i="44" s="1"/>
  <c r="BR60" i="43"/>
  <c r="BR65" i="43" s="1"/>
  <c r="BR72" i="43" s="1"/>
  <c r="BR27" i="44"/>
  <c r="BR29" i="44" s="1"/>
  <c r="BR34" i="44" s="1"/>
  <c r="BG23" i="44"/>
  <c r="BF70" i="44"/>
  <c r="S23" i="44"/>
  <c r="T70" i="44" s="1"/>
  <c r="R70" i="44"/>
  <c r="AX50" i="43"/>
  <c r="AT50" i="43"/>
  <c r="CC43" i="43"/>
  <c r="CC50" i="43" s="1"/>
  <c r="CC10" i="44"/>
  <c r="CC12" i="44" s="1"/>
  <c r="CC19" i="44" s="1"/>
  <c r="BG9" i="44"/>
  <c r="BH71" i="44" s="1"/>
  <c r="BH72" i="44" s="1"/>
  <c r="BF71" i="44"/>
  <c r="BF72" i="44" s="1"/>
  <c r="BG8" i="44"/>
  <c r="BH69" i="44" s="1"/>
  <c r="BF69" i="44"/>
  <c r="AG23" i="43"/>
  <c r="AG34" i="45"/>
  <c r="AG23" i="45" s="1"/>
  <c r="CD22" i="43"/>
  <c r="AP20" i="43"/>
  <c r="AP22" i="43"/>
  <c r="CH20" i="43"/>
  <c r="CH22" i="43"/>
  <c r="AA20" i="43"/>
  <c r="AA22" i="43"/>
  <c r="AA32" i="43" s="1"/>
  <c r="CI25" i="43"/>
  <c r="CI20" i="43"/>
  <c r="CI22" i="43"/>
  <c r="AT25" i="43"/>
  <c r="AT20" i="43"/>
  <c r="BF20" i="43"/>
  <c r="BF22" i="43"/>
  <c r="R71" i="44"/>
  <c r="R72" i="44" s="1"/>
  <c r="Z57" i="44"/>
  <c r="BA53" i="44"/>
  <c r="BA54" i="44" s="1"/>
  <c r="M53" i="44"/>
  <c r="M54" i="44" s="1"/>
  <c r="BL49" i="44"/>
  <c r="AR49" i="44"/>
  <c r="BN41" i="44"/>
  <c r="BN55" i="44" s="1"/>
  <c r="BN61" i="44" s="1"/>
  <c r="AF29" i="44"/>
  <c r="AF34" i="44" s="1"/>
  <c r="AF70" i="44"/>
  <c r="L29" i="44"/>
  <c r="L34" i="44" s="1"/>
  <c r="L70" i="44"/>
  <c r="M70" i="44"/>
  <c r="D70" i="44"/>
  <c r="E70" i="44"/>
  <c r="CE13" i="44"/>
  <c r="CF13" i="44" s="1"/>
  <c r="CF211" i="43" s="1"/>
  <c r="CF209" i="43" s="1"/>
  <c r="AM49" i="44"/>
  <c r="AM62" i="44" s="1"/>
  <c r="BX165" i="43"/>
  <c r="BX65" i="47"/>
  <c r="BX72" i="47" s="1"/>
  <c r="BN165" i="43"/>
  <c r="BN65" i="47"/>
  <c r="AZ69" i="47"/>
  <c r="AZ72" i="47"/>
  <c r="AO165" i="43"/>
  <c r="AO65" i="47"/>
  <c r="Z165" i="43"/>
  <c r="Z65" i="47"/>
  <c r="AW133" i="43"/>
  <c r="AT19" i="47"/>
  <c r="AT99" i="47" s="1"/>
  <c r="AT8" i="46"/>
  <c r="BM13" i="47"/>
  <c r="BM7" i="46"/>
  <c r="X35" i="44"/>
  <c r="W41" i="44"/>
  <c r="W55" i="44" s="1"/>
  <c r="BG30" i="44"/>
  <c r="BG56" i="44" s="1"/>
  <c r="BF56" i="44"/>
  <c r="BF57" i="44" s="1"/>
  <c r="Q72" i="43"/>
  <c r="Q73" i="43" s="1"/>
  <c r="AS60" i="43"/>
  <c r="AS65" i="43" s="1"/>
  <c r="AS72" i="43" s="1"/>
  <c r="AS27" i="44"/>
  <c r="AS29" i="44" s="1"/>
  <c r="AC23" i="44"/>
  <c r="AD70" i="44" s="1"/>
  <c r="AB70" i="44"/>
  <c r="AW8" i="44"/>
  <c r="AX69" i="44" s="1"/>
  <c r="AV69" i="44"/>
  <c r="CA280" i="43"/>
  <c r="BV205" i="43"/>
  <c r="C205" i="43"/>
  <c r="X205" i="43"/>
  <c r="X48" i="44"/>
  <c r="X49" i="44" s="1"/>
  <c r="H205" i="43"/>
  <c r="D205" i="43"/>
  <c r="D48" i="44"/>
  <c r="D49" i="44" s="1"/>
  <c r="D62" i="44" s="1"/>
  <c r="D63" i="44" s="1"/>
  <c r="BG205" i="43"/>
  <c r="BG47" i="44"/>
  <c r="BG49" i="44" s="1"/>
  <c r="AM205" i="43"/>
  <c r="S205" i="43"/>
  <c r="S47" i="44"/>
  <c r="S49" i="44" s="1"/>
  <c r="G205" i="43"/>
  <c r="BG201" i="43"/>
  <c r="AV201" i="43"/>
  <c r="AV40" i="45" s="1"/>
  <c r="AW40" i="45" s="1"/>
  <c r="AW41" i="45" s="1"/>
  <c r="CA187" i="43"/>
  <c r="BV187" i="43"/>
  <c r="F184" i="43"/>
  <c r="I177" i="43"/>
  <c r="N177" i="43"/>
  <c r="BY165" i="43"/>
  <c r="BI165" i="43"/>
  <c r="BC165" i="43"/>
  <c r="AJ165" i="43"/>
  <c r="BE74" i="47"/>
  <c r="AV74" i="47"/>
  <c r="AP74" i="47"/>
  <c r="AU74" i="47"/>
  <c r="R21" i="46"/>
  <c r="R67" i="47"/>
  <c r="S67" i="47" s="1"/>
  <c r="BX73" i="47"/>
  <c r="BR73" i="47"/>
  <c r="BW73" i="47"/>
  <c r="AE165" i="43"/>
  <c r="AE66" i="47"/>
  <c r="AE69" i="47" s="1"/>
  <c r="M66" i="47"/>
  <c r="N66" i="47" s="1"/>
  <c r="N73" i="47" s="1"/>
  <c r="M18" i="46"/>
  <c r="BV158" i="43"/>
  <c r="BB158" i="43"/>
  <c r="AH157" i="43"/>
  <c r="AD17" i="46"/>
  <c r="BY69" i="47"/>
  <c r="BY72" i="47"/>
  <c r="BS69" i="47"/>
  <c r="BJ165" i="43"/>
  <c r="BJ65" i="47"/>
  <c r="BJ69" i="47" s="1"/>
  <c r="BF165" i="43"/>
  <c r="BF65" i="47"/>
  <c r="BK72" i="47" s="1"/>
  <c r="AF165" i="43"/>
  <c r="AF65" i="47"/>
  <c r="AF72" i="47" s="1"/>
  <c r="R65" i="47"/>
  <c r="S65" i="47" s="1"/>
  <c r="R15" i="46"/>
  <c r="CK13" i="46"/>
  <c r="CJ15" i="46"/>
  <c r="CO15" i="46" s="1"/>
  <c r="CO13" i="46" s="1"/>
  <c r="W148" i="43"/>
  <c r="W132" i="47"/>
  <c r="W145" i="47"/>
  <c r="Y132" i="47"/>
  <c r="W122" i="47"/>
  <c r="F148" i="43"/>
  <c r="F149" i="43" s="1"/>
  <c r="F85" i="47"/>
  <c r="F122" i="47" s="1"/>
  <c r="W111" i="47"/>
  <c r="R101" i="47"/>
  <c r="R119" i="47"/>
  <c r="BV148" i="43"/>
  <c r="BB148" i="43"/>
  <c r="AG117" i="47"/>
  <c r="AL117" i="47"/>
  <c r="AG127" i="47"/>
  <c r="AG143" i="47"/>
  <c r="AI127" i="47"/>
  <c r="AV116" i="47"/>
  <c r="AQ142" i="47"/>
  <c r="W107" i="47"/>
  <c r="U139" i="43"/>
  <c r="AQ138" i="43"/>
  <c r="AQ139" i="43" s="1"/>
  <c r="AQ25" i="47"/>
  <c r="AR25" i="47" s="1"/>
  <c r="AQ9" i="46"/>
  <c r="AR9" i="46" s="1"/>
  <c r="BQ133" i="43"/>
  <c r="AG19" i="47"/>
  <c r="AG8" i="46"/>
  <c r="AG27" i="46" s="1"/>
  <c r="BQ132" i="43"/>
  <c r="BO13" i="47"/>
  <c r="BP55" i="47" s="1"/>
  <c r="BO7" i="46"/>
  <c r="AG13" i="47"/>
  <c r="AG55" i="47" s="1"/>
  <c r="AG7" i="46"/>
  <c r="AH7" i="46" s="1"/>
  <c r="AR118" i="43"/>
  <c r="AQ118" i="43" s="1"/>
  <c r="CH118" i="43"/>
  <c r="BU99" i="43"/>
  <c r="BV99" i="43" s="1"/>
  <c r="BR99" i="43"/>
  <c r="BR122" i="43" s="1"/>
  <c r="V99" i="43"/>
  <c r="V122" i="43" s="1"/>
  <c r="AR36" i="44"/>
  <c r="AR41" i="44" s="1"/>
  <c r="AR55" i="44" s="1"/>
  <c r="AQ41" i="44"/>
  <c r="AQ55" i="44" s="1"/>
  <c r="AC35" i="44"/>
  <c r="AC41" i="44" s="1"/>
  <c r="AB41" i="44"/>
  <c r="AB55" i="44" s="1"/>
  <c r="CG72" i="43"/>
  <c r="BM72" i="43"/>
  <c r="Z72" i="43"/>
  <c r="Z73" i="43" s="1"/>
  <c r="C65" i="43"/>
  <c r="C72" i="43" s="1"/>
  <c r="C73" i="43" s="1"/>
  <c r="F65" i="43"/>
  <c r="F72" i="43" s="1"/>
  <c r="F73" i="43" s="1"/>
  <c r="F32" i="44"/>
  <c r="AR30" i="44"/>
  <c r="AR56" i="44" s="1"/>
  <c r="AQ56" i="44"/>
  <c r="X30" i="44"/>
  <c r="X56" i="44" s="1"/>
  <c r="W56" i="44"/>
  <c r="CK44" i="43"/>
  <c r="CJ13" i="44"/>
  <c r="CK13" i="44" s="1"/>
  <c r="CK211" i="43" s="1"/>
  <c r="CK209" i="43" s="1"/>
  <c r="BI50" i="43"/>
  <c r="BI13" i="44"/>
  <c r="BJ50" i="43"/>
  <c r="CK41" i="43"/>
  <c r="CK43" i="43" s="1"/>
  <c r="CG43" i="43"/>
  <c r="CG50" i="43" s="1"/>
  <c r="CG10" i="44"/>
  <c r="CG12" i="44" s="1"/>
  <c r="CG19" i="44" s="1"/>
  <c r="BC69" i="44"/>
  <c r="AH8" i="44"/>
  <c r="AI69" i="44" s="1"/>
  <c r="AG69" i="44"/>
  <c r="AH7" i="44"/>
  <c r="AH53" i="44" s="1"/>
  <c r="AG53" i="44"/>
  <c r="W26" i="43"/>
  <c r="X35" i="45"/>
  <c r="C25" i="43"/>
  <c r="Y19" i="45"/>
  <c r="Y23" i="45" s="1"/>
  <c r="Y23" i="43"/>
  <c r="AB19" i="43"/>
  <c r="CE22" i="43"/>
  <c r="CE25" i="43"/>
  <c r="BO20" i="43"/>
  <c r="BO22" i="43"/>
  <c r="BO25" i="43"/>
  <c r="BJ20" i="43"/>
  <c r="BJ25" i="43"/>
  <c r="BJ22" i="43"/>
  <c r="AY25" i="43"/>
  <c r="AY20" i="43"/>
  <c r="AY22" i="43"/>
  <c r="AD12" i="43"/>
  <c r="AD15" i="43" s="1"/>
  <c r="AD18" i="43" s="1"/>
  <c r="M71" i="44"/>
  <c r="M72" i="44" s="1"/>
  <c r="AG67" i="45"/>
  <c r="AL60" i="45"/>
  <c r="AI67" i="45"/>
  <c r="AG60" i="45"/>
  <c r="M8" i="45"/>
  <c r="M51" i="45" s="1"/>
  <c r="M67" i="45"/>
  <c r="O67" i="45"/>
  <c r="K50" i="44"/>
  <c r="H48" i="44"/>
  <c r="H49" i="44" s="1"/>
  <c r="H62" i="44" s="1"/>
  <c r="H63" i="44" s="1"/>
  <c r="Q12" i="43"/>
  <c r="Q15" i="43" s="1"/>
  <c r="Q18" i="43" s="1"/>
  <c r="Q20" i="43" s="1"/>
  <c r="CF8" i="43"/>
  <c r="CF12" i="43" s="1"/>
  <c r="CF15" i="43" s="1"/>
  <c r="CF18" i="43" s="1"/>
  <c r="CF20" i="43" s="1"/>
  <c r="BL8" i="43"/>
  <c r="BL12" i="43" s="1"/>
  <c r="BL15" i="43" s="1"/>
  <c r="BL18" i="43" s="1"/>
  <c r="BL22" i="43" s="1"/>
  <c r="AQ7" i="43"/>
  <c r="AQ7" i="45" s="1"/>
  <c r="AR7" i="45" s="1"/>
  <c r="AB8" i="45"/>
  <c r="AB51" i="45" s="1"/>
  <c r="AB60" i="45"/>
  <c r="AD67" i="45"/>
  <c r="BX57" i="44"/>
  <c r="AO57" i="44"/>
  <c r="T57" i="44"/>
  <c r="P57" i="44"/>
  <c r="D57" i="44"/>
  <c r="CI41" i="44"/>
  <c r="CI55" i="44" s="1"/>
  <c r="CI58" i="44" s="1"/>
  <c r="AE29" i="44"/>
  <c r="AE34" i="44" s="1"/>
  <c r="AQ27" i="45"/>
  <c r="S13" i="45"/>
  <c r="R23" i="43"/>
  <c r="R19" i="45"/>
  <c r="AQ60" i="45"/>
  <c r="AS67" i="45"/>
  <c r="AV60" i="45"/>
  <c r="W67" i="45"/>
  <c r="Y67" i="45"/>
  <c r="BJ57" i="44"/>
  <c r="AJ57" i="44"/>
  <c r="AF57" i="44"/>
  <c r="H57" i="44"/>
  <c r="BR41" i="44"/>
  <c r="BR55" i="44" s="1"/>
  <c r="BR58" i="44" s="1"/>
  <c r="BQ35" i="44"/>
  <c r="BP41" i="44"/>
  <c r="BP55" i="44" s="1"/>
  <c r="V29" i="44"/>
  <c r="V34" i="44" s="1"/>
  <c r="K12" i="44"/>
  <c r="K19" i="44" s="1"/>
  <c r="G12" i="44"/>
  <c r="G19" i="44" s="1"/>
  <c r="O34" i="46"/>
  <c r="J23" i="46"/>
  <c r="X32" i="46"/>
  <c r="S32" i="46"/>
  <c r="S23" i="46"/>
  <c r="BE18" i="46"/>
  <c r="BE27" i="46"/>
  <c r="CA43" i="43"/>
  <c r="CA50" i="43" s="1"/>
  <c r="AM43" i="43"/>
  <c r="AM50" i="43" s="1"/>
  <c r="W23" i="43"/>
  <c r="W34" i="45"/>
  <c r="AG52" i="45"/>
  <c r="M52" i="45"/>
  <c r="AG53" i="45"/>
  <c r="M53" i="45"/>
  <c r="CH57" i="44"/>
  <c r="BR57" i="44"/>
  <c r="BE57" i="44"/>
  <c r="V57" i="44"/>
  <c r="L57" i="44"/>
  <c r="BQ49" i="44"/>
  <c r="BR49" i="44" s="1"/>
  <c r="AL41" i="44"/>
  <c r="AL55" i="44" s="1"/>
  <c r="Z41" i="44"/>
  <c r="Z55" i="44" s="1"/>
  <c r="T41" i="44"/>
  <c r="T55" i="44" s="1"/>
  <c r="T61" i="44" s="1"/>
  <c r="BH29" i="44"/>
  <c r="BH34" i="44" s="1"/>
  <c r="O29" i="44"/>
  <c r="O34" i="44" s="1"/>
  <c r="C12" i="44"/>
  <c r="C19" i="44" s="1"/>
  <c r="H29" i="44"/>
  <c r="H34" i="44" s="1"/>
  <c r="BE12" i="44"/>
  <c r="BE19" i="44" s="1"/>
  <c r="AA23" i="45"/>
  <c r="Z15" i="46"/>
  <c r="BZ149" i="47"/>
  <c r="CL41" i="44"/>
  <c r="CL55" i="44" s="1"/>
  <c r="CL61" i="44" s="1"/>
  <c r="BH41" i="44"/>
  <c r="BH55" i="44" s="1"/>
  <c r="K41" i="44"/>
  <c r="K55" i="44" s="1"/>
  <c r="K58" i="44" s="1"/>
  <c r="CJ29" i="44"/>
  <c r="CJ34" i="44" s="1"/>
  <c r="BP29" i="44"/>
  <c r="BP34" i="44" s="1"/>
  <c r="BT29" i="44"/>
  <c r="BT34" i="44" s="1"/>
  <c r="BO29" i="44"/>
  <c r="BO34" i="44" s="1"/>
  <c r="BJ29" i="44"/>
  <c r="BJ34" i="44" s="1"/>
  <c r="T29" i="44"/>
  <c r="T34" i="44" s="1"/>
  <c r="C29" i="44"/>
  <c r="C34" i="44" s="1"/>
  <c r="BI60" i="45"/>
  <c r="BI8" i="45"/>
  <c r="BI51" i="45" s="1"/>
  <c r="AT60" i="45"/>
  <c r="U60" i="45"/>
  <c r="BY21" i="46"/>
  <c r="BY52" i="46" s="1"/>
  <c r="BY26" i="46"/>
  <c r="AI18" i="46"/>
  <c r="AI48" i="46" s="1"/>
  <c r="AI26" i="46"/>
  <c r="Y18" i="46"/>
  <c r="Y26" i="46"/>
  <c r="BV49" i="44"/>
  <c r="BB49" i="44"/>
  <c r="CD41" i="44"/>
  <c r="CD55" i="44" s="1"/>
  <c r="CD58" i="44" s="1"/>
  <c r="BX29" i="44"/>
  <c r="BX34" i="44" s="1"/>
  <c r="BS29" i="44"/>
  <c r="BS34" i="44" s="1"/>
  <c r="BN29" i="44"/>
  <c r="BN34" i="44" s="1"/>
  <c r="BC12" i="44"/>
  <c r="BC19" i="44" s="1"/>
  <c r="Q12" i="44"/>
  <c r="Q19" i="44" s="1"/>
  <c r="E31" i="46"/>
  <c r="Z26" i="46"/>
  <c r="D23" i="46"/>
  <c r="L23" i="46"/>
  <c r="Q33" i="46"/>
  <c r="H23" i="46"/>
  <c r="H33" i="46"/>
  <c r="I33" i="46"/>
  <c r="D33" i="46"/>
  <c r="E33" i="46"/>
  <c r="CA37" i="45"/>
  <c r="BV37" i="45"/>
  <c r="AY41" i="45"/>
  <c r="M27" i="45"/>
  <c r="P23" i="46"/>
  <c r="CF19" i="46"/>
  <c r="CK17" i="46"/>
  <c r="BV17" i="46"/>
  <c r="BT18" i="46"/>
  <c r="AO15" i="46"/>
  <c r="AR13" i="46"/>
  <c r="AA10" i="46"/>
  <c r="AR7" i="46"/>
  <c r="AE98" i="47"/>
  <c r="AE107" i="47"/>
  <c r="AE116" i="47"/>
  <c r="AJ116" i="47"/>
  <c r="AE126" i="47"/>
  <c r="AF126" i="47"/>
  <c r="AE142" i="47"/>
  <c r="BO41" i="45"/>
  <c r="BE41" i="45"/>
  <c r="AZ41" i="45"/>
  <c r="BG16" i="46"/>
  <c r="BU15" i="46"/>
  <c r="BQ13" i="46"/>
  <c r="BP15" i="46"/>
  <c r="AX15" i="46"/>
  <c r="AS15" i="46"/>
  <c r="AT122" i="47"/>
  <c r="AO132" i="47"/>
  <c r="AP132" i="47"/>
  <c r="X85" i="47"/>
  <c r="X145" i="47" s="1"/>
  <c r="V132" i="47"/>
  <c r="V145" i="47"/>
  <c r="V122" i="47"/>
  <c r="AA122" i="47"/>
  <c r="AD99" i="47"/>
  <c r="AD103" i="47"/>
  <c r="AD108" i="47"/>
  <c r="AD117" i="47"/>
  <c r="AE127" i="47"/>
  <c r="AD143" i="47"/>
  <c r="AD150" i="47" s="1"/>
  <c r="X23" i="46"/>
  <c r="CF20" i="46"/>
  <c r="AV26" i="46"/>
  <c r="BI10" i="46"/>
  <c r="BL7" i="46"/>
  <c r="K23" i="46"/>
  <c r="BO21" i="46"/>
  <c r="AV27" i="46"/>
  <c r="CL21" i="46"/>
  <c r="CA19" i="46"/>
  <c r="BV19" i="46"/>
  <c r="BQ19" i="46"/>
  <c r="BJ21" i="46"/>
  <c r="AZ21" i="46"/>
  <c r="AR19" i="46"/>
  <c r="AA21" i="46"/>
  <c r="BV16" i="46"/>
  <c r="AW16" i="46"/>
  <c r="BV13" i="46"/>
  <c r="AW13" i="46"/>
  <c r="BC10" i="46"/>
  <c r="BH10" i="46"/>
  <c r="AN103" i="47"/>
  <c r="AN117" i="47"/>
  <c r="AI84" i="47"/>
  <c r="AI108" i="47"/>
  <c r="AI103" i="47"/>
  <c r="AI117" i="47"/>
  <c r="AO98" i="47"/>
  <c r="AO103" i="47"/>
  <c r="AO116" i="47"/>
  <c r="AJ98" i="47"/>
  <c r="AJ107" i="47"/>
  <c r="AJ103" i="47"/>
  <c r="AA107" i="47"/>
  <c r="V98" i="47"/>
  <c r="V107" i="47"/>
  <c r="V116" i="47"/>
  <c r="AW19" i="46"/>
  <c r="Z21" i="46"/>
  <c r="CF16" i="46"/>
  <c r="BW18" i="46"/>
  <c r="BB16" i="46"/>
  <c r="AC16" i="46"/>
  <c r="AI10" i="46"/>
  <c r="AN10" i="46"/>
  <c r="P84" i="47"/>
  <c r="P111" i="47"/>
  <c r="BC99" i="47"/>
  <c r="BC108" i="47"/>
  <c r="CH84" i="47"/>
  <c r="CH86" i="47" s="1"/>
  <c r="CH89" i="47" s="1"/>
  <c r="CH98" i="47"/>
  <c r="CH182" i="47" s="1"/>
  <c r="CH103" i="47"/>
  <c r="CH184" i="47" s="1"/>
  <c r="CH116" i="47"/>
  <c r="CC98" i="47"/>
  <c r="CC182" i="47" s="1"/>
  <c r="CC84" i="47"/>
  <c r="CA79" i="47"/>
  <c r="CA142" i="47" s="1"/>
  <c r="BX116" i="47"/>
  <c r="BS107" i="47"/>
  <c r="BS98" i="47"/>
  <c r="BS182" i="47" s="1"/>
  <c r="BS116" i="47"/>
  <c r="BI103" i="47"/>
  <c r="BI116" i="47"/>
  <c r="BI107" i="47"/>
  <c r="BD98" i="47"/>
  <c r="BD107" i="47"/>
  <c r="BD103" i="47"/>
  <c r="BD116" i="47"/>
  <c r="AY103" i="47"/>
  <c r="AY84" i="47"/>
  <c r="AY98" i="47"/>
  <c r="AT116" i="47"/>
  <c r="AC20" i="46"/>
  <c r="BH26" i="46"/>
  <c r="AX21" i="46"/>
  <c r="BL16" i="46"/>
  <c r="AH16" i="46"/>
  <c r="BG13" i="46"/>
  <c r="O84" i="47"/>
  <c r="O86" i="47" s="1"/>
  <c r="O92" i="47" s="1"/>
  <c r="O119" i="47"/>
  <c r="Y99" i="47"/>
  <c r="O111" i="47"/>
  <c r="BD49" i="47"/>
  <c r="BD50" i="47"/>
  <c r="T132" i="47"/>
  <c r="AM79" i="47"/>
  <c r="AM142" i="47" s="1"/>
  <c r="CD86" i="47"/>
  <c r="CD89" i="47" s="1"/>
  <c r="BE132" i="47"/>
  <c r="AZ132" i="47"/>
  <c r="AU132" i="47"/>
  <c r="U84" i="47"/>
  <c r="O75" i="47"/>
  <c r="F74" i="47"/>
  <c r="Y55" i="47"/>
  <c r="K102" i="47"/>
  <c r="D111" i="47"/>
  <c r="CL26" i="47"/>
  <c r="CL51" i="47" s="1"/>
  <c r="AX55" i="47"/>
  <c r="V55" i="47"/>
  <c r="CG44" i="47"/>
  <c r="Z44" i="47"/>
  <c r="BR26" i="47"/>
  <c r="Y26" i="47"/>
  <c r="Y50" i="47" s="1"/>
  <c r="BL25" i="47"/>
  <c r="BG25" i="47"/>
  <c r="AD26" i="47"/>
  <c r="AJ55" i="47"/>
  <c r="Z55" i="47"/>
  <c r="BD51" i="47"/>
  <c r="W40" i="47"/>
  <c r="CJ26" i="47"/>
  <c r="CK25" i="47"/>
  <c r="S22" i="47"/>
  <c r="CK19" i="47"/>
  <c r="CJ50" i="47"/>
  <c r="CL44" i="47"/>
  <c r="CB39" i="47"/>
  <c r="BN26" i="47"/>
  <c r="BN49" i="47" s="1"/>
  <c r="BW144" i="47"/>
  <c r="BW149" i="47"/>
  <c r="BW151" i="47"/>
  <c r="AX149" i="47"/>
  <c r="O128" i="47"/>
  <c r="M84" i="47"/>
  <c r="N81" i="47"/>
  <c r="R118" i="47"/>
  <c r="M100" i="47"/>
  <c r="M128" i="47"/>
  <c r="I109" i="47"/>
  <c r="I118" i="47"/>
  <c r="I100" i="47"/>
  <c r="E84" i="47"/>
  <c r="E109" i="47"/>
  <c r="E100" i="47"/>
  <c r="E118" i="47"/>
  <c r="CJ99" i="47"/>
  <c r="CJ183" i="47" s="1"/>
  <c r="CJ108" i="47"/>
  <c r="CJ103" i="47"/>
  <c r="CJ184" i="47" s="1"/>
  <c r="CJ127" i="47"/>
  <c r="CJ143" i="47"/>
  <c r="CE99" i="47"/>
  <c r="CE183" i="47" s="1"/>
  <c r="CE108" i="47"/>
  <c r="CE143" i="47"/>
  <c r="CE127" i="47"/>
  <c r="BZ103" i="47"/>
  <c r="BZ184" i="47" s="1"/>
  <c r="BZ108" i="47"/>
  <c r="BZ127" i="47"/>
  <c r="BZ143" i="47"/>
  <c r="BR103" i="47"/>
  <c r="BR184" i="47" s="1"/>
  <c r="BR117" i="47"/>
  <c r="BR143" i="47"/>
  <c r="BW117" i="47"/>
  <c r="BW108" i="47"/>
  <c r="BM84" i="47"/>
  <c r="BM117" i="47"/>
  <c r="BM143" i="47"/>
  <c r="BM127" i="47"/>
  <c r="BH103" i="47"/>
  <c r="BH117" i="47"/>
  <c r="BI127" i="47"/>
  <c r="BH143" i="47"/>
  <c r="BH108" i="47"/>
  <c r="BC103" i="47"/>
  <c r="BC117" i="47"/>
  <c r="BC84" i="47"/>
  <c r="BC86" i="47" s="1"/>
  <c r="BC127" i="47"/>
  <c r="BC143" i="47"/>
  <c r="BC150" i="47" s="1"/>
  <c r="BD127" i="47"/>
  <c r="AX117" i="47"/>
  <c r="AX103" i="47"/>
  <c r="AX108" i="47"/>
  <c r="AX143" i="47"/>
  <c r="AX99" i="47"/>
  <c r="AX127" i="47"/>
  <c r="AY127" i="47"/>
  <c r="AM25" i="47"/>
  <c r="AJ26" i="47"/>
  <c r="AJ51" i="47" s="1"/>
  <c r="Z26" i="47"/>
  <c r="Z51" i="47" s="1"/>
  <c r="X24" i="47"/>
  <c r="U102" i="47"/>
  <c r="U111" i="47"/>
  <c r="S24" i="47"/>
  <c r="P102" i="47"/>
  <c r="G102" i="47"/>
  <c r="G111" i="47"/>
  <c r="H111" i="47"/>
  <c r="BZ45" i="47"/>
  <c r="CE45" i="47"/>
  <c r="CB56" i="47"/>
  <c r="BZ56" i="47"/>
  <c r="BU45" i="47"/>
  <c r="BW56" i="47"/>
  <c r="BU56" i="47"/>
  <c r="BU108" i="47"/>
  <c r="BU99" i="47"/>
  <c r="BU183" i="47" s="1"/>
  <c r="BP45" i="47"/>
  <c r="BR56" i="47"/>
  <c r="BP56" i="47"/>
  <c r="BP108" i="47"/>
  <c r="BP103" i="47"/>
  <c r="BP184" i="47" s="1"/>
  <c r="BP99" i="47"/>
  <c r="BP183" i="47" s="1"/>
  <c r="BK45" i="47"/>
  <c r="BK56" i="47"/>
  <c r="BK99" i="47"/>
  <c r="BK103" i="47"/>
  <c r="BK108" i="47"/>
  <c r="BC26" i="47"/>
  <c r="BC40" i="47"/>
  <c r="BC56" i="47"/>
  <c r="BC45" i="47"/>
  <c r="BH45" i="47"/>
  <c r="BD56" i="47"/>
  <c r="AX45" i="47"/>
  <c r="AX56" i="47"/>
  <c r="AY56" i="47"/>
  <c r="AS45" i="47"/>
  <c r="AS103" i="47"/>
  <c r="AS108" i="47"/>
  <c r="AN45" i="47"/>
  <c r="AN40" i="47"/>
  <c r="AN99" i="47"/>
  <c r="AN108" i="47"/>
  <c r="X82" i="47"/>
  <c r="W110" i="47"/>
  <c r="W129" i="47"/>
  <c r="W101" i="47"/>
  <c r="R110" i="47"/>
  <c r="R129" i="47"/>
  <c r="T129" i="47"/>
  <c r="M101" i="47"/>
  <c r="M129" i="47"/>
  <c r="I101" i="47"/>
  <c r="I110" i="47"/>
  <c r="E101" i="47"/>
  <c r="E110" i="47"/>
  <c r="E119" i="47"/>
  <c r="F119" i="47"/>
  <c r="V109" i="47"/>
  <c r="V118" i="47"/>
  <c r="W128" i="47"/>
  <c r="V100" i="47"/>
  <c r="Q109" i="47"/>
  <c r="Q118" i="47"/>
  <c r="Q128" i="47"/>
  <c r="R128" i="47"/>
  <c r="Q100" i="47"/>
  <c r="Z144" i="47"/>
  <c r="CD150" i="47"/>
  <c r="M130" i="47"/>
  <c r="N83" i="47"/>
  <c r="M102" i="47"/>
  <c r="I102" i="47"/>
  <c r="I111" i="47"/>
  <c r="I120" i="47"/>
  <c r="E102" i="47"/>
  <c r="E111" i="47"/>
  <c r="E120" i="47"/>
  <c r="F120" i="47"/>
  <c r="AI150" i="47"/>
  <c r="CK85" i="47"/>
  <c r="CM122" i="47"/>
  <c r="CH132" i="47"/>
  <c r="CI132" i="47"/>
  <c r="CH122" i="47"/>
  <c r="CH145" i="47"/>
  <c r="CF85" i="47"/>
  <c r="CF145" i="47" s="1"/>
  <c r="CC132" i="47"/>
  <c r="CC122" i="47"/>
  <c r="BX132" i="47"/>
  <c r="BX122" i="47"/>
  <c r="BS132" i="47"/>
  <c r="BT132" i="47"/>
  <c r="BN122" i="47"/>
  <c r="BN132" i="47"/>
  <c r="I84" i="47"/>
  <c r="V120" i="47"/>
  <c r="V111" i="47"/>
  <c r="V130" i="47"/>
  <c r="Q130" i="47"/>
  <c r="Q111" i="47"/>
  <c r="Q120" i="47"/>
  <c r="Q102" i="47"/>
  <c r="Z151" i="47"/>
  <c r="CK139" i="47"/>
  <c r="CG84" i="47"/>
  <c r="AL122" i="47"/>
  <c r="AG132" i="47"/>
  <c r="AI132" i="47"/>
  <c r="O132" i="47"/>
  <c r="AQ126" i="47"/>
  <c r="AQ84" i="47"/>
  <c r="AQ116" i="47"/>
  <c r="AS126" i="47"/>
  <c r="AI98" i="47"/>
  <c r="AN107" i="47"/>
  <c r="AI116" i="47"/>
  <c r="AI126" i="47"/>
  <c r="AD84" i="47"/>
  <c r="AD98" i="47"/>
  <c r="AD107" i="47"/>
  <c r="Y84" i="47"/>
  <c r="Y98" i="47"/>
  <c r="Z116" i="47"/>
  <c r="V126" i="47"/>
  <c r="U116" i="47"/>
  <c r="V75" i="47"/>
  <c r="I75" i="47"/>
  <c r="E75" i="47"/>
  <c r="BZ74" i="47"/>
  <c r="BR74" i="47"/>
  <c r="BW74" i="47"/>
  <c r="BH74" i="47"/>
  <c r="BD74" i="47"/>
  <c r="BI74" i="47"/>
  <c r="BB67" i="47"/>
  <c r="AY74" i="47"/>
  <c r="AR67" i="47"/>
  <c r="AO74" i="47"/>
  <c r="CD122" i="47"/>
  <c r="CI122" i="47"/>
  <c r="CD132" i="47"/>
  <c r="BY122" i="47"/>
  <c r="BY132" i="47"/>
  <c r="BO132" i="47"/>
  <c r="BO122" i="47"/>
  <c r="BL85" i="47"/>
  <c r="BL145" i="47" s="1"/>
  <c r="BJ132" i="47"/>
  <c r="BJ122" i="47"/>
  <c r="BK132" i="47"/>
  <c r="W130" i="47"/>
  <c r="W102" i="47"/>
  <c r="R120" i="47"/>
  <c r="R130" i="47"/>
  <c r="T110" i="47"/>
  <c r="U129" i="47"/>
  <c r="O101" i="47"/>
  <c r="O110" i="47"/>
  <c r="P129" i="47"/>
  <c r="K129" i="47"/>
  <c r="J101" i="47"/>
  <c r="F110" i="47"/>
  <c r="G119" i="47"/>
  <c r="G110" i="47"/>
  <c r="W84" i="47"/>
  <c r="W86" i="47" s="1"/>
  <c r="W109" i="47"/>
  <c r="S81" i="47"/>
  <c r="T128" i="47"/>
  <c r="R109" i="47"/>
  <c r="O118" i="47"/>
  <c r="K128" i="47"/>
  <c r="G118" i="47"/>
  <c r="F109" i="47"/>
  <c r="CL117" i="47"/>
  <c r="CL127" i="47"/>
  <c r="CG103" i="47"/>
  <c r="CG184" i="47" s="1"/>
  <c r="CG127" i="47"/>
  <c r="CH127" i="47"/>
  <c r="CB127" i="47"/>
  <c r="CB84" i="47"/>
  <c r="CB103" i="47"/>
  <c r="CB184" i="47" s="1"/>
  <c r="CC127" i="47"/>
  <c r="BX127" i="47"/>
  <c r="BS99" i="47"/>
  <c r="BS183" i="47" s="1"/>
  <c r="BX117" i="47"/>
  <c r="BS127" i="47"/>
  <c r="BL80" i="47"/>
  <c r="BL143" i="47" s="1"/>
  <c r="BI108" i="47"/>
  <c r="BJ127" i="47"/>
  <c r="BD108" i="47"/>
  <c r="BE127" i="47"/>
  <c r="AY99" i="47"/>
  <c r="AZ127" i="47"/>
  <c r="AW80" i="47"/>
  <c r="AW143" i="47" s="1"/>
  <c r="AU127" i="47"/>
  <c r="AO108" i="47"/>
  <c r="AP127" i="47"/>
  <c r="AK127" i="47"/>
  <c r="AJ108" i="47"/>
  <c r="AE84" i="47"/>
  <c r="AE103" i="47"/>
  <c r="AF127" i="47"/>
  <c r="AC80" i="47"/>
  <c r="AA127" i="47"/>
  <c r="AZ84" i="47"/>
  <c r="AZ86" i="47" s="1"/>
  <c r="BA126" i="47"/>
  <c r="AZ116" i="47"/>
  <c r="BE116" i="47"/>
  <c r="AU84" i="47"/>
  <c r="AU98" i="47"/>
  <c r="AU103" i="47"/>
  <c r="AV126" i="47"/>
  <c r="AU116" i="47"/>
  <c r="AR79" i="47"/>
  <c r="AP84" i="47"/>
  <c r="AP103" i="47"/>
  <c r="AP116" i="47"/>
  <c r="AL84" i="47"/>
  <c r="AL116" i="47"/>
  <c r="AL126" i="47"/>
  <c r="AL103" i="47"/>
  <c r="AN126" i="47"/>
  <c r="AG126" i="47"/>
  <c r="L69" i="47"/>
  <c r="N68" i="47"/>
  <c r="N75" i="47" s="1"/>
  <c r="CE73" i="47"/>
  <c r="BZ73" i="47"/>
  <c r="AX73" i="47"/>
  <c r="I73" i="47"/>
  <c r="I69" i="47"/>
  <c r="BM69" i="47"/>
  <c r="BH69" i="47"/>
  <c r="AT69" i="47"/>
  <c r="BZ26" i="47"/>
  <c r="BU26" i="47"/>
  <c r="BU51" i="47" s="1"/>
  <c r="AX26" i="47"/>
  <c r="AS26" i="47"/>
  <c r="AS50" i="47" s="1"/>
  <c r="AN26" i="47"/>
  <c r="AN51" i="47" s="1"/>
  <c r="AL26" i="47"/>
  <c r="AL65" i="47"/>
  <c r="AL66" i="47"/>
  <c r="BS84" i="47"/>
  <c r="BI84" i="47"/>
  <c r="BI86" i="47" s="1"/>
  <c r="BI90" i="47" s="1"/>
  <c r="BB79" i="47"/>
  <c r="BB142" i="47" s="1"/>
  <c r="AT84" i="47"/>
  <c r="AT86" i="47" s="1"/>
  <c r="BD72" i="47"/>
  <c r="BW69" i="47"/>
  <c r="CA66" i="47"/>
  <c r="BY73" i="47"/>
  <c r="Q69" i="47"/>
  <c r="BZ72" i="47"/>
  <c r="BZ69" i="47"/>
  <c r="BU72" i="47"/>
  <c r="BU69" i="47"/>
  <c r="BC69" i="47"/>
  <c r="AS69" i="47"/>
  <c r="AS72" i="47"/>
  <c r="AN72" i="47"/>
  <c r="E69" i="47"/>
  <c r="E72" i="47"/>
  <c r="CF139" i="47"/>
  <c r="CJ84" i="47"/>
  <c r="BH84" i="47"/>
  <c r="E74" i="47"/>
  <c r="CE69" i="47"/>
  <c r="BD69" i="47"/>
  <c r="U69" i="47"/>
  <c r="L52" i="47"/>
  <c r="BP84" i="47"/>
  <c r="BP86" i="47" s="1"/>
  <c r="BP94" i="47" s="1"/>
  <c r="CA67" i="47"/>
  <c r="CL69" i="47"/>
  <c r="CB73" i="47"/>
  <c r="CD44" i="47"/>
  <c r="CI44" i="47"/>
  <c r="CD55" i="47"/>
  <c r="BV13" i="47"/>
  <c r="BU55" i="47"/>
  <c r="BJ26" i="47"/>
  <c r="BJ49" i="47" s="1"/>
  <c r="BJ44" i="47"/>
  <c r="BK55" i="47"/>
  <c r="BF55" i="47"/>
  <c r="AU44" i="47"/>
  <c r="CK80" i="47"/>
  <c r="CF80" i="47"/>
  <c r="CF143" i="47" s="1"/>
  <c r="AV84" i="47"/>
  <c r="AV86" i="47" s="1"/>
  <c r="AV94" i="47" s="1"/>
  <c r="AN84" i="47"/>
  <c r="AN86" i="47" s="1"/>
  <c r="AN94" i="47" s="1"/>
  <c r="AJ84" i="47"/>
  <c r="AJ86" i="47" s="1"/>
  <c r="AJ94" i="47" s="1"/>
  <c r="AH79" i="47"/>
  <c r="AH142" i="47" s="1"/>
  <c r="F75" i="47"/>
  <c r="CF66" i="47"/>
  <c r="Q46" i="47"/>
  <c r="N24" i="47"/>
  <c r="P26" i="47"/>
  <c r="N23" i="47"/>
  <c r="K26" i="47"/>
  <c r="L57" i="47" s="1"/>
  <c r="AJ45" i="47"/>
  <c r="AO45" i="47"/>
  <c r="AM19" i="47"/>
  <c r="CI55" i="47"/>
  <c r="CH26" i="47"/>
  <c r="CH49" i="47" s="1"/>
  <c r="CH44" i="47"/>
  <c r="CH55" i="47"/>
  <c r="CF13" i="47"/>
  <c r="CC55" i="47"/>
  <c r="BL13" i="47"/>
  <c r="BV66" i="47"/>
  <c r="AU69" i="47"/>
  <c r="J69" i="47"/>
  <c r="CP25" i="47"/>
  <c r="CC26" i="47"/>
  <c r="CC49" i="47" s="1"/>
  <c r="CA25" i="47"/>
  <c r="X22" i="47"/>
  <c r="U26" i="47"/>
  <c r="C26" i="47"/>
  <c r="C52" i="47" s="1"/>
  <c r="CA19" i="47"/>
  <c r="BK44" i="47"/>
  <c r="BP44" i="47"/>
  <c r="AN44" i="47"/>
  <c r="BO69" i="47"/>
  <c r="CD26" i="47"/>
  <c r="BY26" i="47"/>
  <c r="BQ25" i="47"/>
  <c r="N22" i="47"/>
  <c r="H26" i="47"/>
  <c r="D26" i="47"/>
  <c r="CI26" i="47"/>
  <c r="CI45" i="47"/>
  <c r="BT45" i="47"/>
  <c r="BT40" i="47"/>
  <c r="CS36" i="47"/>
  <c r="CO36" i="47"/>
  <c r="BQ36" i="47"/>
  <c r="AW36" i="47"/>
  <c r="AC36" i="47"/>
  <c r="M36" i="47"/>
  <c r="CQ36" i="47"/>
  <c r="CI36" i="47"/>
  <c r="CA36" i="47"/>
  <c r="BW36" i="47"/>
  <c r="BS36" i="47"/>
  <c r="BK36" i="47"/>
  <c r="BG36" i="47"/>
  <c r="BC36" i="47"/>
  <c r="AU36" i="47"/>
  <c r="AQ36" i="47"/>
  <c r="AM36" i="47"/>
  <c r="AI39" i="47"/>
  <c r="AE36" i="47"/>
  <c r="AA36" i="47"/>
  <c r="W39" i="47"/>
  <c r="S39" i="47"/>
  <c r="K36" i="47"/>
  <c r="CJ31" i="47"/>
  <c r="BD31" i="47"/>
  <c r="BJ39" i="47"/>
  <c r="AP39" i="47"/>
  <c r="N39" i="47"/>
  <c r="BV25" i="47"/>
  <c r="AW25" i="47"/>
  <c r="J26" i="47"/>
  <c r="J52" i="47" s="1"/>
  <c r="F26" i="47"/>
  <c r="CK13" i="47"/>
  <c r="BG13" i="47"/>
  <c r="CL39" i="47"/>
  <c r="CD39" i="47"/>
  <c r="CR31" i="47"/>
  <c r="CI40" i="47"/>
  <c r="CE40" i="47"/>
  <c r="BW40" i="47"/>
  <c r="BS40" i="47"/>
  <c r="BO40" i="47"/>
  <c r="BK31" i="47"/>
  <c r="BG31" i="47"/>
  <c r="BC31" i="47"/>
  <c r="AU40" i="47"/>
  <c r="AM31" i="47"/>
  <c r="AI40" i="47"/>
  <c r="AE40" i="47"/>
  <c r="AA40" i="47"/>
  <c r="S31" i="47"/>
  <c r="O40" i="47"/>
  <c r="K31" i="47"/>
  <c r="C31" i="47"/>
  <c r="CF25" i="47"/>
  <c r="BB25" i="47"/>
  <c r="AM13" i="47"/>
  <c r="AL60" i="47" s="1"/>
  <c r="BQ57" i="44"/>
  <c r="DA108" i="44" s="1"/>
  <c r="N41" i="44"/>
  <c r="N55" i="44" s="1"/>
  <c r="N61" i="44" s="1"/>
  <c r="AM41" i="44"/>
  <c r="AM55" i="44" s="1"/>
  <c r="AP50" i="44"/>
  <c r="AQ50" i="44" s="1"/>
  <c r="AY41" i="44"/>
  <c r="AY55" i="44" s="1"/>
  <c r="CH41" i="44"/>
  <c r="CH55" i="44" s="1"/>
  <c r="CH58" i="44" s="1"/>
  <c r="BD41" i="44"/>
  <c r="BD55" i="44" s="1"/>
  <c r="BO41" i="44"/>
  <c r="BJ41" i="44"/>
  <c r="BJ55" i="44" s="1"/>
  <c r="BJ58" i="44" s="1"/>
  <c r="P41" i="44"/>
  <c r="P55" i="44" s="1"/>
  <c r="D41" i="44"/>
  <c r="D55" i="44" s="1"/>
  <c r="O41" i="44"/>
  <c r="BT41" i="44"/>
  <c r="BT55" i="44" s="1"/>
  <c r="AI41" i="44"/>
  <c r="AI55" i="44" s="1"/>
  <c r="AD41" i="44"/>
  <c r="AD55" i="44" s="1"/>
  <c r="CF41" i="44"/>
  <c r="CF55" i="44" s="1"/>
  <c r="CF61" i="44" s="1"/>
  <c r="CB41" i="44"/>
  <c r="CB55" i="44" s="1"/>
  <c r="CB61" i="44" s="1"/>
  <c r="AT41" i="44"/>
  <c r="AT55" i="44" s="1"/>
  <c r="AP41" i="44"/>
  <c r="AP55" i="44" s="1"/>
  <c r="AE41" i="44"/>
  <c r="AA41" i="44"/>
  <c r="AN57" i="44"/>
  <c r="BV41" i="44"/>
  <c r="BV55" i="44" s="1"/>
  <c r="AZ41" i="44"/>
  <c r="AZ55" i="44" s="1"/>
  <c r="H41" i="44"/>
  <c r="H55" i="44" s="1"/>
  <c r="AN41" i="44"/>
  <c r="AJ41" i="44"/>
  <c r="AF41" i="44"/>
  <c r="AF55" i="44" s="1"/>
  <c r="AF58" i="44" s="1"/>
  <c r="AX41" i="44"/>
  <c r="AX55" i="44" s="1"/>
  <c r="AX61" i="44" s="1"/>
  <c r="AS41" i="44"/>
  <c r="AO41" i="44"/>
  <c r="BC29" i="44"/>
  <c r="BC34" i="44" s="1"/>
  <c r="BM29" i="44"/>
  <c r="BM34" i="44" s="1"/>
  <c r="BI29" i="44"/>
  <c r="BI34" i="44" s="1"/>
  <c r="AZ29" i="44"/>
  <c r="AZ34" i="44" s="1"/>
  <c r="Q29" i="44"/>
  <c r="AZ12" i="44"/>
  <c r="L12" i="44"/>
  <c r="H12" i="44"/>
  <c r="H19" i="44" s="1"/>
  <c r="D12" i="44"/>
  <c r="D19" i="44" s="1"/>
  <c r="BZ70" i="44"/>
  <c r="BP70" i="44"/>
  <c r="BK70" i="44"/>
  <c r="CH29" i="44"/>
  <c r="CH34" i="44" s="1"/>
  <c r="CD29" i="44"/>
  <c r="CD34" i="44" s="1"/>
  <c r="U29" i="44"/>
  <c r="U34" i="44" s="1"/>
  <c r="Y29" i="44"/>
  <c r="Y34" i="44" s="1"/>
  <c r="BK12" i="44"/>
  <c r="BK19" i="44" s="1"/>
  <c r="AQ12" i="44"/>
  <c r="BM12" i="44"/>
  <c r="BM19" i="44" s="1"/>
  <c r="BI12" i="44"/>
  <c r="Y12" i="44"/>
  <c r="Y19" i="44" s="1"/>
  <c r="U12" i="44"/>
  <c r="U19" i="44" s="1"/>
  <c r="BE29" i="44"/>
  <c r="E29" i="44"/>
  <c r="E34" i="44" s="1"/>
  <c r="AO29" i="44"/>
  <c r="AK29" i="44"/>
  <c r="AK34" i="44" s="1"/>
  <c r="BY12" i="44"/>
  <c r="BY19" i="44" s="1"/>
  <c r="AK12" i="44"/>
  <c r="BT12" i="44"/>
  <c r="AF12" i="44"/>
  <c r="CZ81" i="45"/>
  <c r="CT24" i="44"/>
  <c r="AL54" i="44"/>
  <c r="BD70" i="44"/>
  <c r="AY70" i="44"/>
  <c r="AT71" i="44"/>
  <c r="AT72" i="44" s="1"/>
  <c r="AO70" i="44"/>
  <c r="AJ70" i="44"/>
  <c r="AE71" i="44"/>
  <c r="AE72" i="44" s="1"/>
  <c r="Z70" i="44"/>
  <c r="U70" i="44"/>
  <c r="P70" i="44"/>
  <c r="G70" i="44"/>
  <c r="AE69" i="44"/>
  <c r="AD29" i="44"/>
  <c r="AD34" i="44" s="1"/>
  <c r="Z29" i="44"/>
  <c r="Z34" i="44" s="1"/>
  <c r="J29" i="44"/>
  <c r="J34" i="44" s="1"/>
  <c r="K29" i="44"/>
  <c r="K34" i="44" s="1"/>
  <c r="G29" i="44"/>
  <c r="G34" i="44" s="1"/>
  <c r="AT29" i="44"/>
  <c r="AT34" i="44" s="1"/>
  <c r="I12" i="44"/>
  <c r="I19" i="44" s="1"/>
  <c r="E12" i="44"/>
  <c r="CB12" i="44"/>
  <c r="BX12" i="44"/>
  <c r="BX19" i="44" s="1"/>
  <c r="AN12" i="44"/>
  <c r="AN19" i="44" s="1"/>
  <c r="AJ12" i="44"/>
  <c r="AJ19" i="44" s="1"/>
  <c r="AI12" i="44"/>
  <c r="BS54" i="44"/>
  <c r="AP54" i="44"/>
  <c r="BW70" i="44"/>
  <c r="BR70" i="44"/>
  <c r="BC71" i="44"/>
  <c r="BC72" i="44" s="1"/>
  <c r="AN71" i="44"/>
  <c r="AN72" i="44" s="1"/>
  <c r="J70" i="44"/>
  <c r="F70" i="44"/>
  <c r="F69" i="44"/>
  <c r="AY52" i="45"/>
  <c r="P53" i="45"/>
  <c r="G52" i="45"/>
  <c r="AO71" i="44"/>
  <c r="AO72" i="44" s="1"/>
  <c r="Z71" i="44"/>
  <c r="Z72" i="44" s="1"/>
  <c r="BS69" i="44"/>
  <c r="BI69" i="44"/>
  <c r="BD69" i="44"/>
  <c r="AY69" i="44"/>
  <c r="AT69" i="44"/>
  <c r="CH67" i="45"/>
  <c r="BT67" i="45"/>
  <c r="BJ67" i="45"/>
  <c r="CC60" i="45"/>
  <c r="AY60" i="45"/>
  <c r="AU41" i="45"/>
  <c r="AP41" i="45"/>
  <c r="X13" i="45"/>
  <c r="BG7" i="45"/>
  <c r="CG52" i="45"/>
  <c r="CB52" i="45"/>
  <c r="BW52" i="45"/>
  <c r="BR52" i="45"/>
  <c r="BH8" i="45"/>
  <c r="BH51" i="45" s="1"/>
  <c r="BX69" i="44"/>
  <c r="AA54" i="44"/>
  <c r="BY67" i="45"/>
  <c r="BD60" i="45"/>
  <c r="X40" i="45"/>
  <c r="AR16" i="45"/>
  <c r="N16" i="45"/>
  <c r="BL14" i="45"/>
  <c r="CC8" i="45"/>
  <c r="CC51" i="45" s="1"/>
  <c r="BD8" i="45"/>
  <c r="BD51" i="45" s="1"/>
  <c r="AJ52" i="45"/>
  <c r="K53" i="45"/>
  <c r="CC69" i="44"/>
  <c r="BN54" i="44"/>
  <c r="AU54" i="44"/>
  <c r="AY54" i="44"/>
  <c r="E54" i="44"/>
  <c r="BV17" i="45"/>
  <c r="BG17" i="45"/>
  <c r="BB17" i="45"/>
  <c r="AH17" i="45"/>
  <c r="X14" i="45"/>
  <c r="BB10" i="45"/>
  <c r="N10" i="45"/>
  <c r="BX8" i="45"/>
  <c r="BX51" i="45" s="1"/>
  <c r="J71" i="44"/>
  <c r="J72" i="44" s="1"/>
  <c r="O70" i="44"/>
  <c r="O54" i="44"/>
  <c r="CG67" i="45"/>
  <c r="CB67" i="45"/>
  <c r="BW67" i="45"/>
  <c r="BR67" i="45"/>
  <c r="AZ67" i="45"/>
  <c r="AU67" i="45"/>
  <c r="BM60" i="45"/>
  <c r="BH60" i="45"/>
  <c r="BC60" i="45"/>
  <c r="CG53" i="45"/>
  <c r="CB53" i="45"/>
  <c r="BW53" i="45"/>
  <c r="BR53" i="45"/>
  <c r="BH52" i="45"/>
  <c r="K41" i="45"/>
  <c r="C41" i="45"/>
  <c r="CF40" i="45"/>
  <c r="CF41" i="45" s="1"/>
  <c r="N35" i="45"/>
  <c r="CA17" i="45"/>
  <c r="AC16" i="45"/>
  <c r="X16" i="45"/>
  <c r="CK14" i="45"/>
  <c r="CF14" i="45"/>
  <c r="BG13" i="45"/>
  <c r="AW13" i="45"/>
  <c r="BL11" i="45"/>
  <c r="AH10" i="45"/>
  <c r="AC10" i="45"/>
  <c r="BM8" i="45"/>
  <c r="BM51" i="45" s="1"/>
  <c r="AO8" i="45"/>
  <c r="AO51" i="45" s="1"/>
  <c r="BB6" i="45"/>
  <c r="O71" i="44"/>
  <c r="O72" i="44" s="1"/>
  <c r="AN70" i="44"/>
  <c r="CC54" i="44"/>
  <c r="K54" i="44"/>
  <c r="BI67" i="45"/>
  <c r="BD67" i="45"/>
  <c r="AY67" i="45"/>
  <c r="AK67" i="45"/>
  <c r="AF67" i="45"/>
  <c r="BR60" i="45"/>
  <c r="AO60" i="45"/>
  <c r="BM52" i="45"/>
  <c r="AZ52" i="45"/>
  <c r="AT52" i="45"/>
  <c r="BG35" i="45"/>
  <c r="BG27" i="45" s="1"/>
  <c r="N34" i="45"/>
  <c r="CA13" i="45"/>
  <c r="BV13" i="45"/>
  <c r="CK11" i="45"/>
  <c r="AO53" i="45"/>
  <c r="AJ53" i="45"/>
  <c r="AC9" i="45"/>
  <c r="CB8" i="45"/>
  <c r="CB51" i="45" s="1"/>
  <c r="BY8" i="45"/>
  <c r="BY51" i="45" s="1"/>
  <c r="BK71" i="44"/>
  <c r="BK72" i="44" s="1"/>
  <c r="CG69" i="44"/>
  <c r="CB69" i="44"/>
  <c r="BW69" i="44"/>
  <c r="BR69" i="44"/>
  <c r="AO69" i="44"/>
  <c r="AJ69" i="44"/>
  <c r="G69" i="44"/>
  <c r="BX54" i="44"/>
  <c r="AZ54" i="44"/>
  <c r="CK54" i="44"/>
  <c r="CG54" i="44"/>
  <c r="BH67" i="45"/>
  <c r="AJ67" i="45"/>
  <c r="CG60" i="45"/>
  <c r="CB60" i="45"/>
  <c r="BW60" i="45"/>
  <c r="AY53" i="45"/>
  <c r="BI41" i="45"/>
  <c r="O41" i="45"/>
  <c r="G41" i="45"/>
  <c r="CK17" i="45"/>
  <c r="S17" i="45"/>
  <c r="CF16" i="45"/>
  <c r="BV16" i="45"/>
  <c r="CA11" i="45"/>
  <c r="CF10" i="45"/>
  <c r="BW8" i="45"/>
  <c r="BW51" i="45" s="1"/>
  <c r="BU71" i="44"/>
  <c r="BU72" i="44" s="1"/>
  <c r="BU8" i="45"/>
  <c r="BU51" i="45" s="1"/>
  <c r="BU70" i="44"/>
  <c r="BC8" i="45"/>
  <c r="BC51" i="45" s="1"/>
  <c r="BC70" i="44"/>
  <c r="AS71" i="44"/>
  <c r="AS72" i="44" s="1"/>
  <c r="AS70" i="44"/>
  <c r="AH6" i="45"/>
  <c r="AE52" i="45"/>
  <c r="AE60" i="45"/>
  <c r="AJ60" i="45"/>
  <c r="AE67" i="45"/>
  <c r="Z52" i="45"/>
  <c r="Z69" i="44"/>
  <c r="Z53" i="45"/>
  <c r="Z60" i="45"/>
  <c r="Z67" i="45"/>
  <c r="U8" i="45"/>
  <c r="U52" i="45"/>
  <c r="U69" i="44"/>
  <c r="U53" i="45"/>
  <c r="U67" i="45"/>
  <c r="P8" i="45"/>
  <c r="P60" i="45"/>
  <c r="P67" i="45"/>
  <c r="Q67" i="45"/>
  <c r="P52" i="45"/>
  <c r="P69" i="44"/>
  <c r="K67" i="45"/>
  <c r="L67" i="45"/>
  <c r="K52" i="45"/>
  <c r="K69" i="44"/>
  <c r="G53" i="45"/>
  <c r="H60" i="45"/>
  <c r="C52" i="45"/>
  <c r="D60" i="45"/>
  <c r="C53" i="45"/>
  <c r="CL27" i="45"/>
  <c r="CM35" i="45"/>
  <c r="CM41" i="45" s="1"/>
  <c r="CL54" i="44"/>
  <c r="CH27" i="45"/>
  <c r="CH41" i="45"/>
  <c r="CH54" i="44"/>
  <c r="CD27" i="45"/>
  <c r="CD41" i="45"/>
  <c r="AE23" i="45"/>
  <c r="BG10" i="45"/>
  <c r="BF52" i="45"/>
  <c r="AX52" i="45"/>
  <c r="AW9" i="45"/>
  <c r="AT53" i="45"/>
  <c r="AE53" i="45"/>
  <c r="BJ41" i="45"/>
  <c r="BL40" i="45"/>
  <c r="BV40" i="45"/>
  <c r="BS41" i="45"/>
  <c r="BQ40" i="45"/>
  <c r="BN41" i="45"/>
  <c r="BP23" i="45"/>
  <c r="BQ34" i="45"/>
  <c r="BF23" i="45"/>
  <c r="BP8" i="45"/>
  <c r="AX8" i="45"/>
  <c r="AX51" i="45" s="1"/>
  <c r="AS8" i="45"/>
  <c r="AS51" i="45" s="1"/>
  <c r="AN8" i="45"/>
  <c r="BY54" i="44"/>
  <c r="CP40" i="45"/>
  <c r="CL41" i="45"/>
  <c r="AK27" i="45"/>
  <c r="AM35" i="45"/>
  <c r="AK41" i="45"/>
  <c r="AA27" i="45"/>
  <c r="AA41" i="45"/>
  <c r="BQ16" i="45"/>
  <c r="AW14" i="45"/>
  <c r="BV10" i="45"/>
  <c r="CA7" i="45"/>
  <c r="BV6" i="45"/>
  <c r="BK27" i="45"/>
  <c r="BK41" i="45"/>
  <c r="BC27" i="45"/>
  <c r="BC41" i="45"/>
  <c r="AX27" i="45"/>
  <c r="AX41" i="45"/>
  <c r="AM13" i="45"/>
  <c r="CK9" i="45"/>
  <c r="AJ8" i="45"/>
  <c r="AM7" i="45"/>
  <c r="AM71" i="44" s="1"/>
  <c r="AM72" i="44" s="1"/>
  <c r="S7" i="45"/>
  <c r="AF41" i="45"/>
  <c r="BV35" i="45"/>
  <c r="BF27" i="45"/>
  <c r="AC35" i="45"/>
  <c r="AC54" i="44" s="1"/>
  <c r="BO23" i="45"/>
  <c r="AC17" i="45"/>
  <c r="X17" i="45"/>
  <c r="N17" i="45"/>
  <c r="CK16" i="45"/>
  <c r="AH16" i="45"/>
  <c r="AH14" i="45"/>
  <c r="CF13" i="45"/>
  <c r="BB13" i="45"/>
  <c r="AC13" i="45"/>
  <c r="BQ11" i="45"/>
  <c r="AR11" i="45"/>
  <c r="CK10" i="45"/>
  <c r="BL10" i="45"/>
  <c r="AM10" i="45"/>
  <c r="AI8" i="45"/>
  <c r="AI51" i="45" s="1"/>
  <c r="G8" i="45"/>
  <c r="C8" i="45"/>
  <c r="AD8" i="45"/>
  <c r="BP41" i="45"/>
  <c r="CK37" i="45"/>
  <c r="BW27" i="45"/>
  <c r="CF23" i="45"/>
  <c r="CB23" i="45"/>
  <c r="AP23" i="45"/>
  <c r="BL16" i="45"/>
  <c r="AR14" i="45"/>
  <c r="AM14" i="45"/>
  <c r="N14" i="45"/>
  <c r="CK13" i="45"/>
  <c r="BL13" i="45"/>
  <c r="AH13" i="45"/>
  <c r="BV11" i="45"/>
  <c r="AW11" i="45"/>
  <c r="X11" i="45"/>
  <c r="BQ10" i="45"/>
  <c r="AR10" i="45"/>
  <c r="S10" i="45"/>
  <c r="BT41" i="45"/>
  <c r="CF37" i="45"/>
  <c r="BQ35" i="45"/>
  <c r="BQ54" i="44" s="1"/>
  <c r="BB35" i="45"/>
  <c r="BB54" i="44" s="1"/>
  <c r="AY27" i="45"/>
  <c r="BQ17" i="45"/>
  <c r="AW17" i="45"/>
  <c r="BB14" i="45"/>
  <c r="S14" i="45"/>
  <c r="BQ13" i="45"/>
  <c r="AR13" i="45"/>
  <c r="N13" i="45"/>
  <c r="CF11" i="45"/>
  <c r="BB11" i="45"/>
  <c r="AC11" i="45"/>
  <c r="CA10" i="45"/>
  <c r="AW10" i="45"/>
  <c r="X10" i="45"/>
  <c r="BR8" i="45"/>
  <c r="BR51" i="45" s="1"/>
  <c r="W74" i="48"/>
  <c r="W75" i="48" s="1"/>
  <c r="AB74" i="48"/>
  <c r="AB132" i="48" s="1"/>
  <c r="AB133" i="48" s="1"/>
  <c r="X74" i="48"/>
  <c r="T74" i="48"/>
  <c r="T132" i="48" s="1"/>
  <c r="U29" i="48"/>
  <c r="U74" i="48" s="1"/>
  <c r="U132" i="48" s="1"/>
  <c r="AQ31" i="47"/>
  <c r="AA31" i="47"/>
  <c r="O31" i="47"/>
  <c r="BK40" i="47"/>
  <c r="E40" i="47"/>
  <c r="BS31" i="47"/>
  <c r="CM31" i="47"/>
  <c r="CI31" i="47"/>
  <c r="CE31" i="47"/>
  <c r="CA31" i="47"/>
  <c r="BW31" i="47"/>
  <c r="S40" i="47"/>
  <c r="AU31" i="47"/>
  <c r="AE31" i="47"/>
  <c r="CK31" i="47"/>
  <c r="AU39" i="47"/>
  <c r="CE39" i="47"/>
  <c r="BW39" i="47"/>
  <c r="BN39" i="47"/>
  <c r="BF39" i="47"/>
  <c r="AX39" i="47"/>
  <c r="AD39" i="47"/>
  <c r="Z39" i="47"/>
  <c r="V39" i="47"/>
  <c r="R39" i="47"/>
  <c r="F39" i="47"/>
  <c r="BB31" i="47"/>
  <c r="AH31" i="47"/>
  <c r="J31" i="47"/>
  <c r="F31" i="47"/>
  <c r="BP39" i="47"/>
  <c r="BD39" i="47"/>
  <c r="AN39" i="47"/>
  <c r="AJ39" i="47"/>
  <c r="AF39" i="47"/>
  <c r="P39" i="47"/>
  <c r="BK39" i="47"/>
  <c r="D40" i="47"/>
  <c r="BX40" i="47"/>
  <c r="BP40" i="47"/>
  <c r="BH40" i="47"/>
  <c r="AZ40" i="47"/>
  <c r="AJ40" i="47"/>
  <c r="P40" i="47"/>
  <c r="H40" i="47"/>
  <c r="CP36" i="47"/>
  <c r="CH36" i="47"/>
  <c r="BZ36" i="47"/>
  <c r="BR36" i="47"/>
  <c r="BJ36" i="47"/>
  <c r="BB36" i="47"/>
  <c r="AT36" i="47"/>
  <c r="AL36" i="47"/>
  <c r="AH36" i="47"/>
  <c r="N36" i="47"/>
  <c r="BT31" i="47"/>
  <c r="BH31" i="47"/>
  <c r="AZ31" i="47"/>
  <c r="AR31" i="47"/>
  <c r="AB31" i="47"/>
  <c r="T31" i="47"/>
  <c r="L31" i="47"/>
  <c r="D31" i="47"/>
  <c r="CQ31" i="47"/>
  <c r="E45" i="47"/>
  <c r="D45" i="47"/>
  <c r="CN31" i="47"/>
  <c r="CF31" i="47"/>
  <c r="BX31" i="47"/>
  <c r="CR36" i="47"/>
  <c r="CN36" i="47"/>
  <c r="CJ36" i="47"/>
  <c r="CF36" i="47"/>
  <c r="CB36" i="47"/>
  <c r="BX36" i="47"/>
  <c r="BT36" i="47"/>
  <c r="BP36" i="47"/>
  <c r="BL36" i="47"/>
  <c r="BH36" i="47"/>
  <c r="BD36" i="47"/>
  <c r="AZ36" i="47"/>
  <c r="AV36" i="47"/>
  <c r="AR36" i="47"/>
  <c r="AN36" i="47"/>
  <c r="AJ36" i="47"/>
  <c r="AF36" i="47"/>
  <c r="AB36" i="47"/>
  <c r="X36" i="47"/>
  <c r="T36" i="47"/>
  <c r="P36" i="47"/>
  <c r="L36" i="47"/>
  <c r="H36" i="47"/>
  <c r="D36" i="47"/>
  <c r="C36" i="47"/>
  <c r="BQ31" i="47"/>
  <c r="AW31" i="47"/>
  <c r="AC31" i="47"/>
  <c r="M31" i="47"/>
  <c r="H39" i="47"/>
  <c r="CI39" i="47"/>
  <c r="AA39" i="47"/>
  <c r="CE36" i="47"/>
  <c r="BO36" i="47"/>
  <c r="AY36" i="47"/>
  <c r="AI36" i="47"/>
  <c r="W36" i="47"/>
  <c r="BL31" i="47"/>
  <c r="AF31" i="47"/>
  <c r="CJ39" i="47"/>
  <c r="BS39" i="47"/>
  <c r="BC39" i="47"/>
  <c r="D39" i="47"/>
  <c r="D44" i="47" s="1"/>
  <c r="CD36" i="47"/>
  <c r="BN36" i="47"/>
  <c r="AX36" i="47"/>
  <c r="S36" i="47"/>
  <c r="AN31" i="47"/>
  <c r="H31" i="47"/>
  <c r="CM36" i="47"/>
  <c r="AV31" i="47"/>
  <c r="P31" i="47"/>
  <c r="CH39" i="47"/>
  <c r="BZ39" i="47"/>
  <c r="BH39" i="47"/>
  <c r="F36" i="47"/>
  <c r="G39" i="47"/>
  <c r="G44" i="47" s="1"/>
  <c r="AD36" i="47"/>
  <c r="V36" i="47"/>
  <c r="BP31" i="47"/>
  <c r="AJ31" i="47"/>
  <c r="BV31" i="47"/>
  <c r="Y83" i="48"/>
  <c r="Y84" i="48" s="1"/>
  <c r="AB83" i="48"/>
  <c r="AB84" i="48" s="1"/>
  <c r="X83" i="48"/>
  <c r="X84" i="48" s="1"/>
  <c r="T83" i="48"/>
  <c r="T84" i="48" s="1"/>
  <c r="W132" i="48"/>
  <c r="AC83" i="48"/>
  <c r="AC84" i="48" s="1"/>
  <c r="AA83" i="48"/>
  <c r="AA84" i="48" s="1"/>
  <c r="W83" i="48"/>
  <c r="W84" i="48" s="1"/>
  <c r="S83" i="48"/>
  <c r="S84" i="48" s="1"/>
  <c r="U83" i="48"/>
  <c r="U84" i="48" s="1"/>
  <c r="Z130" i="48"/>
  <c r="V130" i="48"/>
  <c r="Z83" i="48"/>
  <c r="Z84" i="48" s="1"/>
  <c r="V83" i="48"/>
  <c r="V84" i="48" s="1"/>
  <c r="R83" i="48"/>
  <c r="R84" i="48" s="1"/>
  <c r="S132" i="48"/>
  <c r="T133" i="48" s="1"/>
  <c r="AA57" i="48"/>
  <c r="W57" i="48"/>
  <c r="W43" i="48"/>
  <c r="AC57" i="48"/>
  <c r="Y57" i="48"/>
  <c r="U57" i="48"/>
  <c r="AB60" i="48"/>
  <c r="X60" i="48"/>
  <c r="AA75" i="48"/>
  <c r="AC71" i="48"/>
  <c r="AC70" i="48" s="1"/>
  <c r="U71" i="48"/>
  <c r="U70" i="48" s="1"/>
  <c r="R132" i="48"/>
  <c r="AC74" i="48"/>
  <c r="AC132" i="48" s="1"/>
  <c r="Y74" i="48"/>
  <c r="Z75" i="48" s="1"/>
  <c r="U60" i="48"/>
  <c r="Y71" i="48"/>
  <c r="Y70" i="48" s="1"/>
  <c r="Z132" i="48"/>
  <c r="V132" i="48"/>
  <c r="BB13" i="47"/>
  <c r="AZ60" i="47" s="1"/>
  <c r="AZ44" i="47"/>
  <c r="AZ26" i="47"/>
  <c r="AZ49" i="47" s="1"/>
  <c r="AZ39" i="47"/>
  <c r="BE44" i="47"/>
  <c r="AZ55" i="47"/>
  <c r="BA55" i="47"/>
  <c r="AZ98" i="47"/>
  <c r="AZ103" i="47"/>
  <c r="AZ107" i="47"/>
  <c r="BE107" i="47"/>
  <c r="AA144" i="47"/>
  <c r="AA146" i="47" s="1"/>
  <c r="CA13" i="47"/>
  <c r="BX60" i="47" s="1"/>
  <c r="BX26" i="47"/>
  <c r="BX49" i="47" s="1"/>
  <c r="BX44" i="47"/>
  <c r="CC44" i="47"/>
  <c r="BX39" i="47"/>
  <c r="BY55" i="47"/>
  <c r="BX55" i="47"/>
  <c r="BX98" i="47"/>
  <c r="BX182" i="47" s="1"/>
  <c r="BX107" i="47"/>
  <c r="BX103" i="47"/>
  <c r="BX184" i="47" s="1"/>
  <c r="CC107" i="47"/>
  <c r="BX151" i="47"/>
  <c r="BP132" i="47"/>
  <c r="BP122" i="47"/>
  <c r="BH122" i="47"/>
  <c r="BH132" i="47"/>
  <c r="AM85" i="47"/>
  <c r="AK132" i="47"/>
  <c r="AJ122" i="47"/>
  <c r="AO122" i="47"/>
  <c r="AJ132" i="47"/>
  <c r="AJ145" i="47"/>
  <c r="L132" i="47"/>
  <c r="Q122" i="47"/>
  <c r="M132" i="47"/>
  <c r="H122" i="47"/>
  <c r="I122" i="47"/>
  <c r="BY150" i="47"/>
  <c r="CD156" i="47"/>
  <c r="AA149" i="47"/>
  <c r="AI151" i="47"/>
  <c r="BX150" i="47"/>
  <c r="CE103" i="47"/>
  <c r="CE184" i="47" s="1"/>
  <c r="CE107" i="47"/>
  <c r="CE116" i="47"/>
  <c r="CG126" i="47"/>
  <c r="CJ107" i="47"/>
  <c r="CJ116" i="47"/>
  <c r="CE84" i="47"/>
  <c r="BW103" i="47"/>
  <c r="BW184" i="47" s="1"/>
  <c r="BW84" i="47"/>
  <c r="BW107" i="47"/>
  <c r="BW116" i="47"/>
  <c r="CB107" i="47"/>
  <c r="CB116" i="47"/>
  <c r="AB84" i="47"/>
  <c r="AD126" i="47"/>
  <c r="AB142" i="47"/>
  <c r="AG116" i="47"/>
  <c r="BX156" i="47"/>
  <c r="CP139" i="47"/>
  <c r="AA86" i="47"/>
  <c r="AA94" i="47" s="1"/>
  <c r="R102" i="47"/>
  <c r="W120" i="47"/>
  <c r="T130" i="47"/>
  <c r="R111" i="47"/>
  <c r="J102" i="47"/>
  <c r="O120" i="47"/>
  <c r="F102" i="47"/>
  <c r="G120" i="47"/>
  <c r="F111" i="47"/>
  <c r="T84" i="47"/>
  <c r="T101" i="47"/>
  <c r="BN99" i="47"/>
  <c r="BN183" i="47" s="1"/>
  <c r="BQ80" i="47"/>
  <c r="BN127" i="47"/>
  <c r="BN143" i="47"/>
  <c r="BN117" i="47"/>
  <c r="BN103" i="47"/>
  <c r="BN184" i="47" s="1"/>
  <c r="BN108" i="47"/>
  <c r="BS117" i="47"/>
  <c r="AH80" i="47"/>
  <c r="AF99" i="47"/>
  <c r="AF108" i="47"/>
  <c r="AK117" i="47"/>
  <c r="AK108" i="47"/>
  <c r="AF103" i="47"/>
  <c r="BV85" i="47"/>
  <c r="S85" i="47"/>
  <c r="S83" i="47"/>
  <c r="BZ99" i="47"/>
  <c r="BZ183" i="47" s="1"/>
  <c r="BZ84" i="47"/>
  <c r="BR99" i="47"/>
  <c r="BR183" i="47" s="1"/>
  <c r="BR84" i="47"/>
  <c r="AO84" i="47"/>
  <c r="AR80" i="47"/>
  <c r="AM80" i="47"/>
  <c r="CI103" i="47"/>
  <c r="CI184" i="47" s="1"/>
  <c r="CF79" i="47"/>
  <c r="BF98" i="47"/>
  <c r="BF107" i="47"/>
  <c r="BF84" i="47"/>
  <c r="AX98" i="47"/>
  <c r="AX107" i="47"/>
  <c r="AX84" i="47"/>
  <c r="AF84" i="47"/>
  <c r="AU72" i="47"/>
  <c r="CA85" i="47"/>
  <c r="BQ85" i="47"/>
  <c r="BA84" i="47"/>
  <c r="AS84" i="47"/>
  <c r="BJ98" i="47"/>
  <c r="BJ107" i="47"/>
  <c r="BL79" i="47"/>
  <c r="BJ84" i="47"/>
  <c r="CD74" i="47"/>
  <c r="CF67" i="47"/>
  <c r="CD69" i="47"/>
  <c r="P74" i="47"/>
  <c r="G74" i="47"/>
  <c r="H74" i="47"/>
  <c r="BP73" i="47"/>
  <c r="BP69" i="47"/>
  <c r="BU73" i="47"/>
  <c r="BH73" i="47"/>
  <c r="BM73" i="47"/>
  <c r="Z73" i="47"/>
  <c r="V102" i="47"/>
  <c r="BA99" i="47"/>
  <c r="AS99" i="47"/>
  <c r="AO99" i="47"/>
  <c r="BG85" i="47"/>
  <c r="AW85" i="47"/>
  <c r="S82" i="47"/>
  <c r="N82" i="47"/>
  <c r="K101" i="47"/>
  <c r="G101" i="47"/>
  <c r="C101" i="47"/>
  <c r="C84" i="47"/>
  <c r="G84" i="47"/>
  <c r="BJ99" i="47"/>
  <c r="BE84" i="47"/>
  <c r="BB80" i="47"/>
  <c r="BS103" i="47"/>
  <c r="BS184" i="47" s="1"/>
  <c r="BV79" i="47"/>
  <c r="BQ79" i="47"/>
  <c r="BN98" i="47"/>
  <c r="BN182" i="47" s="1"/>
  <c r="BN107" i="47"/>
  <c r="BN84" i="47"/>
  <c r="BG79" i="47"/>
  <c r="X83" i="47"/>
  <c r="BG80" i="47"/>
  <c r="CK79" i="47"/>
  <c r="H69" i="47"/>
  <c r="AY69" i="47"/>
  <c r="AW65" i="47"/>
  <c r="BB85" i="47"/>
  <c r="AH85" i="47"/>
  <c r="N85" i="47"/>
  <c r="V84" i="47"/>
  <c r="R84" i="47"/>
  <c r="J84" i="47"/>
  <c r="F84" i="47"/>
  <c r="CA80" i="47"/>
  <c r="AC79" i="47"/>
  <c r="Z84" i="47"/>
  <c r="P75" i="47"/>
  <c r="AZ73" i="47"/>
  <c r="BB66" i="47"/>
  <c r="F69" i="47"/>
  <c r="D69" i="47"/>
  <c r="BX84" i="47"/>
  <c r="BD84" i="47"/>
  <c r="Q84" i="47"/>
  <c r="X81" i="47"/>
  <c r="AW79" i="47"/>
  <c r="BD73" i="47"/>
  <c r="BG66" i="47"/>
  <c r="V69" i="47"/>
  <c r="T69" i="47"/>
  <c r="AW66" i="47"/>
  <c r="AW67" i="47"/>
  <c r="BQ66" i="47"/>
  <c r="O69" i="47"/>
  <c r="K69" i="47"/>
  <c r="G69" i="47"/>
  <c r="C69" i="47"/>
  <c r="AT74" i="47"/>
  <c r="Z74" i="47"/>
  <c r="V74" i="47"/>
  <c r="P73" i="47"/>
  <c r="BQ67" i="47"/>
  <c r="CK36" i="47"/>
  <c r="CG36" i="47"/>
  <c r="CG40" i="47"/>
  <c r="CC36" i="47"/>
  <c r="CC40" i="47"/>
  <c r="BY36" i="47"/>
  <c r="BY40" i="47"/>
  <c r="BU36" i="47"/>
  <c r="BU40" i="47"/>
  <c r="BM36" i="47"/>
  <c r="BI36" i="47"/>
  <c r="BI40" i="47"/>
  <c r="BE36" i="47"/>
  <c r="BE40" i="47"/>
  <c r="BA36" i="47"/>
  <c r="BA40" i="47"/>
  <c r="AS36" i="47"/>
  <c r="AS40" i="47"/>
  <c r="AO36" i="47"/>
  <c r="AO40" i="47"/>
  <c r="AK36" i="47"/>
  <c r="AK40" i="47"/>
  <c r="AG36" i="47"/>
  <c r="Y36" i="47"/>
  <c r="U36" i="47"/>
  <c r="U40" i="47"/>
  <c r="Q36" i="47"/>
  <c r="Q40" i="47"/>
  <c r="I36" i="47"/>
  <c r="I40" i="47"/>
  <c r="CL31" i="47"/>
  <c r="CL40" i="47"/>
  <c r="CH31" i="47"/>
  <c r="CH40" i="47"/>
  <c r="CD31" i="47"/>
  <c r="CD40" i="47"/>
  <c r="BZ31" i="47"/>
  <c r="BZ40" i="47"/>
  <c r="BR31" i="47"/>
  <c r="BN31" i="47"/>
  <c r="BN40" i="47"/>
  <c r="BJ31" i="47"/>
  <c r="BJ40" i="47"/>
  <c r="BF31" i="47"/>
  <c r="BF40" i="47"/>
  <c r="AX31" i="47"/>
  <c r="AX40" i="47"/>
  <c r="AT31" i="47"/>
  <c r="AP31" i="47"/>
  <c r="AP40" i="47"/>
  <c r="AL31" i="47"/>
  <c r="AD31" i="47"/>
  <c r="AD40" i="47"/>
  <c r="Z31" i="47"/>
  <c r="Z40" i="47"/>
  <c r="V31" i="47"/>
  <c r="V40" i="47"/>
  <c r="R31" i="47"/>
  <c r="R40" i="47"/>
  <c r="N31" i="47"/>
  <c r="N40" i="47"/>
  <c r="CS31" i="47"/>
  <c r="CO31" i="47"/>
  <c r="CG39" i="47"/>
  <c r="CG31" i="47"/>
  <c r="CC39" i="47"/>
  <c r="CC31" i="47"/>
  <c r="BY39" i="47"/>
  <c r="BY31" i="47"/>
  <c r="BU39" i="47"/>
  <c r="BU31" i="47"/>
  <c r="BM31" i="47"/>
  <c r="BI39" i="47"/>
  <c r="BI31" i="47"/>
  <c r="BE39" i="47"/>
  <c r="BE31" i="47"/>
  <c r="BA39" i="47"/>
  <c r="BA31" i="47"/>
  <c r="AS39" i="47"/>
  <c r="AS31" i="47"/>
  <c r="AO39" i="47"/>
  <c r="AO31" i="47"/>
  <c r="AK39" i="47"/>
  <c r="AK31" i="47"/>
  <c r="AG31" i="47"/>
  <c r="Y31" i="47"/>
  <c r="U39" i="47"/>
  <c r="U31" i="47"/>
  <c r="Q39" i="47"/>
  <c r="Q31" i="47"/>
  <c r="I39" i="47"/>
  <c r="I31" i="47"/>
  <c r="E39" i="47"/>
  <c r="E31" i="47"/>
  <c r="CF19" i="47"/>
  <c r="CE26" i="47"/>
  <c r="CJ40" i="47"/>
  <c r="BW26" i="47"/>
  <c r="CB40" i="47"/>
  <c r="BB19" i="47"/>
  <c r="AY26" i="47"/>
  <c r="BD40" i="47"/>
  <c r="AA26" i="47"/>
  <c r="AF40" i="47"/>
  <c r="AA45" i="47"/>
  <c r="AF45" i="47"/>
  <c r="BD45" i="47"/>
  <c r="F40" i="47"/>
  <c r="F45" i="47" s="1"/>
  <c r="X25" i="47"/>
  <c r="W26" i="47"/>
  <c r="S23" i="47"/>
  <c r="R26" i="47"/>
  <c r="BL19" i="47"/>
  <c r="BK26" i="47"/>
  <c r="AE26" i="47"/>
  <c r="X23" i="47"/>
  <c r="V26" i="47"/>
  <c r="AI26" i="47"/>
  <c r="BP26" i="47"/>
  <c r="BV19" i="47"/>
  <c r="BS26" i="47"/>
  <c r="AU26" i="47"/>
  <c r="G36" i="47"/>
  <c r="G40" i="47"/>
  <c r="CM49" i="46"/>
  <c r="CM50" i="46"/>
  <c r="CN53" i="46"/>
  <c r="CN54" i="46" s="1"/>
  <c r="CM52" i="46"/>
  <c r="CA7" i="46"/>
  <c r="BX10" i="46"/>
  <c r="CO46" i="46"/>
  <c r="AQ21" i="46"/>
  <c r="AI27" i="46"/>
  <c r="AI21" i="46"/>
  <c r="BB7" i="46"/>
  <c r="AZ10" i="46"/>
  <c r="CN44" i="46"/>
  <c r="BI46" i="46"/>
  <c r="CO50" i="46"/>
  <c r="BT21" i="46"/>
  <c r="BT27" i="46"/>
  <c r="BV20" i="46"/>
  <c r="BL20" i="46"/>
  <c r="S34" i="46"/>
  <c r="N23" i="46"/>
  <c r="F23" i="46"/>
  <c r="G34" i="46"/>
  <c r="BX27" i="46"/>
  <c r="CA20" i="46"/>
  <c r="CA17" i="46"/>
  <c r="BZ18" i="46"/>
  <c r="BZ27" i="46"/>
  <c r="BR18" i="46"/>
  <c r="BR27" i="46"/>
  <c r="AW17" i="46"/>
  <c r="AT18" i="46"/>
  <c r="CA13" i="46"/>
  <c r="BX15" i="46"/>
  <c r="BX26" i="46"/>
  <c r="BB13" i="46"/>
  <c r="AZ26" i="46"/>
  <c r="AZ15" i="46"/>
  <c r="AC13" i="46"/>
  <c r="AB15" i="46"/>
  <c r="V34" i="46"/>
  <c r="CB27" i="46"/>
  <c r="CB21" i="46"/>
  <c r="BQ20" i="46"/>
  <c r="BR21" i="46"/>
  <c r="BD26" i="46"/>
  <c r="BG19" i="46"/>
  <c r="BB19" i="46"/>
  <c r="AR20" i="46"/>
  <c r="BZ21" i="46"/>
  <c r="CK14" i="46"/>
  <c r="CI15" i="46"/>
  <c r="BL14" i="46"/>
  <c r="BK15" i="46"/>
  <c r="AE15" i="46"/>
  <c r="CK8" i="46"/>
  <c r="CI10" i="46"/>
  <c r="BL8" i="46"/>
  <c r="BK10" i="46"/>
  <c r="AE10" i="46"/>
  <c r="BD21" i="46"/>
  <c r="AE21" i="46"/>
  <c r="U23" i="46"/>
  <c r="Q23" i="46"/>
  <c r="I23" i="46"/>
  <c r="E23" i="46"/>
  <c r="BB20" i="46"/>
  <c r="AW20" i="46"/>
  <c r="CK19" i="46"/>
  <c r="CD21" i="46"/>
  <c r="BF21" i="46"/>
  <c r="AP21" i="46"/>
  <c r="AL21" i="46"/>
  <c r="BQ16" i="46"/>
  <c r="BO18" i="46"/>
  <c r="AR16" i="46"/>
  <c r="AQ18" i="46"/>
  <c r="CL10" i="46"/>
  <c r="CP9" i="46"/>
  <c r="BN10" i="46"/>
  <c r="BQ9" i="46"/>
  <c r="AP10" i="46"/>
  <c r="CF17" i="46"/>
  <c r="CF18" i="46" s="1"/>
  <c r="CD18" i="46"/>
  <c r="BG17" i="46"/>
  <c r="BF18" i="46"/>
  <c r="AC17" i="46"/>
  <c r="Z18" i="46"/>
  <c r="BQ14" i="46"/>
  <c r="BO15" i="46"/>
  <c r="AR14" i="46"/>
  <c r="AQ15" i="46"/>
  <c r="CA9" i="46"/>
  <c r="BZ10" i="46"/>
  <c r="AW9" i="46"/>
  <c r="CK7" i="46"/>
  <c r="CJ10" i="46"/>
  <c r="BG7" i="46"/>
  <c r="BD10" i="46"/>
  <c r="AF10" i="46"/>
  <c r="AC19" i="46"/>
  <c r="BL17" i="46"/>
  <c r="BJ18" i="46"/>
  <c r="AM17" i="46"/>
  <c r="AL18" i="46"/>
  <c r="BV14" i="46"/>
  <c r="BS15" i="46"/>
  <c r="AW14" i="46"/>
  <c r="AU15" i="46"/>
  <c r="CD10" i="46"/>
  <c r="CD38" i="46" s="1"/>
  <c r="CF9" i="46"/>
  <c r="BG9" i="46"/>
  <c r="BF10" i="46"/>
  <c r="Z10" i="46"/>
  <c r="BS10" i="46"/>
  <c r="BV8" i="46"/>
  <c r="AU10" i="46"/>
  <c r="BP10" i="46"/>
  <c r="AM7" i="46"/>
  <c r="AJ10" i="46"/>
  <c r="CH21" i="46"/>
  <c r="BN21" i="46"/>
  <c r="BS33" i="46" s="1"/>
  <c r="BQ17" i="46"/>
  <c r="BN18" i="46"/>
  <c r="AR17" i="46"/>
  <c r="AP18" i="46"/>
  <c r="AJ15" i="46"/>
  <c r="CF14" i="46"/>
  <c r="CE15" i="46"/>
  <c r="BB14" i="46"/>
  <c r="AY15" i="46"/>
  <c r="AC14" i="46"/>
  <c r="AA15" i="46"/>
  <c r="CH10" i="46"/>
  <c r="CK9" i="46"/>
  <c r="BJ10" i="46"/>
  <c r="BL9" i="46"/>
  <c r="AM9" i="46"/>
  <c r="AL10" i="46"/>
  <c r="CF8" i="46"/>
  <c r="CE10" i="46"/>
  <c r="AY10" i="46"/>
  <c r="BB8" i="46"/>
  <c r="BV7" i="46"/>
  <c r="BT10" i="46"/>
  <c r="AV10" i="46"/>
  <c r="BQ7" i="45"/>
  <c r="BQ70" i="44" s="1"/>
  <c r="BO8" i="45"/>
  <c r="CL8" i="45"/>
  <c r="CL53" i="45"/>
  <c r="CL60" i="45"/>
  <c r="CL52" i="45"/>
  <c r="BN8" i="45"/>
  <c r="BQ6" i="45"/>
  <c r="BN53" i="45"/>
  <c r="BN60" i="45"/>
  <c r="BS60" i="45"/>
  <c r="BO67" i="45"/>
  <c r="BN52" i="45"/>
  <c r="S6" i="45"/>
  <c r="R8" i="45"/>
  <c r="R53" i="45"/>
  <c r="R60" i="45"/>
  <c r="W60" i="45"/>
  <c r="R52" i="45"/>
  <c r="J8" i="45"/>
  <c r="J53" i="45"/>
  <c r="J52" i="45"/>
  <c r="O60" i="45"/>
  <c r="CL69" i="44"/>
  <c r="R69" i="44"/>
  <c r="J69" i="44"/>
  <c r="BN67" i="45"/>
  <c r="T67" i="45"/>
  <c r="CG27" i="45"/>
  <c r="CG41" i="45"/>
  <c r="CC41" i="45"/>
  <c r="CC27" i="45"/>
  <c r="AE27" i="45"/>
  <c r="AE41" i="45"/>
  <c r="BX41" i="45"/>
  <c r="CA40" i="45"/>
  <c r="N7" i="45"/>
  <c r="K8" i="45"/>
  <c r="AR6" i="45"/>
  <c r="AP8" i="45"/>
  <c r="AP53" i="45"/>
  <c r="AP60" i="45"/>
  <c r="AP67" i="45"/>
  <c r="AP52" i="45"/>
  <c r="AU60" i="45"/>
  <c r="N6" i="45"/>
  <c r="CQ73" i="44"/>
  <c r="R67" i="45"/>
  <c r="F8" i="45"/>
  <c r="F53" i="45"/>
  <c r="F60" i="45"/>
  <c r="F52" i="45"/>
  <c r="G60" i="45"/>
  <c r="K71" i="44"/>
  <c r="K72" i="44" s="1"/>
  <c r="G71" i="44"/>
  <c r="G72" i="44" s="1"/>
  <c r="BO70" i="44"/>
  <c r="BN69" i="44"/>
  <c r="AP69" i="44"/>
  <c r="CL67" i="45"/>
  <c r="AQ67" i="45"/>
  <c r="BD41" i="45"/>
  <c r="BG40" i="45"/>
  <c r="BB40" i="45"/>
  <c r="CP37" i="45"/>
  <c r="CL23" i="45"/>
  <c r="AJ41" i="45"/>
  <c r="L41" i="45"/>
  <c r="N40" i="45"/>
  <c r="BU27" i="45"/>
  <c r="BU41" i="45"/>
  <c r="BM41" i="45"/>
  <c r="BM27" i="45"/>
  <c r="AZ23" i="45"/>
  <c r="BB34" i="45"/>
  <c r="CK40" i="45"/>
  <c r="CK41" i="45" s="1"/>
  <c r="P41" i="45"/>
  <c r="CA35" i="45"/>
  <c r="CA27" i="45" s="1"/>
  <c r="BY41" i="45"/>
  <c r="V27" i="45"/>
  <c r="V41" i="45"/>
  <c r="J27" i="45"/>
  <c r="J41" i="45"/>
  <c r="F27" i="45"/>
  <c r="F41" i="45"/>
  <c r="BI23" i="45"/>
  <c r="BL34" i="45"/>
  <c r="BL23" i="45" s="1"/>
  <c r="BD23" i="45"/>
  <c r="BG34" i="45"/>
  <c r="BG23" i="45" s="1"/>
  <c r="CA34" i="45"/>
  <c r="CA23" i="45" s="1"/>
  <c r="BS27" i="45"/>
  <c r="AC34" i="45"/>
  <c r="I27" i="45"/>
  <c r="AL27" i="45"/>
  <c r="AL23" i="45"/>
  <c r="AD23" i="45"/>
  <c r="BL35" i="45"/>
  <c r="BV34" i="45"/>
  <c r="BV23" i="45" s="1"/>
  <c r="AW34" i="45"/>
  <c r="AW23" i="45" s="1"/>
  <c r="AM34" i="45"/>
  <c r="AJ23" i="45"/>
  <c r="AO27" i="45"/>
  <c r="U27" i="45"/>
  <c r="BX23" i="45"/>
  <c r="BA23" i="45"/>
  <c r="M23" i="45"/>
  <c r="I23" i="45"/>
  <c r="E23" i="45"/>
  <c r="BB16" i="45"/>
  <c r="CA9" i="45"/>
  <c r="BB9" i="45"/>
  <c r="X9" i="45"/>
  <c r="BE23" i="45"/>
  <c r="Q23" i="45"/>
  <c r="AM17" i="45"/>
  <c r="BG16" i="45"/>
  <c r="AW16" i="45"/>
  <c r="AP27" i="45"/>
  <c r="Q27" i="45"/>
  <c r="CK23" i="45"/>
  <c r="AS23" i="45"/>
  <c r="U23" i="45"/>
  <c r="AR17" i="45"/>
  <c r="CA16" i="45"/>
  <c r="BL17" i="45"/>
  <c r="S16" i="45"/>
  <c r="BV14" i="45"/>
  <c r="AO23" i="45"/>
  <c r="AK23" i="45"/>
  <c r="CF17" i="45"/>
  <c r="AM16" i="45"/>
  <c r="CA14" i="45"/>
  <c r="BQ14" i="45"/>
  <c r="AC14" i="45"/>
  <c r="CF9" i="45"/>
  <c r="BG9" i="45"/>
  <c r="AH9" i="45"/>
  <c r="BV7" i="45"/>
  <c r="BV70" i="44" s="1"/>
  <c r="BS8" i="45"/>
  <c r="AW7" i="45"/>
  <c r="AU8" i="45"/>
  <c r="X7" i="45"/>
  <c r="W8" i="45"/>
  <c r="CA6" i="45"/>
  <c r="DN75" i="45" s="1"/>
  <c r="BZ8" i="45"/>
  <c r="AT8" i="45"/>
  <c r="AW6" i="45"/>
  <c r="X6" i="45"/>
  <c r="V8" i="45"/>
  <c r="BL9" i="45"/>
  <c r="AM9" i="45"/>
  <c r="N9" i="45"/>
  <c r="CF7" i="45"/>
  <c r="CE8" i="45"/>
  <c r="BB7" i="45"/>
  <c r="AY8" i="45"/>
  <c r="AC7" i="45"/>
  <c r="AA8" i="45"/>
  <c r="CF6" i="45"/>
  <c r="DO75" i="45" s="1"/>
  <c r="CD8" i="45"/>
  <c r="BG6" i="45"/>
  <c r="BF8" i="45"/>
  <c r="Z8" i="45"/>
  <c r="AC6" i="45"/>
  <c r="BG14" i="45"/>
  <c r="BV9" i="45"/>
  <c r="AR9" i="45"/>
  <c r="S9" i="45"/>
  <c r="CK7" i="45"/>
  <c r="CK70" i="44" s="1"/>
  <c r="CI8" i="45"/>
  <c r="BL7" i="45"/>
  <c r="BK8" i="45"/>
  <c r="AH7" i="45"/>
  <c r="AE8" i="45"/>
  <c r="CH8" i="45"/>
  <c r="CK6" i="45"/>
  <c r="DP75" i="45" s="1"/>
  <c r="BL6" i="45"/>
  <c r="BJ8" i="45"/>
  <c r="AM6" i="45"/>
  <c r="AL8" i="45"/>
  <c r="CC50" i="44"/>
  <c r="BK50" i="44"/>
  <c r="BW71" i="44"/>
  <c r="BW72" i="44" s="1"/>
  <c r="BH12" i="44"/>
  <c r="BI71" i="44"/>
  <c r="BI72" i="44" s="1"/>
  <c r="AI71" i="44"/>
  <c r="AI72" i="44" s="1"/>
  <c r="T12" i="44"/>
  <c r="T71" i="44"/>
  <c r="T72" i="44" s="1"/>
  <c r="U71" i="44"/>
  <c r="U72" i="44" s="1"/>
  <c r="BO12" i="44"/>
  <c r="BO69" i="44"/>
  <c r="BP69" i="44"/>
  <c r="S7" i="44"/>
  <c r="R12" i="44"/>
  <c r="R53" i="44"/>
  <c r="N53" i="44"/>
  <c r="BS50" i="44"/>
  <c r="BM71" i="44"/>
  <c r="BM72" i="44" s="1"/>
  <c r="BD12" i="44"/>
  <c r="BD71" i="44"/>
  <c r="BD72" i="44" s="1"/>
  <c r="BE71" i="44"/>
  <c r="BE72" i="44" s="1"/>
  <c r="Y71" i="44"/>
  <c r="Y72" i="44" s="1"/>
  <c r="P12" i="44"/>
  <c r="P71" i="44"/>
  <c r="P72" i="44" s="1"/>
  <c r="Q71" i="44"/>
  <c r="Q72" i="44" s="1"/>
  <c r="AA12" i="44"/>
  <c r="AA69" i="44"/>
  <c r="AB69" i="44"/>
  <c r="CD12" i="44"/>
  <c r="CD53" i="44"/>
  <c r="F12" i="44"/>
  <c r="F53" i="44"/>
  <c r="F54" i="44" s="1"/>
  <c r="CM50" i="44"/>
  <c r="O50" i="44"/>
  <c r="BQ9" i="44"/>
  <c r="BQ12" i="44" s="1"/>
  <c r="BP12" i="44"/>
  <c r="BP71" i="44"/>
  <c r="BP72" i="44" s="1"/>
  <c r="AC9" i="44"/>
  <c r="AC12" i="44" s="1"/>
  <c r="AB12" i="44"/>
  <c r="AB71" i="44"/>
  <c r="AB72" i="44" s="1"/>
  <c r="J12" i="44"/>
  <c r="J53" i="44"/>
  <c r="AK54" i="44"/>
  <c r="Y54" i="44"/>
  <c r="BE54" i="44"/>
  <c r="AS54" i="44"/>
  <c r="AS57" i="44"/>
  <c r="CI50" i="44"/>
  <c r="BY50" i="44"/>
  <c r="CQ32" i="44"/>
  <c r="CP49" i="44"/>
  <c r="CK57" i="44"/>
  <c r="DE108" i="44" s="1"/>
  <c r="CC56" i="44"/>
  <c r="BY57" i="44"/>
  <c r="N30" i="44"/>
  <c r="N56" i="44" s="1"/>
  <c r="M56" i="44"/>
  <c r="I57" i="44"/>
  <c r="E56" i="44"/>
  <c r="CS73" i="44"/>
  <c r="CO73" i="44"/>
  <c r="BM54" i="44"/>
  <c r="BI54" i="44"/>
  <c r="BI57" i="44"/>
  <c r="BC50" i="44"/>
  <c r="AA50" i="44"/>
  <c r="CA41" i="44"/>
  <c r="AW37" i="44"/>
  <c r="AW41" i="44" s="1"/>
  <c r="AV41" i="44"/>
  <c r="BL36" i="44"/>
  <c r="BL41" i="44" s="1"/>
  <c r="BK41" i="44"/>
  <c r="CK41" i="44"/>
  <c r="BG35" i="44"/>
  <c r="BG41" i="44" s="1"/>
  <c r="BF41" i="44"/>
  <c r="BB41" i="44"/>
  <c r="BW57" i="44"/>
  <c r="BM57" i="44"/>
  <c r="AA57" i="44"/>
  <c r="Q57" i="44"/>
  <c r="K57" i="44"/>
  <c r="X41" i="44"/>
  <c r="C41" i="44"/>
  <c r="CF28" i="44"/>
  <c r="CF29" i="44" s="1"/>
  <c r="CF34" i="44" s="1"/>
  <c r="CE29" i="44"/>
  <c r="CE34" i="44" s="1"/>
  <c r="BV26" i="44"/>
  <c r="BV29" i="44" s="1"/>
  <c r="BV34" i="44" s="1"/>
  <c r="BU29" i="44"/>
  <c r="BU34" i="44" s="1"/>
  <c r="CS22" i="44"/>
  <c r="BE41" i="44"/>
  <c r="BA41" i="44"/>
  <c r="X32" i="44"/>
  <c r="CM26" i="44"/>
  <c r="CL29" i="44"/>
  <c r="CL34" i="44" s="1"/>
  <c r="I29" i="44"/>
  <c r="BY41" i="44"/>
  <c r="BU41" i="44"/>
  <c r="BQ41" i="44"/>
  <c r="BM41" i="44"/>
  <c r="BI41" i="44"/>
  <c r="Q41" i="44"/>
  <c r="M41" i="44"/>
  <c r="I41" i="44"/>
  <c r="E41" i="44"/>
  <c r="AM27" i="44"/>
  <c r="AM29" i="44" s="1"/>
  <c r="AM34" i="44" s="1"/>
  <c r="AL29" i="44"/>
  <c r="AL34" i="44" s="1"/>
  <c r="BQ29" i="44"/>
  <c r="BQ34" i="44" s="1"/>
  <c r="E49" i="44"/>
  <c r="CJ41" i="44"/>
  <c r="CE41" i="44"/>
  <c r="BZ41" i="44"/>
  <c r="CG41" i="44"/>
  <c r="CC41" i="44"/>
  <c r="AK41" i="44"/>
  <c r="AG41" i="44"/>
  <c r="Y41" i="44"/>
  <c r="U41" i="44"/>
  <c r="AR32" i="44"/>
  <c r="BL27" i="44"/>
  <c r="BL29" i="44" s="1"/>
  <c r="BL34" i="44" s="1"/>
  <c r="BK29" i="44"/>
  <c r="S26" i="44"/>
  <c r="R29" i="44"/>
  <c r="R34" i="44" s="1"/>
  <c r="N29" i="44"/>
  <c r="CI29" i="44"/>
  <c r="AY29" i="44"/>
  <c r="AU29" i="44"/>
  <c r="BG24" i="44"/>
  <c r="BF29" i="44"/>
  <c r="BF34" i="44" s="1"/>
  <c r="BB29" i="44"/>
  <c r="AX29" i="44"/>
  <c r="AX34" i="44" s="1"/>
  <c r="AP29" i="44"/>
  <c r="AP34" i="44" s="1"/>
  <c r="CG29" i="44"/>
  <c r="BY29" i="44"/>
  <c r="AH23" i="44"/>
  <c r="AG29" i="44"/>
  <c r="AG34" i="44" s="1"/>
  <c r="CK29" i="44"/>
  <c r="CK34" i="44" s="1"/>
  <c r="D29" i="44"/>
  <c r="F29" i="44"/>
  <c r="BB10" i="44"/>
  <c r="BB12" i="44" s="1"/>
  <c r="BA12" i="44"/>
  <c r="N10" i="44"/>
  <c r="N12" i="44" s="1"/>
  <c r="M12" i="44"/>
  <c r="BA29" i="44"/>
  <c r="BA34" i="44" s="1"/>
  <c r="M29" i="44"/>
  <c r="M34" i="44" s="1"/>
  <c r="CL12" i="44"/>
  <c r="CH12" i="44"/>
  <c r="AM7" i="44"/>
  <c r="AL12" i="44"/>
  <c r="AD12" i="44"/>
  <c r="Z12" i="44"/>
  <c r="V12" i="44"/>
  <c r="BV10" i="44"/>
  <c r="BV12" i="44" s="1"/>
  <c r="BU12" i="44"/>
  <c r="AH10" i="44"/>
  <c r="AG12" i="44"/>
  <c r="CK9" i="44"/>
  <c r="CJ12" i="44"/>
  <c r="AW9" i="44"/>
  <c r="AV12" i="44"/>
  <c r="BG7" i="44"/>
  <c r="BF12" i="44"/>
  <c r="AX12" i="44"/>
  <c r="AT12" i="44"/>
  <c r="AP12" i="44"/>
  <c r="CE12" i="44"/>
  <c r="BL12" i="44"/>
  <c r="CF12" i="44"/>
  <c r="CA7" i="44"/>
  <c r="BZ12" i="44"/>
  <c r="BR12" i="44"/>
  <c r="BN12" i="44"/>
  <c r="BJ12" i="44"/>
  <c r="W118" i="43"/>
  <c r="AQ71" i="43"/>
  <c r="AR72" i="43"/>
  <c r="AQ72" i="43" s="1"/>
  <c r="BI20" i="43"/>
  <c r="BI22" i="43"/>
  <c r="BI25" i="43"/>
  <c r="BE20" i="43"/>
  <c r="BE22" i="43"/>
  <c r="BE25" i="43"/>
  <c r="BA20" i="43"/>
  <c r="BA22" i="43"/>
  <c r="BA25" i="43"/>
  <c r="AS20" i="43"/>
  <c r="AS22" i="43"/>
  <c r="AS25" i="43"/>
  <c r="I20" i="43"/>
  <c r="I22" i="43"/>
  <c r="I32" i="43" s="1"/>
  <c r="I25" i="43"/>
  <c r="E15" i="43"/>
  <c r="E18" i="43" s="1"/>
  <c r="CK8" i="43"/>
  <c r="CK12" i="43" s="1"/>
  <c r="CK15" i="43" s="1"/>
  <c r="CK18" i="43" s="1"/>
  <c r="CK170" i="43"/>
  <c r="CK169" i="43"/>
  <c r="CK173" i="43"/>
  <c r="CK172" i="43"/>
  <c r="CK174" i="43"/>
  <c r="CK175" i="43"/>
  <c r="CK176" i="43"/>
  <c r="BQ8" i="43"/>
  <c r="BQ12" i="43" s="1"/>
  <c r="BQ15" i="43" s="1"/>
  <c r="BQ18" i="43" s="1"/>
  <c r="BQ170" i="43"/>
  <c r="BQ169" i="43"/>
  <c r="BQ173" i="43"/>
  <c r="BQ277" i="43" s="1"/>
  <c r="BQ172" i="43"/>
  <c r="BQ269" i="43" s="1"/>
  <c r="BQ175" i="43"/>
  <c r="BQ267" i="43" s="1"/>
  <c r="BQ176" i="43"/>
  <c r="BQ305" i="43" s="1"/>
  <c r="AW170" i="43"/>
  <c r="AW171" i="43"/>
  <c r="AW176" i="43"/>
  <c r="CP211" i="43"/>
  <c r="AH156" i="43"/>
  <c r="AD158" i="43"/>
  <c r="AD66" i="47" s="1"/>
  <c r="AD73" i="47" s="1"/>
  <c r="BV234" i="43"/>
  <c r="BV233" i="43" s="1"/>
  <c r="BV280" i="43"/>
  <c r="AY165" i="43"/>
  <c r="CF308" i="43"/>
  <c r="CA309" i="43"/>
  <c r="BL233" i="43"/>
  <c r="CF310" i="43"/>
  <c r="CA311" i="43"/>
  <c r="AQ201" i="43"/>
  <c r="AQ40" i="45" s="1"/>
  <c r="AR40" i="45" s="1"/>
  <c r="AC177" i="43"/>
  <c r="E177" i="43"/>
  <c r="I149" i="43"/>
  <c r="BQ187" i="43"/>
  <c r="AR177" i="43"/>
  <c r="X177" i="43"/>
  <c r="H177" i="43"/>
  <c r="D177" i="43"/>
  <c r="AB138" i="43"/>
  <c r="AB139" i="43" s="1"/>
  <c r="AB118" i="43"/>
  <c r="BA82" i="43"/>
  <c r="W82" i="43"/>
  <c r="X99" i="43"/>
  <c r="W99" i="43" s="1"/>
  <c r="BL177" i="43"/>
  <c r="CL165" i="43"/>
  <c r="CH165" i="43"/>
  <c r="CD165" i="43"/>
  <c r="BZ165" i="43"/>
  <c r="U149" i="43"/>
  <c r="BB138" i="43"/>
  <c r="BL222" i="43"/>
  <c r="R201" i="43"/>
  <c r="R40" i="45" s="1"/>
  <c r="S40" i="45" s="1"/>
  <c r="S41" i="45" s="1"/>
  <c r="W193" i="43"/>
  <c r="CK187" i="43"/>
  <c r="N184" i="43"/>
  <c r="CA158" i="43"/>
  <c r="R165" i="43"/>
  <c r="AB148" i="43"/>
  <c r="R148" i="43"/>
  <c r="AV148" i="43"/>
  <c r="CF148" i="43"/>
  <c r="BL148" i="43"/>
  <c r="AC139" i="43"/>
  <c r="CF138" i="43"/>
  <c r="AW132" i="43"/>
  <c r="AT138" i="43"/>
  <c r="AH160" i="43"/>
  <c r="AH162" i="43" s="1"/>
  <c r="CK93" i="43"/>
  <c r="CJ99" i="43"/>
  <c r="CA82" i="43"/>
  <c r="BZ99" i="43"/>
  <c r="BP93" i="43"/>
  <c r="BQ98" i="43"/>
  <c r="BL93" i="43"/>
  <c r="BK99" i="43"/>
  <c r="BL99" i="43" s="1"/>
  <c r="S99" i="43"/>
  <c r="R99" i="43" s="1"/>
  <c r="R93" i="43"/>
  <c r="W58" i="43"/>
  <c r="W27" i="44" s="1"/>
  <c r="X27" i="44" s="1"/>
  <c r="X60" i="43"/>
  <c r="W60" i="43" s="1"/>
  <c r="M43" i="43"/>
  <c r="N50" i="43"/>
  <c r="T20" i="43"/>
  <c r="T22" i="43"/>
  <c r="T32" i="43" s="1"/>
  <c r="T25" i="43"/>
  <c r="CB20" i="43"/>
  <c r="CB22" i="43"/>
  <c r="CB25" i="43"/>
  <c r="BP20" i="43"/>
  <c r="BP22" i="43"/>
  <c r="BP25" i="43"/>
  <c r="BG234" i="43"/>
  <c r="AM108" i="43"/>
  <c r="CF93" i="43"/>
  <c r="CE99" i="43"/>
  <c r="CF99" i="43" s="1"/>
  <c r="AA99" i="43"/>
  <c r="AA122" i="43" s="1"/>
  <c r="AT99" i="43"/>
  <c r="AT122" i="43" s="1"/>
  <c r="CA71" i="43"/>
  <c r="AM71" i="43"/>
  <c r="BV98" i="43"/>
  <c r="CB50" i="43"/>
  <c r="BA43" i="43"/>
  <c r="BB50" i="43"/>
  <c r="BA50" i="43" s="1"/>
  <c r="BH20" i="43"/>
  <c r="BH22" i="43"/>
  <c r="BH25" i="43"/>
  <c r="AV20" i="43"/>
  <c r="AV22" i="43"/>
  <c r="AV25" i="43"/>
  <c r="BA111" i="43"/>
  <c r="AG93" i="43"/>
  <c r="AG43" i="43"/>
  <c r="AH50" i="43"/>
  <c r="CF41" i="43"/>
  <c r="CF43" i="43" s="1"/>
  <c r="CF50" i="43" s="1"/>
  <c r="CE43" i="43"/>
  <c r="CE50" i="43" s="1"/>
  <c r="BQ43" i="43"/>
  <c r="BQ50" i="43" s="1"/>
  <c r="CK23" i="43"/>
  <c r="CK26" i="43"/>
  <c r="BQ23" i="43"/>
  <c r="BQ26" i="43"/>
  <c r="AW23" i="43"/>
  <c r="AW26" i="43"/>
  <c r="BX20" i="43"/>
  <c r="BX22" i="43"/>
  <c r="BX25" i="43"/>
  <c r="U15" i="43"/>
  <c r="U18" i="43" s="1"/>
  <c r="W18" i="43" s="1"/>
  <c r="W12" i="43"/>
  <c r="AG11" i="43"/>
  <c r="AG11" i="45" s="1"/>
  <c r="AG12" i="45" s="1"/>
  <c r="AE12" i="43"/>
  <c r="N118" i="43"/>
  <c r="N99" i="43"/>
  <c r="M99" i="43" s="1"/>
  <c r="AW65" i="43"/>
  <c r="BV60" i="43"/>
  <c r="BV65" i="43" s="1"/>
  <c r="AZ20" i="43"/>
  <c r="AZ22" i="43"/>
  <c r="AZ25" i="43"/>
  <c r="CJ20" i="43"/>
  <c r="CJ22" i="43"/>
  <c r="CJ25" i="43"/>
  <c r="BD20" i="43"/>
  <c r="BD22" i="43"/>
  <c r="BD25" i="43"/>
  <c r="AF20" i="43"/>
  <c r="AF22" i="43"/>
  <c r="AF32" i="43" s="1"/>
  <c r="AF25" i="43"/>
  <c r="D20" i="43"/>
  <c r="D22" i="43"/>
  <c r="D32" i="43" s="1"/>
  <c r="D25" i="43"/>
  <c r="CC20" i="43"/>
  <c r="CC22" i="43"/>
  <c r="BY20" i="43"/>
  <c r="BY22" i="43"/>
  <c r="BU20" i="43"/>
  <c r="BU22" i="43"/>
  <c r="BM20" i="43"/>
  <c r="BM22" i="43"/>
  <c r="Y20" i="43"/>
  <c r="Y22" i="43"/>
  <c r="Y32" i="43" s="1"/>
  <c r="BT20" i="43"/>
  <c r="BT22" i="43"/>
  <c r="AR20" i="43"/>
  <c r="AR22" i="43"/>
  <c r="AJ20" i="43"/>
  <c r="AJ22" i="43"/>
  <c r="AJ32" i="43" s="1"/>
  <c r="X20" i="43"/>
  <c r="X22" i="43"/>
  <c r="X32" i="43" s="1"/>
  <c r="CG20" i="43"/>
  <c r="CG22" i="43"/>
  <c r="M11" i="43"/>
  <c r="M11" i="45" s="1"/>
  <c r="N11" i="45" s="1"/>
  <c r="L12" i="43"/>
  <c r="AR50" i="43"/>
  <c r="AQ50" i="43" s="1"/>
  <c r="X50" i="43"/>
  <c r="W50" i="43" s="1"/>
  <c r="AK20" i="43"/>
  <c r="AK22" i="43"/>
  <c r="AK32" i="43" s="1"/>
  <c r="R11" i="43"/>
  <c r="R11" i="45" s="1"/>
  <c r="S11" i="45" s="1"/>
  <c r="P12" i="43"/>
  <c r="AB8" i="43"/>
  <c r="W8" i="43"/>
  <c r="R8" i="43"/>
  <c r="C7" i="42"/>
  <c r="D7" i="42"/>
  <c r="E7" i="42"/>
  <c r="F7" i="42"/>
  <c r="G7" i="42"/>
  <c r="H7" i="42"/>
  <c r="I7" i="42"/>
  <c r="J7" i="42"/>
  <c r="O7" i="42"/>
  <c r="P7" i="42" s="1"/>
  <c r="Q7" i="42" s="1"/>
  <c r="R7" i="42" s="1"/>
  <c r="T7" i="42"/>
  <c r="U7" i="42" s="1"/>
  <c r="Y7" i="42"/>
  <c r="Z7" i="42" s="1"/>
  <c r="AA7" i="42" s="1"/>
  <c r="AB7" i="42" s="1"/>
  <c r="AD7" i="42"/>
  <c r="AI7" i="42"/>
  <c r="AJ7" i="42" s="1"/>
  <c r="AK7" i="42" s="1"/>
  <c r="AL7" i="42" s="1"/>
  <c r="AN7" i="42"/>
  <c r="AO7" i="42" s="1"/>
  <c r="AS7" i="42"/>
  <c r="AX7" i="42"/>
  <c r="BC7" i="42"/>
  <c r="BD7" i="42" s="1"/>
  <c r="BE7" i="42" s="1"/>
  <c r="BF7" i="42" s="1"/>
  <c r="BH7" i="42"/>
  <c r="BI7" i="42" s="1"/>
  <c r="BM7" i="42"/>
  <c r="BN7" i="42" s="1"/>
  <c r="BO7" i="42" s="1"/>
  <c r="BP7" i="42" s="1"/>
  <c r="BR7" i="42"/>
  <c r="BW7" i="42"/>
  <c r="BX7" i="42" s="1"/>
  <c r="BY7" i="42" s="1"/>
  <c r="BZ7" i="42" s="1"/>
  <c r="CB7" i="42"/>
  <c r="CC7" i="42" s="1"/>
  <c r="CG7" i="42"/>
  <c r="CH7" i="42" s="1"/>
  <c r="CI7" i="42" s="1"/>
  <c r="CJ7" i="42" s="1"/>
  <c r="CL7" i="42"/>
  <c r="C8" i="42"/>
  <c r="D8" i="42"/>
  <c r="E8" i="42"/>
  <c r="F8" i="42"/>
  <c r="G8" i="42"/>
  <c r="H8" i="42"/>
  <c r="I8" i="42"/>
  <c r="J8" i="42"/>
  <c r="K8" i="42" s="1"/>
  <c r="L8" i="42" s="1"/>
  <c r="M8" i="42" s="1"/>
  <c r="O8" i="42"/>
  <c r="P8" i="42" s="1"/>
  <c r="Q8" i="42" s="1"/>
  <c r="R8" i="42" s="1"/>
  <c r="S8" i="42" s="1"/>
  <c r="T8" i="42"/>
  <c r="U8" i="42" s="1"/>
  <c r="V8" i="42" s="1"/>
  <c r="W8" i="42" s="1"/>
  <c r="Y8" i="42"/>
  <c r="Z8" i="42" s="1"/>
  <c r="AA8" i="42" s="1"/>
  <c r="AB8" i="42" s="1"/>
  <c r="AD8" i="42"/>
  <c r="AE8" i="42" s="1"/>
  <c r="AF8" i="42" s="1"/>
  <c r="AG8" i="42" s="1"/>
  <c r="AI8" i="42"/>
  <c r="AJ8" i="42" s="1"/>
  <c r="AK8" i="42" s="1"/>
  <c r="AL8" i="42" s="1"/>
  <c r="AN8" i="42"/>
  <c r="AO8" i="42" s="1"/>
  <c r="AP8" i="42" s="1"/>
  <c r="AQ8" i="42" s="1"/>
  <c r="AS8" i="42"/>
  <c r="AT8" i="42" s="1"/>
  <c r="AU8" i="42" s="1"/>
  <c r="AV8" i="42" s="1"/>
  <c r="AX8" i="42"/>
  <c r="AY8" i="42" s="1"/>
  <c r="AZ8" i="42" s="1"/>
  <c r="BA8" i="42" s="1"/>
  <c r="BC8" i="42"/>
  <c r="BD8" i="42" s="1"/>
  <c r="BE8" i="42" s="1"/>
  <c r="BF8" i="42" s="1"/>
  <c r="BH8" i="42"/>
  <c r="BI8" i="42" s="1"/>
  <c r="BJ8" i="42" s="1"/>
  <c r="BK8" i="42" s="1"/>
  <c r="BM8" i="42"/>
  <c r="BN8" i="42" s="1"/>
  <c r="BO8" i="42" s="1"/>
  <c r="BP8" i="42" s="1"/>
  <c r="BR8" i="42"/>
  <c r="BS8" i="42" s="1"/>
  <c r="BT8" i="42" s="1"/>
  <c r="BU8" i="42" s="1"/>
  <c r="BW8" i="42"/>
  <c r="BX8" i="42" s="1"/>
  <c r="BY8" i="42" s="1"/>
  <c r="BZ8" i="42" s="1"/>
  <c r="CB8" i="42"/>
  <c r="CC8" i="42" s="1"/>
  <c r="CD8" i="42" s="1"/>
  <c r="CE8" i="42" s="1"/>
  <c r="CG8" i="42"/>
  <c r="CH8" i="42" s="1"/>
  <c r="CI8" i="42" s="1"/>
  <c r="CJ8" i="42" s="1"/>
  <c r="CL8" i="42"/>
  <c r="CM8" i="42"/>
  <c r="CN8" i="42"/>
  <c r="CO8" i="42"/>
  <c r="CQ8" i="42"/>
  <c r="CR8" i="42"/>
  <c r="CS8" i="42"/>
  <c r="C9" i="42"/>
  <c r="D9" i="42"/>
  <c r="E9" i="42"/>
  <c r="F9" i="42"/>
  <c r="G9" i="42"/>
  <c r="H9" i="42"/>
  <c r="I9" i="42"/>
  <c r="J9" i="42"/>
  <c r="K9" i="42" s="1"/>
  <c r="L9" i="42" s="1"/>
  <c r="M9" i="42" s="1"/>
  <c r="O9" i="42"/>
  <c r="P9" i="42" s="1"/>
  <c r="T9" i="42"/>
  <c r="Y9" i="42"/>
  <c r="Z9" i="42" s="1"/>
  <c r="AA9" i="42" s="1"/>
  <c r="AD9" i="42"/>
  <c r="AE9" i="42" s="1"/>
  <c r="AF9" i="42" s="1"/>
  <c r="AG9" i="42" s="1"/>
  <c r="AI9" i="42"/>
  <c r="AJ9" i="42" s="1"/>
  <c r="AK9" i="42" s="1"/>
  <c r="AN9" i="42"/>
  <c r="AS9" i="42"/>
  <c r="AT9" i="42" s="1"/>
  <c r="AU9" i="42" s="1"/>
  <c r="AV9" i="42" s="1"/>
  <c r="AX9" i="42"/>
  <c r="AY9" i="42" s="1"/>
  <c r="AZ9" i="42" s="1"/>
  <c r="BC9" i="42"/>
  <c r="BH9" i="42"/>
  <c r="BI9" i="42" s="1"/>
  <c r="BJ9" i="42" s="1"/>
  <c r="BK9" i="42" s="1"/>
  <c r="BM9" i="42"/>
  <c r="BN9" i="42" s="1"/>
  <c r="BO9" i="42" s="1"/>
  <c r="BP9" i="42" s="1"/>
  <c r="BR9" i="42"/>
  <c r="BS9" i="42" s="1"/>
  <c r="BT9" i="42" s="1"/>
  <c r="BU9" i="42" s="1"/>
  <c r="BW9" i="42"/>
  <c r="BX9" i="42" s="1"/>
  <c r="BY9" i="42" s="1"/>
  <c r="BZ9" i="42" s="1"/>
  <c r="CB9" i="42"/>
  <c r="CC9" i="42" s="1"/>
  <c r="CD9" i="42" s="1"/>
  <c r="CE9" i="42" s="1"/>
  <c r="CG9" i="42"/>
  <c r="CH9" i="42" s="1"/>
  <c r="CI9" i="42" s="1"/>
  <c r="CJ9" i="42" s="1"/>
  <c r="CL9" i="42"/>
  <c r="C10" i="42"/>
  <c r="C47" i="45" s="1"/>
  <c r="D10" i="42"/>
  <c r="D47" i="45" s="1"/>
  <c r="E10" i="42"/>
  <c r="E47" i="45" s="1"/>
  <c r="F10" i="42"/>
  <c r="F47" i="45" s="1"/>
  <c r="G10" i="42"/>
  <c r="G47" i="45" s="1"/>
  <c r="H10" i="42"/>
  <c r="H47" i="45" s="1"/>
  <c r="I10" i="42"/>
  <c r="I47" i="45" s="1"/>
  <c r="J10" i="42"/>
  <c r="J47" i="45" s="1"/>
  <c r="O10" i="42"/>
  <c r="O47" i="45" s="1"/>
  <c r="T10" i="42"/>
  <c r="T47" i="45" s="1"/>
  <c r="Y10" i="42"/>
  <c r="Y47" i="45" s="1"/>
  <c r="AD10" i="42"/>
  <c r="AD47" i="45" s="1"/>
  <c r="AI10" i="42"/>
  <c r="AI47" i="45" s="1"/>
  <c r="AN10" i="42"/>
  <c r="AN47" i="45" s="1"/>
  <c r="AS10" i="42"/>
  <c r="AS47" i="45" s="1"/>
  <c r="AX10" i="42"/>
  <c r="AX47" i="45" s="1"/>
  <c r="BC10" i="42"/>
  <c r="BC47" i="45" s="1"/>
  <c r="BH10" i="42"/>
  <c r="BH47" i="45" s="1"/>
  <c r="BM10" i="42"/>
  <c r="BM47" i="45" s="1"/>
  <c r="BR10" i="42"/>
  <c r="BR47" i="45" s="1"/>
  <c r="BW10" i="42"/>
  <c r="BW47" i="45" s="1"/>
  <c r="CB10" i="42"/>
  <c r="CB47" i="45" s="1"/>
  <c r="CG10" i="42"/>
  <c r="CG47" i="45" s="1"/>
  <c r="CL10" i="42"/>
  <c r="CL47" i="45" s="1"/>
  <c r="C11" i="42"/>
  <c r="D11" i="42"/>
  <c r="E11" i="42"/>
  <c r="F11" i="42"/>
  <c r="G11" i="42"/>
  <c r="H11" i="42"/>
  <c r="I11" i="42"/>
  <c r="J11" i="42"/>
  <c r="K11" i="42" s="1"/>
  <c r="L11" i="42" s="1"/>
  <c r="O11" i="42"/>
  <c r="P11" i="42" s="1"/>
  <c r="Q11" i="42" s="1"/>
  <c r="R11" i="42" s="1"/>
  <c r="T11" i="42"/>
  <c r="Y11" i="42"/>
  <c r="Z11" i="42" s="1"/>
  <c r="AD11" i="42"/>
  <c r="AE11" i="42" s="1"/>
  <c r="AI11" i="42"/>
  <c r="AJ11" i="42" s="1"/>
  <c r="AK11" i="42" s="1"/>
  <c r="AL11" i="42" s="1"/>
  <c r="AN11" i="42"/>
  <c r="AS11" i="42"/>
  <c r="AT11" i="42" s="1"/>
  <c r="AU11" i="42" s="1"/>
  <c r="AV11" i="42" s="1"/>
  <c r="AX11" i="42"/>
  <c r="AY11" i="42" s="1"/>
  <c r="AZ11" i="42" s="1"/>
  <c r="BC11" i="42"/>
  <c r="BD11" i="42" s="1"/>
  <c r="BE11" i="42" s="1"/>
  <c r="BF11" i="42" s="1"/>
  <c r="BH11" i="42"/>
  <c r="BM11" i="42"/>
  <c r="BN11" i="42" s="1"/>
  <c r="BO11" i="42" s="1"/>
  <c r="BP11" i="42" s="1"/>
  <c r="BR11" i="42"/>
  <c r="BS11" i="42" s="1"/>
  <c r="BT11" i="42" s="1"/>
  <c r="BU11" i="42" s="1"/>
  <c r="BW11" i="42"/>
  <c r="CB11" i="42"/>
  <c r="CC11" i="42" s="1"/>
  <c r="CD11" i="42" s="1"/>
  <c r="CE11" i="42" s="1"/>
  <c r="CG11" i="42"/>
  <c r="CH11" i="42" s="1"/>
  <c r="CI11" i="42" s="1"/>
  <c r="CJ11" i="42" s="1"/>
  <c r="CL11" i="42"/>
  <c r="CP11" i="42" s="1"/>
  <c r="C12" i="42"/>
  <c r="D12" i="42"/>
  <c r="E12" i="42"/>
  <c r="F12" i="42"/>
  <c r="G12" i="42"/>
  <c r="H12" i="42"/>
  <c r="I12" i="42"/>
  <c r="J12" i="42"/>
  <c r="K12" i="42" s="1"/>
  <c r="L12" i="42" s="1"/>
  <c r="O12" i="42"/>
  <c r="P12" i="42" s="1"/>
  <c r="Q12" i="42" s="1"/>
  <c r="R12" i="42" s="1"/>
  <c r="S12" i="42" s="1"/>
  <c r="T12" i="42"/>
  <c r="U12" i="42" s="1"/>
  <c r="V12" i="42" s="1"/>
  <c r="Y12" i="42"/>
  <c r="Z12" i="42" s="1"/>
  <c r="AA12" i="42" s="1"/>
  <c r="AB12" i="42" s="1"/>
  <c r="AD12" i="42"/>
  <c r="AE12" i="42" s="1"/>
  <c r="AF12" i="42" s="1"/>
  <c r="AG12" i="42" s="1"/>
  <c r="AI12" i="42"/>
  <c r="AJ12" i="42" s="1"/>
  <c r="AN12" i="42"/>
  <c r="AS12" i="42"/>
  <c r="AT12" i="42" s="1"/>
  <c r="AU12" i="42" s="1"/>
  <c r="AV12" i="42" s="1"/>
  <c r="AX12" i="42"/>
  <c r="AY12" i="42" s="1"/>
  <c r="AZ12" i="42" s="1"/>
  <c r="BA12" i="42" s="1"/>
  <c r="BC12" i="42"/>
  <c r="BD12" i="42" s="1"/>
  <c r="BH12" i="42"/>
  <c r="BM12" i="42"/>
  <c r="BN12" i="42" s="1"/>
  <c r="BO12" i="42" s="1"/>
  <c r="BP12" i="42" s="1"/>
  <c r="BR12" i="42"/>
  <c r="BS12" i="42" s="1"/>
  <c r="BT12" i="42" s="1"/>
  <c r="BU12" i="42" s="1"/>
  <c r="BW12" i="42"/>
  <c r="BX12" i="42" s="1"/>
  <c r="CB12" i="42"/>
  <c r="CG12" i="42"/>
  <c r="CH12" i="42" s="1"/>
  <c r="CL12" i="42"/>
  <c r="CP12" i="42" s="1"/>
  <c r="C13" i="42"/>
  <c r="D13" i="42"/>
  <c r="E13" i="42"/>
  <c r="F13" i="42"/>
  <c r="G13" i="42"/>
  <c r="H13" i="42"/>
  <c r="I13" i="42"/>
  <c r="J13" i="42"/>
  <c r="K13" i="42" s="1"/>
  <c r="O13" i="42"/>
  <c r="P13" i="42" s="1"/>
  <c r="Q13" i="42" s="1"/>
  <c r="R13" i="42" s="1"/>
  <c r="T13" i="42"/>
  <c r="U13" i="42" s="1"/>
  <c r="V13" i="42" s="1"/>
  <c r="W13" i="42" s="1"/>
  <c r="Y13" i="42"/>
  <c r="Z13" i="42" s="1"/>
  <c r="AA13" i="42" s="1"/>
  <c r="AB13" i="42" s="1"/>
  <c r="AD13" i="42"/>
  <c r="AI13" i="42"/>
  <c r="AJ13" i="42" s="1"/>
  <c r="AK13" i="42" s="1"/>
  <c r="AL13" i="42" s="1"/>
  <c r="AM13" i="42" s="1"/>
  <c r="AN13" i="42"/>
  <c r="AO13" i="42" s="1"/>
  <c r="AP13" i="42" s="1"/>
  <c r="AQ13" i="42" s="1"/>
  <c r="AS13" i="42"/>
  <c r="AT13" i="42" s="1"/>
  <c r="AU13" i="42" s="1"/>
  <c r="AV13" i="42" s="1"/>
  <c r="AX13" i="42"/>
  <c r="BC13" i="42"/>
  <c r="BD13" i="42" s="1"/>
  <c r="BE13" i="42" s="1"/>
  <c r="BF13" i="42" s="1"/>
  <c r="BG13" i="42" s="1"/>
  <c r="BH13" i="42"/>
  <c r="BI13" i="42" s="1"/>
  <c r="BJ13" i="42" s="1"/>
  <c r="BK13" i="42" s="1"/>
  <c r="BM13" i="42"/>
  <c r="BN13" i="42" s="1"/>
  <c r="BO13" i="42" s="1"/>
  <c r="BP13" i="42" s="1"/>
  <c r="BR13" i="42"/>
  <c r="BS13" i="42" s="1"/>
  <c r="BT13" i="42" s="1"/>
  <c r="BU13" i="42" s="1"/>
  <c r="BW13" i="42"/>
  <c r="BX13" i="42" s="1"/>
  <c r="BY13" i="42" s="1"/>
  <c r="BZ13" i="42" s="1"/>
  <c r="CA13" i="42" s="1"/>
  <c r="CB13" i="42"/>
  <c r="CC13" i="42" s="1"/>
  <c r="CD13" i="42" s="1"/>
  <c r="CE13" i="42" s="1"/>
  <c r="CG13" i="42"/>
  <c r="CH13" i="42" s="1"/>
  <c r="CI13" i="42" s="1"/>
  <c r="CJ13" i="42" s="1"/>
  <c r="CL13" i="42"/>
  <c r="CP13" i="42" s="1"/>
  <c r="C14" i="42"/>
  <c r="D14" i="42"/>
  <c r="E14" i="42"/>
  <c r="F14" i="42"/>
  <c r="G14" i="42"/>
  <c r="H14" i="42"/>
  <c r="I14" i="42"/>
  <c r="J14" i="42"/>
  <c r="O14" i="42"/>
  <c r="P14" i="42" s="1"/>
  <c r="T14" i="42"/>
  <c r="U14" i="42" s="1"/>
  <c r="Y14" i="42"/>
  <c r="Z14" i="42" s="1"/>
  <c r="AA14" i="42" s="1"/>
  <c r="AB14" i="42" s="1"/>
  <c r="AD14" i="42"/>
  <c r="AI14" i="42"/>
  <c r="AJ14" i="42" s="1"/>
  <c r="AN14" i="42"/>
  <c r="AO14" i="42" s="1"/>
  <c r="AP14" i="42" s="1"/>
  <c r="AQ14" i="42" s="1"/>
  <c r="AS14" i="42"/>
  <c r="AX14" i="42"/>
  <c r="AY14" i="42" s="1"/>
  <c r="AZ14" i="42" s="1"/>
  <c r="BA14" i="42" s="1"/>
  <c r="BC14" i="42"/>
  <c r="BH14" i="42"/>
  <c r="BI14" i="42" s="1"/>
  <c r="BJ14" i="42" s="1"/>
  <c r="BM14" i="42"/>
  <c r="BN14" i="42" s="1"/>
  <c r="BO14" i="42" s="1"/>
  <c r="BP14" i="42" s="1"/>
  <c r="BR14" i="42"/>
  <c r="BS14" i="42" s="1"/>
  <c r="BW14" i="42"/>
  <c r="BX14" i="42" s="1"/>
  <c r="BY14" i="42" s="1"/>
  <c r="BZ14" i="42" s="1"/>
  <c r="CB14" i="42"/>
  <c r="CG14" i="42"/>
  <c r="CH14" i="42" s="1"/>
  <c r="CI14" i="42" s="1"/>
  <c r="CJ14" i="42" s="1"/>
  <c r="CL14" i="42"/>
  <c r="CP14" i="42" s="1"/>
  <c r="C15" i="42"/>
  <c r="D15" i="42"/>
  <c r="E15" i="42"/>
  <c r="F15" i="42"/>
  <c r="G15" i="42"/>
  <c r="H15" i="42"/>
  <c r="I15" i="42"/>
  <c r="J15" i="42"/>
  <c r="K15" i="42" s="1"/>
  <c r="L15" i="42" s="1"/>
  <c r="M15" i="42" s="1"/>
  <c r="O15" i="42"/>
  <c r="P15" i="42" s="1"/>
  <c r="Q15" i="42" s="1"/>
  <c r="R15" i="42" s="1"/>
  <c r="S15" i="42" s="1"/>
  <c r="T15" i="42"/>
  <c r="U15" i="42" s="1"/>
  <c r="V15" i="42" s="1"/>
  <c r="W15" i="42" s="1"/>
  <c r="Y15" i="42"/>
  <c r="Z15" i="42" s="1"/>
  <c r="AA15" i="42" s="1"/>
  <c r="AB15" i="42" s="1"/>
  <c r="AD15" i="42"/>
  <c r="AI15" i="42"/>
  <c r="AN15" i="42"/>
  <c r="AO15" i="42" s="1"/>
  <c r="AP15" i="42" s="1"/>
  <c r="AQ15" i="42" s="1"/>
  <c r="AS15" i="42"/>
  <c r="AT15" i="42" s="1"/>
  <c r="AU15" i="42" s="1"/>
  <c r="AV15" i="42" s="1"/>
  <c r="AX15" i="42"/>
  <c r="AY15" i="42" s="1"/>
  <c r="AZ15" i="42" s="1"/>
  <c r="BA15" i="42" s="1"/>
  <c r="BC15" i="42"/>
  <c r="BD15" i="42" s="1"/>
  <c r="BE15" i="42" s="1"/>
  <c r="BF15" i="42" s="1"/>
  <c r="BH15" i="42"/>
  <c r="BI15" i="42" s="1"/>
  <c r="BJ15" i="42" s="1"/>
  <c r="BK15" i="42" s="1"/>
  <c r="BM15" i="42"/>
  <c r="BN15" i="42" s="1"/>
  <c r="BO15" i="42" s="1"/>
  <c r="BP15" i="42" s="1"/>
  <c r="BR15" i="42"/>
  <c r="BS15" i="42" s="1"/>
  <c r="BT15" i="42" s="1"/>
  <c r="BU15" i="42" s="1"/>
  <c r="BW15" i="42"/>
  <c r="BX15" i="42" s="1"/>
  <c r="BY15" i="42" s="1"/>
  <c r="BZ15" i="42" s="1"/>
  <c r="CA15" i="42" s="1"/>
  <c r="CB15" i="42"/>
  <c r="CC15" i="42" s="1"/>
  <c r="CD15" i="42" s="1"/>
  <c r="CE15" i="42" s="1"/>
  <c r="CG15" i="42"/>
  <c r="CH15" i="42" s="1"/>
  <c r="CI15" i="42" s="1"/>
  <c r="CJ15" i="42" s="1"/>
  <c r="CL15" i="42"/>
  <c r="CP15" i="42" s="1"/>
  <c r="C16" i="42"/>
  <c r="D16" i="42"/>
  <c r="E16" i="42"/>
  <c r="F16" i="42"/>
  <c r="G16" i="42"/>
  <c r="H16" i="42"/>
  <c r="I16" i="42"/>
  <c r="J16" i="42"/>
  <c r="O16" i="42"/>
  <c r="P16" i="42" s="1"/>
  <c r="Q16" i="42" s="1"/>
  <c r="R16" i="42" s="1"/>
  <c r="T16" i="42"/>
  <c r="U16" i="42" s="1"/>
  <c r="V16" i="42" s="1"/>
  <c r="W16" i="42" s="1"/>
  <c r="Y16" i="42"/>
  <c r="AD16" i="42"/>
  <c r="AI16" i="42"/>
  <c r="AJ16" i="42" s="1"/>
  <c r="AN16" i="42"/>
  <c r="AO16" i="42" s="1"/>
  <c r="AP16" i="42" s="1"/>
  <c r="AQ16" i="42" s="1"/>
  <c r="AS16" i="42"/>
  <c r="AX16" i="42"/>
  <c r="BC16" i="42"/>
  <c r="BD16" i="42" s="1"/>
  <c r="BE16" i="42" s="1"/>
  <c r="BF16" i="42" s="1"/>
  <c r="BH16" i="42"/>
  <c r="BI16" i="42" s="1"/>
  <c r="BM16" i="42"/>
  <c r="BN16" i="42" s="1"/>
  <c r="BO16" i="42" s="1"/>
  <c r="BP16" i="42" s="1"/>
  <c r="BR16" i="42"/>
  <c r="BW16" i="42"/>
  <c r="BX16" i="42" s="1"/>
  <c r="BY16" i="42" s="1"/>
  <c r="BZ16" i="42" s="1"/>
  <c r="CB16" i="42"/>
  <c r="CC16" i="42" s="1"/>
  <c r="CD16" i="42" s="1"/>
  <c r="CE16" i="42" s="1"/>
  <c r="CG16" i="42"/>
  <c r="CH16" i="42" s="1"/>
  <c r="CI16" i="42" s="1"/>
  <c r="CJ16" i="42" s="1"/>
  <c r="CL16" i="42"/>
  <c r="CP16" i="42" s="1"/>
  <c r="C17" i="42"/>
  <c r="D17" i="42"/>
  <c r="E17" i="42"/>
  <c r="F17" i="42"/>
  <c r="G17" i="42"/>
  <c r="H17" i="42"/>
  <c r="I17" i="42"/>
  <c r="J17" i="42"/>
  <c r="K17" i="42" s="1"/>
  <c r="O17" i="42"/>
  <c r="P17" i="42" s="1"/>
  <c r="T17" i="42"/>
  <c r="U17" i="42" s="1"/>
  <c r="V17" i="42" s="1"/>
  <c r="W17" i="42" s="1"/>
  <c r="Y17" i="42"/>
  <c r="AD17" i="42"/>
  <c r="AE17" i="42" s="1"/>
  <c r="AI17" i="42"/>
  <c r="AJ17" i="42" s="1"/>
  <c r="AN17" i="42"/>
  <c r="AO17" i="42" s="1"/>
  <c r="AP17" i="42" s="1"/>
  <c r="AQ17" i="42" s="1"/>
  <c r="AS17" i="42"/>
  <c r="AT17" i="42" s="1"/>
  <c r="AU17" i="42" s="1"/>
  <c r="AV17" i="42" s="1"/>
  <c r="AW17" i="42" s="1"/>
  <c r="AX17" i="42"/>
  <c r="AY17" i="42" s="1"/>
  <c r="BC17" i="42"/>
  <c r="BD17" i="42" s="1"/>
  <c r="BH17" i="42"/>
  <c r="BI17" i="42" s="1"/>
  <c r="BM17" i="42"/>
  <c r="BN17" i="42" s="1"/>
  <c r="BO17" i="42" s="1"/>
  <c r="BP17" i="42" s="1"/>
  <c r="BQ17" i="42" s="1"/>
  <c r="BR17" i="42"/>
  <c r="BS17" i="42" s="1"/>
  <c r="BW17" i="42"/>
  <c r="BX17" i="42" s="1"/>
  <c r="CB17" i="42"/>
  <c r="CC17" i="42" s="1"/>
  <c r="CD17" i="42" s="1"/>
  <c r="CE17" i="42" s="1"/>
  <c r="CG17" i="42"/>
  <c r="CH17" i="42" s="1"/>
  <c r="CI17" i="42" s="1"/>
  <c r="CJ17" i="42" s="1"/>
  <c r="CK17" i="42" s="1"/>
  <c r="CL17" i="42"/>
  <c r="CP17" i="42" s="1"/>
  <c r="C18" i="42"/>
  <c r="D18" i="42"/>
  <c r="E18" i="42"/>
  <c r="F18" i="42"/>
  <c r="G18" i="42"/>
  <c r="H18" i="42"/>
  <c r="I18" i="42"/>
  <c r="J18" i="42"/>
  <c r="K18" i="42" s="1"/>
  <c r="L18" i="42" s="1"/>
  <c r="M18" i="42" s="1"/>
  <c r="O18" i="42"/>
  <c r="P18" i="42" s="1"/>
  <c r="Q18" i="42" s="1"/>
  <c r="R18" i="42" s="1"/>
  <c r="T18" i="42"/>
  <c r="U18" i="42" s="1"/>
  <c r="V18" i="42" s="1"/>
  <c r="W18" i="42" s="1"/>
  <c r="X18" i="42" s="1"/>
  <c r="Y18" i="42"/>
  <c r="Z18" i="42" s="1"/>
  <c r="AA18" i="42" s="1"/>
  <c r="AB18" i="42" s="1"/>
  <c r="AD18" i="42"/>
  <c r="AE18" i="42" s="1"/>
  <c r="AF18" i="42" s="1"/>
  <c r="AG18" i="42" s="1"/>
  <c r="AI18" i="42"/>
  <c r="AN18" i="42"/>
  <c r="AO18" i="42" s="1"/>
  <c r="AP18" i="42" s="1"/>
  <c r="AQ18" i="42" s="1"/>
  <c r="AR18" i="42" s="1"/>
  <c r="AS18" i="42"/>
  <c r="AT18" i="42" s="1"/>
  <c r="AU18" i="42" s="1"/>
  <c r="AV18" i="42" s="1"/>
  <c r="AX18" i="42"/>
  <c r="AY18" i="42" s="1"/>
  <c r="AZ18" i="42" s="1"/>
  <c r="AZ219" i="43" s="1"/>
  <c r="BC18" i="42"/>
  <c r="BD18" i="42" s="1"/>
  <c r="BH18" i="42"/>
  <c r="BH219" i="43" s="1"/>
  <c r="BM18" i="42"/>
  <c r="BM219" i="43" s="1"/>
  <c r="BR18" i="42"/>
  <c r="BR219" i="43" s="1"/>
  <c r="BW18" i="42"/>
  <c r="BW219" i="43" s="1"/>
  <c r="CB18" i="42"/>
  <c r="CB219" i="43" s="1"/>
  <c r="CG18" i="42"/>
  <c r="CG219" i="43" s="1"/>
  <c r="CL18" i="42"/>
  <c r="CL219" i="43" s="1"/>
  <c r="C19" i="42"/>
  <c r="D19" i="42"/>
  <c r="E19" i="42"/>
  <c r="F19" i="42"/>
  <c r="G19" i="42"/>
  <c r="H19" i="42"/>
  <c r="I19" i="42"/>
  <c r="J19" i="42"/>
  <c r="K19" i="42" s="1"/>
  <c r="L19" i="42" s="1"/>
  <c r="M19" i="42" s="1"/>
  <c r="O19" i="42"/>
  <c r="T19" i="42"/>
  <c r="U19" i="42" s="1"/>
  <c r="V19" i="42" s="1"/>
  <c r="W19" i="42" s="1"/>
  <c r="Y19" i="42"/>
  <c r="Z19" i="42" s="1"/>
  <c r="AA19" i="42" s="1"/>
  <c r="AB19" i="42" s="1"/>
  <c r="AD19" i="42"/>
  <c r="AI19" i="42"/>
  <c r="AN19" i="42"/>
  <c r="AO19" i="42" s="1"/>
  <c r="AP19" i="42" s="1"/>
  <c r="AQ19" i="42" s="1"/>
  <c r="AS19" i="42"/>
  <c r="AT19" i="42" s="1"/>
  <c r="AU19" i="42" s="1"/>
  <c r="AV19" i="42" s="1"/>
  <c r="AX19" i="42"/>
  <c r="BC19" i="42"/>
  <c r="BH19" i="42"/>
  <c r="BI19" i="42" s="1"/>
  <c r="BJ19" i="42" s="1"/>
  <c r="BK19" i="42" s="1"/>
  <c r="BM19" i="42"/>
  <c r="BN19" i="42" s="1"/>
  <c r="BO19" i="42" s="1"/>
  <c r="BP19" i="42" s="1"/>
  <c r="BR19" i="42"/>
  <c r="BS19" i="42" s="1"/>
  <c r="BT19" i="42" s="1"/>
  <c r="BU19" i="42" s="1"/>
  <c r="BW19" i="42"/>
  <c r="BX19" i="42" s="1"/>
  <c r="BY19" i="42" s="1"/>
  <c r="BZ19" i="42" s="1"/>
  <c r="CB19" i="42"/>
  <c r="CC19" i="42" s="1"/>
  <c r="CD19" i="42" s="1"/>
  <c r="CE19" i="42" s="1"/>
  <c r="CG19" i="42"/>
  <c r="CH19" i="42" s="1"/>
  <c r="CI19" i="42" s="1"/>
  <c r="CJ19" i="42" s="1"/>
  <c r="CL19" i="42"/>
  <c r="C21" i="42"/>
  <c r="D21" i="42"/>
  <c r="E21" i="42"/>
  <c r="F21" i="42"/>
  <c r="G21" i="42"/>
  <c r="H21" i="42"/>
  <c r="I21" i="42"/>
  <c r="J21" i="42"/>
  <c r="O21" i="42"/>
  <c r="T21" i="42"/>
  <c r="U21" i="42" s="1"/>
  <c r="V21" i="42" s="1"/>
  <c r="Y21" i="42"/>
  <c r="Z21" i="42" s="1"/>
  <c r="AD21" i="42"/>
  <c r="AI21" i="42"/>
  <c r="AJ21" i="42" s="1"/>
  <c r="AK21" i="42" s="1"/>
  <c r="AN21" i="42"/>
  <c r="AO21" i="42" s="1"/>
  <c r="AS21" i="42"/>
  <c r="AT21" i="42" s="1"/>
  <c r="AX21" i="42"/>
  <c r="BC21" i="42"/>
  <c r="BD21" i="42" s="1"/>
  <c r="BE21" i="42" s="1"/>
  <c r="BF21" i="42" s="1"/>
  <c r="BH21" i="42"/>
  <c r="BI21" i="42" s="1"/>
  <c r="BM21" i="42"/>
  <c r="BN21" i="42" s="1"/>
  <c r="BR21" i="42"/>
  <c r="BW21" i="42"/>
  <c r="BX21" i="42" s="1"/>
  <c r="BY21" i="42" s="1"/>
  <c r="BZ21" i="42" s="1"/>
  <c r="CB21" i="42"/>
  <c r="CC21" i="42" s="1"/>
  <c r="CD21" i="42" s="1"/>
  <c r="CG21" i="42"/>
  <c r="CH21" i="42" s="1"/>
  <c r="CL21" i="42"/>
  <c r="C22" i="42"/>
  <c r="D22" i="42"/>
  <c r="E22" i="42"/>
  <c r="F22" i="42"/>
  <c r="G22" i="42"/>
  <c r="H22" i="42"/>
  <c r="I22" i="42"/>
  <c r="J22" i="42"/>
  <c r="K22" i="42" s="1"/>
  <c r="L22" i="42" s="1"/>
  <c r="M22" i="42" s="1"/>
  <c r="N22" i="42" s="1"/>
  <c r="O22" i="42"/>
  <c r="P22" i="42" s="1"/>
  <c r="Q22" i="42" s="1"/>
  <c r="R22" i="42" s="1"/>
  <c r="T22" i="42"/>
  <c r="U22" i="42" s="1"/>
  <c r="V22" i="42" s="1"/>
  <c r="W22" i="42" s="1"/>
  <c r="Y22" i="42"/>
  <c r="Z22" i="42" s="1"/>
  <c r="AA22" i="42" s="1"/>
  <c r="AB22" i="42" s="1"/>
  <c r="AD22" i="42"/>
  <c r="AE22" i="42" s="1"/>
  <c r="AF22" i="42" s="1"/>
  <c r="AG22" i="42" s="1"/>
  <c r="AH22" i="42" s="1"/>
  <c r="AI22" i="42"/>
  <c r="AJ22" i="42" s="1"/>
  <c r="AK22" i="42" s="1"/>
  <c r="AL22" i="42" s="1"/>
  <c r="AN22" i="42"/>
  <c r="AO22" i="42" s="1"/>
  <c r="AP22" i="42" s="1"/>
  <c r="AQ22" i="42" s="1"/>
  <c r="AS22" i="42"/>
  <c r="AT22" i="42" s="1"/>
  <c r="AU22" i="42" s="1"/>
  <c r="AV22" i="42" s="1"/>
  <c r="AX22" i="42"/>
  <c r="AY22" i="42" s="1"/>
  <c r="AZ22" i="42" s="1"/>
  <c r="BA22" i="42" s="1"/>
  <c r="BB22" i="42" s="1"/>
  <c r="BC22" i="42"/>
  <c r="BD22" i="42" s="1"/>
  <c r="BE22" i="42" s="1"/>
  <c r="BF22" i="42" s="1"/>
  <c r="BH22" i="42"/>
  <c r="BI22" i="42" s="1"/>
  <c r="BJ22" i="42" s="1"/>
  <c r="BK22" i="42" s="1"/>
  <c r="BM22" i="42"/>
  <c r="BR22" i="42"/>
  <c r="BS22" i="42" s="1"/>
  <c r="BT22" i="42" s="1"/>
  <c r="BU22" i="42" s="1"/>
  <c r="BW22" i="42"/>
  <c r="BX22" i="42" s="1"/>
  <c r="BY22" i="42" s="1"/>
  <c r="BZ22" i="42" s="1"/>
  <c r="CB22" i="42"/>
  <c r="CC22" i="42" s="1"/>
  <c r="CD22" i="42" s="1"/>
  <c r="CE22" i="42" s="1"/>
  <c r="CG22" i="42"/>
  <c r="CH22" i="42" s="1"/>
  <c r="CL22" i="42"/>
  <c r="C23" i="42"/>
  <c r="D23" i="42"/>
  <c r="E23" i="42"/>
  <c r="F23" i="42"/>
  <c r="G23" i="42"/>
  <c r="H23" i="42"/>
  <c r="I23" i="42"/>
  <c r="J23" i="42"/>
  <c r="K23" i="42" s="1"/>
  <c r="L23" i="42" s="1"/>
  <c r="M23" i="42" s="1"/>
  <c r="O23" i="42"/>
  <c r="P23" i="42" s="1"/>
  <c r="Q23" i="42" s="1"/>
  <c r="R23" i="42" s="1"/>
  <c r="T23" i="42"/>
  <c r="U23" i="42" s="1"/>
  <c r="V23" i="42" s="1"/>
  <c r="W23" i="42" s="1"/>
  <c r="Y23" i="42"/>
  <c r="Z23" i="42" s="1"/>
  <c r="AA23" i="42" s="1"/>
  <c r="AB23" i="42" s="1"/>
  <c r="AD23" i="42"/>
  <c r="AI23" i="42"/>
  <c r="AJ23" i="42" s="1"/>
  <c r="AK23" i="42" s="1"/>
  <c r="AL23" i="42" s="1"/>
  <c r="AN23" i="42"/>
  <c r="AO23" i="42" s="1"/>
  <c r="AP23" i="42" s="1"/>
  <c r="AQ23" i="42" s="1"/>
  <c r="AS23" i="42"/>
  <c r="AT23" i="42" s="1"/>
  <c r="AU23" i="42" s="1"/>
  <c r="AV23" i="42" s="1"/>
  <c r="AX23" i="42"/>
  <c r="AY23" i="42" s="1"/>
  <c r="BC23" i="42"/>
  <c r="BH23" i="42"/>
  <c r="BI23" i="42" s="1"/>
  <c r="BM23" i="42"/>
  <c r="BN23" i="42" s="1"/>
  <c r="BR23" i="42"/>
  <c r="BS23" i="42" s="1"/>
  <c r="BT23" i="42" s="1"/>
  <c r="BU23" i="42" s="1"/>
  <c r="BW23" i="42"/>
  <c r="BX23" i="42" s="1"/>
  <c r="BY23" i="42" s="1"/>
  <c r="BZ23" i="42" s="1"/>
  <c r="CA23" i="42" s="1"/>
  <c r="CB23" i="42"/>
  <c r="CC23" i="42" s="1"/>
  <c r="CD23" i="42" s="1"/>
  <c r="CE23" i="42" s="1"/>
  <c r="CG23" i="42"/>
  <c r="CH23" i="42" s="1"/>
  <c r="CI23" i="42" s="1"/>
  <c r="CJ23" i="42" s="1"/>
  <c r="CL23" i="42"/>
  <c r="C24" i="42"/>
  <c r="D24" i="42"/>
  <c r="E24" i="42"/>
  <c r="F24" i="42"/>
  <c r="G24" i="42"/>
  <c r="H24" i="42"/>
  <c r="I24" i="42"/>
  <c r="J24" i="42"/>
  <c r="K24" i="42" s="1"/>
  <c r="L24" i="42" s="1"/>
  <c r="M24" i="42" s="1"/>
  <c r="O24" i="42"/>
  <c r="P24" i="42" s="1"/>
  <c r="T24" i="42"/>
  <c r="Y24" i="42"/>
  <c r="Z24" i="42" s="1"/>
  <c r="AA24" i="42" s="1"/>
  <c r="AB24" i="42" s="1"/>
  <c r="AD24" i="42"/>
  <c r="AE24" i="42" s="1"/>
  <c r="AI24" i="42"/>
  <c r="AJ24" i="42" s="1"/>
  <c r="AK24" i="42" s="1"/>
  <c r="AL24" i="42" s="1"/>
  <c r="AN24" i="42"/>
  <c r="AO24" i="42" s="1"/>
  <c r="AP24" i="42" s="1"/>
  <c r="AQ24" i="42" s="1"/>
  <c r="AR24" i="42" s="1"/>
  <c r="AS24" i="42"/>
  <c r="AT24" i="42" s="1"/>
  <c r="AU24" i="42" s="1"/>
  <c r="AV24" i="42" s="1"/>
  <c r="AX24" i="42"/>
  <c r="AY24" i="42" s="1"/>
  <c r="AZ24" i="42" s="1"/>
  <c r="BA24" i="42" s="1"/>
  <c r="BC24" i="42"/>
  <c r="BD24" i="42" s="1"/>
  <c r="BE24" i="42" s="1"/>
  <c r="BF24" i="42" s="1"/>
  <c r="BH24" i="42"/>
  <c r="BI24" i="42" s="1"/>
  <c r="BJ24" i="42" s="1"/>
  <c r="BK24" i="42" s="1"/>
  <c r="BM24" i="42"/>
  <c r="BN24" i="42" s="1"/>
  <c r="BO24" i="42" s="1"/>
  <c r="BP24" i="42" s="1"/>
  <c r="BR24" i="42"/>
  <c r="BS24" i="42" s="1"/>
  <c r="BT24" i="42" s="1"/>
  <c r="BU24" i="42" s="1"/>
  <c r="BW24" i="42"/>
  <c r="CB24" i="42"/>
  <c r="CC24" i="42" s="1"/>
  <c r="CD24" i="42" s="1"/>
  <c r="CE24" i="42" s="1"/>
  <c r="CG24" i="42"/>
  <c r="CH24" i="42" s="1"/>
  <c r="CI24" i="42" s="1"/>
  <c r="CJ24" i="42" s="1"/>
  <c r="CL24" i="42"/>
  <c r="C25" i="42"/>
  <c r="D25" i="42"/>
  <c r="E25" i="42"/>
  <c r="F25" i="42"/>
  <c r="G25" i="42"/>
  <c r="H25" i="42"/>
  <c r="I25" i="42"/>
  <c r="J25" i="42"/>
  <c r="K25" i="42" s="1"/>
  <c r="L25" i="42" s="1"/>
  <c r="M25" i="42" s="1"/>
  <c r="O25" i="42"/>
  <c r="P25" i="42" s="1"/>
  <c r="Q25" i="42" s="1"/>
  <c r="R25" i="42" s="1"/>
  <c r="T25" i="42"/>
  <c r="U25" i="42" s="1"/>
  <c r="V25" i="42" s="1"/>
  <c r="W25" i="42" s="1"/>
  <c r="Y25" i="42"/>
  <c r="Z25" i="42" s="1"/>
  <c r="AA25" i="42" s="1"/>
  <c r="AB25" i="42" s="1"/>
  <c r="AD25" i="42"/>
  <c r="AE25" i="42" s="1"/>
  <c r="AF25" i="42" s="1"/>
  <c r="AG25" i="42" s="1"/>
  <c r="AI25" i="42"/>
  <c r="AJ25" i="42" s="1"/>
  <c r="AK25" i="42" s="1"/>
  <c r="AL25" i="42" s="1"/>
  <c r="AN25" i="42"/>
  <c r="AS25" i="42"/>
  <c r="AT25" i="42" s="1"/>
  <c r="AU25" i="42" s="1"/>
  <c r="AV25" i="42" s="1"/>
  <c r="AX25" i="42"/>
  <c r="AY25" i="42" s="1"/>
  <c r="AZ25" i="42" s="1"/>
  <c r="BA25" i="42" s="1"/>
  <c r="BC25" i="42"/>
  <c r="BD25" i="42" s="1"/>
  <c r="BE25" i="42" s="1"/>
  <c r="BF25" i="42" s="1"/>
  <c r="BH25" i="42"/>
  <c r="BI25" i="42" s="1"/>
  <c r="BM25" i="42"/>
  <c r="BR25" i="42"/>
  <c r="BS25" i="42" s="1"/>
  <c r="BT25" i="42" s="1"/>
  <c r="BU25" i="42" s="1"/>
  <c r="BW25" i="42"/>
  <c r="BX25" i="42" s="1"/>
  <c r="CB25" i="42"/>
  <c r="CC25" i="42" s="1"/>
  <c r="CD25" i="42" s="1"/>
  <c r="CE25" i="42" s="1"/>
  <c r="CG25" i="42"/>
  <c r="CH25" i="42" s="1"/>
  <c r="CI25" i="42" s="1"/>
  <c r="CJ25" i="42" s="1"/>
  <c r="CK25" i="42" s="1"/>
  <c r="CL25" i="42"/>
  <c r="C27" i="42"/>
  <c r="C54" i="42" s="1"/>
  <c r="D27" i="42"/>
  <c r="D54" i="42" s="1"/>
  <c r="E27" i="42"/>
  <c r="E54" i="42" s="1"/>
  <c r="F27" i="42"/>
  <c r="F54" i="42" s="1"/>
  <c r="G27" i="42"/>
  <c r="G54" i="42" s="1"/>
  <c r="H27" i="42"/>
  <c r="H54" i="42" s="1"/>
  <c r="I27" i="42"/>
  <c r="I54" i="42" s="1"/>
  <c r="J27" i="42"/>
  <c r="O27" i="42"/>
  <c r="P27" i="42" s="1"/>
  <c r="P54" i="42" s="1"/>
  <c r="T27" i="42"/>
  <c r="T54" i="42" s="1"/>
  <c r="Y27" i="42"/>
  <c r="Z27" i="42" s="1"/>
  <c r="Z54" i="42" s="1"/>
  <c r="AD27" i="42"/>
  <c r="AE27" i="42" s="1"/>
  <c r="AI27" i="42"/>
  <c r="AJ27" i="42" s="1"/>
  <c r="AJ54" i="42" s="1"/>
  <c r="AN27" i="42"/>
  <c r="AS27" i="42"/>
  <c r="AT27" i="42" s="1"/>
  <c r="AX27" i="42"/>
  <c r="AY27" i="42" s="1"/>
  <c r="AY54" i="42" s="1"/>
  <c r="BC27" i="42"/>
  <c r="BD27" i="42" s="1"/>
  <c r="BD54" i="42" s="1"/>
  <c r="BH27" i="42"/>
  <c r="BI27" i="42" s="1"/>
  <c r="BI54" i="42" s="1"/>
  <c r="BM27" i="42"/>
  <c r="BR27" i="42"/>
  <c r="BS27" i="42" s="1"/>
  <c r="BW27" i="42"/>
  <c r="BX27" i="42" s="1"/>
  <c r="BX54" i="42" s="1"/>
  <c r="CB27" i="42"/>
  <c r="CB54" i="42" s="1"/>
  <c r="CG27" i="42"/>
  <c r="CH27" i="42" s="1"/>
  <c r="CH54" i="42" s="1"/>
  <c r="CL27" i="42"/>
  <c r="CP27" i="42" s="1"/>
  <c r="CP54" i="42" s="1"/>
  <c r="C28" i="42"/>
  <c r="D28" i="42"/>
  <c r="E28" i="42"/>
  <c r="F28" i="42"/>
  <c r="G28" i="42"/>
  <c r="H28" i="42"/>
  <c r="I28" i="42"/>
  <c r="J28" i="42"/>
  <c r="K28" i="42" s="1"/>
  <c r="O28" i="42"/>
  <c r="P28" i="42" s="1"/>
  <c r="Q28" i="42" s="1"/>
  <c r="R28" i="42" s="1"/>
  <c r="T28" i="42"/>
  <c r="U28" i="42" s="1"/>
  <c r="Y28" i="42"/>
  <c r="Z28" i="42" s="1"/>
  <c r="AA28" i="42" s="1"/>
  <c r="AB28" i="42" s="1"/>
  <c r="AD28" i="42"/>
  <c r="AE28" i="42" s="1"/>
  <c r="AI28" i="42"/>
  <c r="AN28" i="42"/>
  <c r="AO28" i="42" s="1"/>
  <c r="AS28" i="42"/>
  <c r="AT28" i="42" s="1"/>
  <c r="AX28" i="42"/>
  <c r="AY28" i="42" s="1"/>
  <c r="BC28" i="42"/>
  <c r="BD28" i="42" s="1"/>
  <c r="BE28" i="42" s="1"/>
  <c r="BF28" i="42" s="1"/>
  <c r="BG28" i="42" s="1"/>
  <c r="BH28" i="42"/>
  <c r="BI28" i="42" s="1"/>
  <c r="BM28" i="42"/>
  <c r="BN28" i="42" s="1"/>
  <c r="BR28" i="42"/>
  <c r="BS28" i="42" s="1"/>
  <c r="BW28" i="42"/>
  <c r="BX28" i="42" s="1"/>
  <c r="BY28" i="42" s="1"/>
  <c r="BZ28" i="42" s="1"/>
  <c r="CA28" i="42" s="1"/>
  <c r="CB28" i="42"/>
  <c r="CC28" i="42" s="1"/>
  <c r="CG28" i="42"/>
  <c r="CH28" i="42" s="1"/>
  <c r="CL28" i="42"/>
  <c r="CP28" i="42" s="1"/>
  <c r="C29" i="42"/>
  <c r="D29" i="42"/>
  <c r="E29" i="42"/>
  <c r="F29" i="42"/>
  <c r="G29" i="42"/>
  <c r="H29" i="42"/>
  <c r="I29" i="42"/>
  <c r="J29" i="42"/>
  <c r="O29" i="42"/>
  <c r="P29" i="42" s="1"/>
  <c r="Q29" i="42" s="1"/>
  <c r="R29" i="42" s="1"/>
  <c r="T29" i="42"/>
  <c r="U29" i="42" s="1"/>
  <c r="V29" i="42" s="1"/>
  <c r="W29" i="42" s="1"/>
  <c r="Y29" i="42"/>
  <c r="AD29" i="42"/>
  <c r="AI29" i="42"/>
  <c r="AJ29" i="42" s="1"/>
  <c r="AK29" i="42" s="1"/>
  <c r="AL29" i="42" s="1"/>
  <c r="AN29" i="42"/>
  <c r="AO29" i="42" s="1"/>
  <c r="AP29" i="42" s="1"/>
  <c r="AQ29" i="42" s="1"/>
  <c r="AS29" i="42"/>
  <c r="AX29" i="42"/>
  <c r="BC29" i="42"/>
  <c r="BD29" i="42" s="1"/>
  <c r="BE29" i="42" s="1"/>
  <c r="BF29" i="42" s="1"/>
  <c r="BH29" i="42"/>
  <c r="BI29" i="42" s="1"/>
  <c r="BJ29" i="42" s="1"/>
  <c r="BK29" i="42" s="1"/>
  <c r="BM29" i="42"/>
  <c r="BR29" i="42"/>
  <c r="BW29" i="42"/>
  <c r="BX29" i="42" s="1"/>
  <c r="BY29" i="42" s="1"/>
  <c r="BZ29" i="42" s="1"/>
  <c r="CB29" i="42"/>
  <c r="CC29" i="42" s="1"/>
  <c r="CD29" i="42" s="1"/>
  <c r="CE29" i="42" s="1"/>
  <c r="CG29" i="42"/>
  <c r="CL29" i="42"/>
  <c r="CP29" i="42" s="1"/>
  <c r="C30" i="42"/>
  <c r="D30" i="42"/>
  <c r="E30" i="42"/>
  <c r="F30" i="42"/>
  <c r="G30" i="42"/>
  <c r="H30" i="42"/>
  <c r="I30" i="42"/>
  <c r="J30" i="42"/>
  <c r="K30" i="42" s="1"/>
  <c r="L30" i="42" s="1"/>
  <c r="M30" i="42" s="1"/>
  <c r="O30" i="42"/>
  <c r="P30" i="42" s="1"/>
  <c r="T30" i="42"/>
  <c r="U30" i="42" s="1"/>
  <c r="V30" i="42" s="1"/>
  <c r="W30" i="42" s="1"/>
  <c r="Y30" i="42"/>
  <c r="AD30" i="42"/>
  <c r="AE30" i="42" s="1"/>
  <c r="AF30" i="42" s="1"/>
  <c r="AG30" i="42" s="1"/>
  <c r="AI30" i="42"/>
  <c r="AJ30" i="42" s="1"/>
  <c r="AK30" i="42" s="1"/>
  <c r="AL30" i="42" s="1"/>
  <c r="AN30" i="42"/>
  <c r="AO30" i="42" s="1"/>
  <c r="AP30" i="42" s="1"/>
  <c r="AQ30" i="42" s="1"/>
  <c r="AS30" i="42"/>
  <c r="AX30" i="42"/>
  <c r="AY30" i="42" s="1"/>
  <c r="AZ30" i="42" s="1"/>
  <c r="BA30" i="42" s="1"/>
  <c r="BC30" i="42"/>
  <c r="BD30" i="42" s="1"/>
  <c r="BE30" i="42" s="1"/>
  <c r="BF30" i="42" s="1"/>
  <c r="BH30" i="42"/>
  <c r="BI30" i="42" s="1"/>
  <c r="BJ30" i="42" s="1"/>
  <c r="BK30" i="42" s="1"/>
  <c r="BM30" i="42"/>
  <c r="BR30" i="42"/>
  <c r="BS30" i="42" s="1"/>
  <c r="BW30" i="42"/>
  <c r="BX30" i="42" s="1"/>
  <c r="BY30" i="42" s="1"/>
  <c r="BZ30" i="42" s="1"/>
  <c r="CB30" i="42"/>
  <c r="CC30" i="42" s="1"/>
  <c r="CG30" i="42"/>
  <c r="CL30" i="42"/>
  <c r="CP30" i="42" s="1"/>
  <c r="C31" i="42"/>
  <c r="D31" i="42"/>
  <c r="E31" i="42"/>
  <c r="F31" i="42"/>
  <c r="G31" i="42"/>
  <c r="H31" i="42"/>
  <c r="I31" i="42"/>
  <c r="J31" i="42"/>
  <c r="K31" i="42" s="1"/>
  <c r="O31" i="42"/>
  <c r="T31" i="42"/>
  <c r="U31" i="42" s="1"/>
  <c r="V31" i="42" s="1"/>
  <c r="W31" i="42" s="1"/>
  <c r="Y31" i="42"/>
  <c r="Z31" i="42" s="1"/>
  <c r="AD31" i="42"/>
  <c r="AE31" i="42" s="1"/>
  <c r="AI31" i="42"/>
  <c r="AJ31" i="42" s="1"/>
  <c r="AK31" i="42" s="1"/>
  <c r="AL31" i="42" s="1"/>
  <c r="AN31" i="42"/>
  <c r="AO31" i="42" s="1"/>
  <c r="AP31" i="42" s="1"/>
  <c r="AQ31" i="42" s="1"/>
  <c r="AR31" i="42" s="1"/>
  <c r="AS31" i="42"/>
  <c r="AT31" i="42" s="1"/>
  <c r="AX31" i="42"/>
  <c r="AY31" i="42" s="1"/>
  <c r="BC31" i="42"/>
  <c r="BH31" i="42"/>
  <c r="BI31" i="42" s="1"/>
  <c r="BJ31" i="42" s="1"/>
  <c r="BK31" i="42" s="1"/>
  <c r="BM31" i="42"/>
  <c r="BN31" i="42" s="1"/>
  <c r="BR31" i="42"/>
  <c r="BS31" i="42" s="1"/>
  <c r="BW31" i="42"/>
  <c r="BX31" i="42" s="1"/>
  <c r="BY31" i="42" s="1"/>
  <c r="BZ31" i="42" s="1"/>
  <c r="CB31" i="42"/>
  <c r="CG31" i="42"/>
  <c r="CH31" i="42" s="1"/>
  <c r="CL31" i="42"/>
  <c r="CP31" i="42" s="1"/>
  <c r="C32" i="42"/>
  <c r="D32" i="42"/>
  <c r="E32" i="42"/>
  <c r="F32" i="42"/>
  <c r="G32" i="42"/>
  <c r="H32" i="42"/>
  <c r="I32" i="42"/>
  <c r="J32" i="42"/>
  <c r="O32" i="42"/>
  <c r="T32" i="42"/>
  <c r="U32" i="42" s="1"/>
  <c r="V32" i="42" s="1"/>
  <c r="W32" i="42" s="1"/>
  <c r="Y32" i="42"/>
  <c r="Z32" i="42" s="1"/>
  <c r="AA32" i="42" s="1"/>
  <c r="AB32" i="42" s="1"/>
  <c r="AD32" i="42"/>
  <c r="AI32" i="42"/>
  <c r="AN32" i="42"/>
  <c r="AO32" i="42" s="1"/>
  <c r="AP32" i="42" s="1"/>
  <c r="AQ32" i="42" s="1"/>
  <c r="AS32" i="42"/>
  <c r="AT32" i="42" s="1"/>
  <c r="AU32" i="42" s="1"/>
  <c r="AV32" i="42" s="1"/>
  <c r="AX32" i="42"/>
  <c r="BC32" i="42"/>
  <c r="BH32" i="42"/>
  <c r="BI32" i="42" s="1"/>
  <c r="BJ32" i="42" s="1"/>
  <c r="BK32" i="42" s="1"/>
  <c r="BM32" i="42"/>
  <c r="BN32" i="42" s="1"/>
  <c r="BO32" i="42" s="1"/>
  <c r="BP32" i="42" s="1"/>
  <c r="BR32" i="42"/>
  <c r="BW32" i="42"/>
  <c r="CB32" i="42"/>
  <c r="CC32" i="42" s="1"/>
  <c r="CD32" i="42" s="1"/>
  <c r="CE32" i="42" s="1"/>
  <c r="CG32" i="42"/>
  <c r="CH32" i="42" s="1"/>
  <c r="CI32" i="42" s="1"/>
  <c r="CJ32" i="42" s="1"/>
  <c r="CL32" i="42"/>
  <c r="CP32" i="42" s="1"/>
  <c r="C33" i="42"/>
  <c r="D33" i="42"/>
  <c r="E33" i="42"/>
  <c r="F33" i="42"/>
  <c r="G33" i="42"/>
  <c r="H33" i="42"/>
  <c r="I33" i="42"/>
  <c r="J33" i="42"/>
  <c r="K33" i="42" s="1"/>
  <c r="L33" i="42" s="1"/>
  <c r="M33" i="42" s="1"/>
  <c r="O33" i="42"/>
  <c r="P33" i="42" s="1"/>
  <c r="T33" i="42"/>
  <c r="U33" i="42" s="1"/>
  <c r="Y33" i="42"/>
  <c r="Z33" i="42" s="1"/>
  <c r="AA33" i="42" s="1"/>
  <c r="AB33" i="42" s="1"/>
  <c r="AD33" i="42"/>
  <c r="AE33" i="42" s="1"/>
  <c r="AF33" i="42" s="1"/>
  <c r="AG33" i="42" s="1"/>
  <c r="AI33" i="42"/>
  <c r="AJ33" i="42" s="1"/>
  <c r="AN33" i="42"/>
  <c r="AO33" i="42" s="1"/>
  <c r="AS33" i="42"/>
  <c r="AT33" i="42" s="1"/>
  <c r="AU33" i="42" s="1"/>
  <c r="AV33" i="42" s="1"/>
  <c r="AX33" i="42"/>
  <c r="BC33" i="42"/>
  <c r="BD33" i="42" s="1"/>
  <c r="BH33" i="42"/>
  <c r="BI33" i="42" s="1"/>
  <c r="BM33" i="42"/>
  <c r="BN33" i="42" s="1"/>
  <c r="BO33" i="42" s="1"/>
  <c r="BP33" i="42" s="1"/>
  <c r="BR33" i="42"/>
  <c r="BS33" i="42" s="1"/>
  <c r="BT33" i="42" s="1"/>
  <c r="BU33" i="42" s="1"/>
  <c r="BV33" i="42" s="1"/>
  <c r="BW33" i="42"/>
  <c r="BX33" i="42" s="1"/>
  <c r="CB33" i="42"/>
  <c r="CC33" i="42" s="1"/>
  <c r="CG33" i="42"/>
  <c r="CH33" i="42" s="1"/>
  <c r="CL33" i="42"/>
  <c r="CP33" i="42" s="1"/>
  <c r="C34" i="42"/>
  <c r="D34" i="42"/>
  <c r="E34" i="42"/>
  <c r="F34" i="42"/>
  <c r="G34" i="42"/>
  <c r="H34" i="42"/>
  <c r="I34" i="42"/>
  <c r="J34" i="42"/>
  <c r="K34" i="42" s="1"/>
  <c r="L34" i="42" s="1"/>
  <c r="M34" i="42" s="1"/>
  <c r="O34" i="42"/>
  <c r="P34" i="42" s="1"/>
  <c r="Q34" i="42" s="1"/>
  <c r="R34" i="42" s="1"/>
  <c r="T34" i="42"/>
  <c r="Y34" i="42"/>
  <c r="AD34" i="42"/>
  <c r="AE34" i="42" s="1"/>
  <c r="AF34" i="42" s="1"/>
  <c r="AG34" i="42" s="1"/>
  <c r="AI34" i="42"/>
  <c r="AJ34" i="42" s="1"/>
  <c r="AK34" i="42" s="1"/>
  <c r="AL34" i="42" s="1"/>
  <c r="AN34" i="42"/>
  <c r="AO34" i="42" s="1"/>
  <c r="AP34" i="42" s="1"/>
  <c r="AQ34" i="42" s="1"/>
  <c r="AS34" i="42"/>
  <c r="AT34" i="42" s="1"/>
  <c r="AU34" i="42" s="1"/>
  <c r="AV34" i="42" s="1"/>
  <c r="AX34" i="42"/>
  <c r="AY34" i="42" s="1"/>
  <c r="AZ34" i="42" s="1"/>
  <c r="BA34" i="42" s="1"/>
  <c r="BC34" i="42"/>
  <c r="BD34" i="42" s="1"/>
  <c r="BE34" i="42" s="1"/>
  <c r="BF34" i="42" s="1"/>
  <c r="BH34" i="42"/>
  <c r="BI34" i="42" s="1"/>
  <c r="BJ34" i="42" s="1"/>
  <c r="BK34" i="42" s="1"/>
  <c r="BM34" i="42"/>
  <c r="BN34" i="42" s="1"/>
  <c r="BO34" i="42" s="1"/>
  <c r="BP34" i="42" s="1"/>
  <c r="BQ34" i="42" s="1"/>
  <c r="BR34" i="42"/>
  <c r="BS34" i="42" s="1"/>
  <c r="BT34" i="42" s="1"/>
  <c r="BU34" i="42" s="1"/>
  <c r="BW34" i="42"/>
  <c r="BX34" i="42" s="1"/>
  <c r="BY34" i="42" s="1"/>
  <c r="BZ34" i="42" s="1"/>
  <c r="CB34" i="42"/>
  <c r="CC34" i="42" s="1"/>
  <c r="CD34" i="42" s="1"/>
  <c r="CE34" i="42" s="1"/>
  <c r="CG34" i="42"/>
  <c r="CH34" i="42" s="1"/>
  <c r="CI34" i="42" s="1"/>
  <c r="CJ34" i="42" s="1"/>
  <c r="CK34" i="42" s="1"/>
  <c r="CL34" i="42"/>
  <c r="CP34" i="42" s="1"/>
  <c r="CM35" i="42"/>
  <c r="CN35" i="42"/>
  <c r="CO35" i="42"/>
  <c r="CQ35" i="42"/>
  <c r="CR35" i="42"/>
  <c r="CS35" i="42"/>
  <c r="C36" i="42"/>
  <c r="D36" i="42"/>
  <c r="E36" i="42"/>
  <c r="F36" i="42"/>
  <c r="G36" i="42"/>
  <c r="H36" i="42"/>
  <c r="I36" i="42"/>
  <c r="J36" i="42"/>
  <c r="K36" i="42" s="1"/>
  <c r="L36" i="42" s="1"/>
  <c r="O36" i="42"/>
  <c r="P36" i="42" s="1"/>
  <c r="Q36" i="42" s="1"/>
  <c r="T36" i="42"/>
  <c r="Y36" i="42"/>
  <c r="AD36" i="42"/>
  <c r="AE36" i="42" s="1"/>
  <c r="AF36" i="42" s="1"/>
  <c r="AI36" i="42"/>
  <c r="AJ36" i="42" s="1"/>
  <c r="AK36" i="42" s="1"/>
  <c r="AL36" i="42" s="1"/>
  <c r="AN36" i="42"/>
  <c r="AS36" i="42"/>
  <c r="AX36" i="42"/>
  <c r="AY36" i="42" s="1"/>
  <c r="BC36" i="42"/>
  <c r="BD36" i="42" s="1"/>
  <c r="BE36" i="42" s="1"/>
  <c r="BH36" i="42"/>
  <c r="BM36" i="42"/>
  <c r="BR36" i="42"/>
  <c r="BS36" i="42" s="1"/>
  <c r="BT36" i="42" s="1"/>
  <c r="BW36" i="42"/>
  <c r="BX36" i="42" s="1"/>
  <c r="CB36" i="42"/>
  <c r="CC36" i="42" s="1"/>
  <c r="CD36" i="42" s="1"/>
  <c r="CE36" i="42" s="1"/>
  <c r="CG36" i="42"/>
  <c r="CL36" i="42"/>
  <c r="CP36" i="42" s="1"/>
  <c r="C37" i="42"/>
  <c r="D37" i="42"/>
  <c r="E37" i="42"/>
  <c r="F37" i="42"/>
  <c r="G37" i="42"/>
  <c r="H37" i="42"/>
  <c r="I37" i="42"/>
  <c r="J37" i="42"/>
  <c r="K37" i="42" s="1"/>
  <c r="O37" i="42"/>
  <c r="P37" i="42" s="1"/>
  <c r="Q37" i="42" s="1"/>
  <c r="R37" i="42" s="1"/>
  <c r="T37" i="42"/>
  <c r="U37" i="42" s="1"/>
  <c r="V37" i="42" s="1"/>
  <c r="W37" i="42" s="1"/>
  <c r="Y37" i="42"/>
  <c r="Z37" i="42" s="1"/>
  <c r="AD37" i="42"/>
  <c r="AE37" i="42" s="1"/>
  <c r="AI37" i="42"/>
  <c r="AJ37" i="42" s="1"/>
  <c r="AK37" i="42" s="1"/>
  <c r="AL37" i="42" s="1"/>
  <c r="AN37" i="42"/>
  <c r="AS37" i="42"/>
  <c r="AT37" i="42" s="1"/>
  <c r="AX37" i="42"/>
  <c r="AY37" i="42" s="1"/>
  <c r="BC37" i="42"/>
  <c r="BD37" i="42" s="1"/>
  <c r="BE37" i="42" s="1"/>
  <c r="BF37" i="42" s="1"/>
  <c r="BH37" i="42"/>
  <c r="BI37" i="42" s="1"/>
  <c r="BJ37" i="42" s="1"/>
  <c r="BK37" i="42" s="1"/>
  <c r="BM37" i="42"/>
  <c r="BN37" i="42" s="1"/>
  <c r="BO37" i="42" s="1"/>
  <c r="BP37" i="42" s="1"/>
  <c r="BR37" i="42"/>
  <c r="BS37" i="42" s="1"/>
  <c r="BW37" i="42"/>
  <c r="BX37" i="42" s="1"/>
  <c r="BY37" i="42" s="1"/>
  <c r="BZ37" i="42" s="1"/>
  <c r="CB37" i="42"/>
  <c r="CC37" i="42" s="1"/>
  <c r="CD37" i="42" s="1"/>
  <c r="CE37" i="42" s="1"/>
  <c r="CG37" i="42"/>
  <c r="CH37" i="42" s="1"/>
  <c r="CI37" i="42" s="1"/>
  <c r="CJ37" i="42" s="1"/>
  <c r="CL37" i="42"/>
  <c r="CP37" i="42" s="1"/>
  <c r="C38" i="42"/>
  <c r="D38" i="42"/>
  <c r="E38" i="42"/>
  <c r="F38" i="42"/>
  <c r="G38" i="42"/>
  <c r="H38" i="42"/>
  <c r="I38" i="42"/>
  <c r="J38" i="42"/>
  <c r="O38" i="42"/>
  <c r="P38" i="42" s="1"/>
  <c r="Q38" i="42" s="1"/>
  <c r="R38" i="42" s="1"/>
  <c r="T38" i="42"/>
  <c r="Y38" i="42"/>
  <c r="Z38" i="42" s="1"/>
  <c r="AD38" i="42"/>
  <c r="AI38" i="42"/>
  <c r="AN38" i="42"/>
  <c r="AO38" i="42" s="1"/>
  <c r="AP38" i="42" s="1"/>
  <c r="AS38" i="42"/>
  <c r="AT38" i="42" s="1"/>
  <c r="AU38" i="42" s="1"/>
  <c r="AV38" i="42" s="1"/>
  <c r="AX38" i="42"/>
  <c r="AY38" i="42" s="1"/>
  <c r="AZ38" i="42" s="1"/>
  <c r="BC38" i="42"/>
  <c r="BH38" i="42"/>
  <c r="BI38" i="42" s="1"/>
  <c r="BM38" i="42"/>
  <c r="BN38" i="42" s="1"/>
  <c r="BR38" i="42"/>
  <c r="BW38" i="42"/>
  <c r="CB38" i="42"/>
  <c r="CC38" i="42" s="1"/>
  <c r="CD38" i="42" s="1"/>
  <c r="CE38" i="42" s="1"/>
  <c r="CG38" i="42"/>
  <c r="CH38" i="42" s="1"/>
  <c r="CI38" i="42" s="1"/>
  <c r="CJ38" i="42" s="1"/>
  <c r="CL38" i="42"/>
  <c r="CP38" i="42" s="1"/>
  <c r="C39" i="42"/>
  <c r="D39" i="42"/>
  <c r="E39" i="42"/>
  <c r="F39" i="42"/>
  <c r="G39" i="42"/>
  <c r="H39" i="42"/>
  <c r="I39" i="42"/>
  <c r="J39" i="42"/>
  <c r="O39" i="42"/>
  <c r="P39" i="42" s="1"/>
  <c r="Q39" i="42" s="1"/>
  <c r="R39" i="42" s="1"/>
  <c r="T39" i="42"/>
  <c r="U39" i="42" s="1"/>
  <c r="Y39" i="42"/>
  <c r="Z39" i="42" s="1"/>
  <c r="AA39" i="42" s="1"/>
  <c r="AB39" i="42" s="1"/>
  <c r="AD39" i="42"/>
  <c r="AE39" i="42" s="1"/>
  <c r="AF39" i="42" s="1"/>
  <c r="AG39" i="42" s="1"/>
  <c r="AI39" i="42"/>
  <c r="AJ39" i="42" s="1"/>
  <c r="AN39" i="42"/>
  <c r="AO39" i="42" s="1"/>
  <c r="AP39" i="42" s="1"/>
  <c r="AQ39" i="42" s="1"/>
  <c r="AS39" i="42"/>
  <c r="AT39" i="42" s="1"/>
  <c r="AX39" i="42"/>
  <c r="AY39" i="42" s="1"/>
  <c r="AZ39" i="42" s="1"/>
  <c r="BA39" i="42" s="1"/>
  <c r="BC39" i="42"/>
  <c r="BD39" i="42" s="1"/>
  <c r="BE39" i="42" s="1"/>
  <c r="BF39" i="42" s="1"/>
  <c r="BH39" i="42"/>
  <c r="BI39" i="42" s="1"/>
  <c r="BJ39" i="42" s="1"/>
  <c r="BK39" i="42" s="1"/>
  <c r="BM39" i="42"/>
  <c r="BR39" i="42"/>
  <c r="BS39" i="42" s="1"/>
  <c r="BT39" i="42" s="1"/>
  <c r="BU39" i="42" s="1"/>
  <c r="BW39" i="42"/>
  <c r="BX39" i="42" s="1"/>
  <c r="BY39" i="42" s="1"/>
  <c r="BZ39" i="42" s="1"/>
  <c r="CB39" i="42"/>
  <c r="CC39" i="42" s="1"/>
  <c r="CD39" i="42" s="1"/>
  <c r="CG39" i="42"/>
  <c r="CH39" i="42" s="1"/>
  <c r="CL39" i="42"/>
  <c r="C40" i="42"/>
  <c r="D40" i="42"/>
  <c r="E40" i="42"/>
  <c r="F40" i="42"/>
  <c r="G40" i="42"/>
  <c r="H40" i="42"/>
  <c r="I40" i="42"/>
  <c r="J40" i="42"/>
  <c r="K40" i="42" s="1"/>
  <c r="L40" i="42" s="1"/>
  <c r="M40" i="42" s="1"/>
  <c r="O40" i="42"/>
  <c r="P40" i="42" s="1"/>
  <c r="Q40" i="42" s="1"/>
  <c r="R40" i="42" s="1"/>
  <c r="T40" i="42"/>
  <c r="U40" i="42" s="1"/>
  <c r="V40" i="42" s="1"/>
  <c r="W40" i="42" s="1"/>
  <c r="Y40" i="42"/>
  <c r="Z40" i="42" s="1"/>
  <c r="AA40" i="42" s="1"/>
  <c r="AB40" i="42" s="1"/>
  <c r="AD40" i="42"/>
  <c r="AE40" i="42" s="1"/>
  <c r="AF40" i="42" s="1"/>
  <c r="AG40" i="42" s="1"/>
  <c r="AI40" i="42"/>
  <c r="AJ40" i="42" s="1"/>
  <c r="AK40" i="42" s="1"/>
  <c r="AL40" i="42" s="1"/>
  <c r="AN40" i="42"/>
  <c r="AS40" i="42"/>
  <c r="AT40" i="42" s="1"/>
  <c r="AU40" i="42" s="1"/>
  <c r="AV40" i="42" s="1"/>
  <c r="AX40" i="42"/>
  <c r="AY40" i="42" s="1"/>
  <c r="AZ40" i="42" s="1"/>
  <c r="BA40" i="42" s="1"/>
  <c r="BC40" i="42"/>
  <c r="BD40" i="42" s="1"/>
  <c r="BE40" i="42" s="1"/>
  <c r="BF40" i="42" s="1"/>
  <c r="BH40" i="42"/>
  <c r="BI40" i="42" s="1"/>
  <c r="BM40" i="42"/>
  <c r="BR40" i="42"/>
  <c r="BS40" i="42" s="1"/>
  <c r="BT40" i="42" s="1"/>
  <c r="BU40" i="42" s="1"/>
  <c r="BW40" i="42"/>
  <c r="BX40" i="42" s="1"/>
  <c r="CB40" i="42"/>
  <c r="CC40" i="42" s="1"/>
  <c r="CG40" i="42"/>
  <c r="CH40" i="42" s="1"/>
  <c r="CI40" i="42" s="1"/>
  <c r="CJ40" i="42" s="1"/>
  <c r="CK40" i="42" s="1"/>
  <c r="CL40" i="42"/>
  <c r="CP40" i="42" s="1"/>
  <c r="C41" i="42"/>
  <c r="D41" i="42"/>
  <c r="E41" i="42"/>
  <c r="F41" i="42"/>
  <c r="G41" i="42"/>
  <c r="H41" i="42"/>
  <c r="I41" i="42"/>
  <c r="J41" i="42"/>
  <c r="K41" i="42" s="1"/>
  <c r="L41" i="42" s="1"/>
  <c r="M41" i="42" s="1"/>
  <c r="O41" i="42"/>
  <c r="T41" i="42"/>
  <c r="U41" i="42" s="1"/>
  <c r="V41" i="42" s="1"/>
  <c r="W41" i="42" s="1"/>
  <c r="Y41" i="42"/>
  <c r="Z41" i="42" s="1"/>
  <c r="AA41" i="42" s="1"/>
  <c r="AB41" i="42" s="1"/>
  <c r="AD41" i="42"/>
  <c r="AE41" i="42" s="1"/>
  <c r="AF41" i="42" s="1"/>
  <c r="AG41" i="42" s="1"/>
  <c r="AI41" i="42"/>
  <c r="AJ41" i="42" s="1"/>
  <c r="AN41" i="42"/>
  <c r="AS41" i="42"/>
  <c r="AT41" i="42" s="1"/>
  <c r="AU41" i="42" s="1"/>
  <c r="AV41" i="42" s="1"/>
  <c r="AX41" i="42"/>
  <c r="AY41" i="42" s="1"/>
  <c r="BC41" i="42"/>
  <c r="BD41" i="42" s="1"/>
  <c r="BH41" i="42"/>
  <c r="BI41" i="42" s="1"/>
  <c r="BJ41" i="42" s="1"/>
  <c r="BK41" i="42" s="1"/>
  <c r="BL41" i="42" s="1"/>
  <c r="BM41" i="42"/>
  <c r="BN41" i="42" s="1"/>
  <c r="BO41" i="42" s="1"/>
  <c r="BP41" i="42" s="1"/>
  <c r="BR41" i="42"/>
  <c r="BS41" i="42" s="1"/>
  <c r="BT41" i="42" s="1"/>
  <c r="BU41" i="42" s="1"/>
  <c r="BW41" i="42"/>
  <c r="BX41" i="42" s="1"/>
  <c r="BY41" i="42" s="1"/>
  <c r="BZ41" i="42" s="1"/>
  <c r="CB41" i="42"/>
  <c r="CC41" i="42" s="1"/>
  <c r="CD41" i="42" s="1"/>
  <c r="CE41" i="42" s="1"/>
  <c r="CF41" i="42" s="1"/>
  <c r="CG41" i="42"/>
  <c r="CH41" i="42" s="1"/>
  <c r="CI41" i="42" s="1"/>
  <c r="CJ41" i="42" s="1"/>
  <c r="CL41" i="42"/>
  <c r="CP41" i="42" s="1"/>
  <c r="C42" i="42"/>
  <c r="D42" i="42"/>
  <c r="E42" i="42"/>
  <c r="F42" i="42"/>
  <c r="G42" i="42"/>
  <c r="H42" i="42"/>
  <c r="I42" i="42"/>
  <c r="J42" i="42"/>
  <c r="K42" i="42" s="1"/>
  <c r="O42" i="42"/>
  <c r="P42" i="42" s="1"/>
  <c r="Q42" i="42" s="1"/>
  <c r="R42" i="42" s="1"/>
  <c r="S42" i="42" s="1"/>
  <c r="T42" i="42"/>
  <c r="U42" i="42" s="1"/>
  <c r="V42" i="42" s="1"/>
  <c r="W42" i="42" s="1"/>
  <c r="Y42" i="42"/>
  <c r="Z42" i="42" s="1"/>
  <c r="AA42" i="42" s="1"/>
  <c r="AB42" i="42" s="1"/>
  <c r="AD42" i="42"/>
  <c r="AE42" i="42" s="1"/>
  <c r="AF42" i="42" s="1"/>
  <c r="AG42" i="42" s="1"/>
  <c r="AI42" i="42"/>
  <c r="AJ42" i="42" s="1"/>
  <c r="AK42" i="42" s="1"/>
  <c r="AL42" i="42" s="1"/>
  <c r="AM42" i="42" s="1"/>
  <c r="AN42" i="42"/>
  <c r="AO42" i="42" s="1"/>
  <c r="AP42" i="42" s="1"/>
  <c r="AQ42" i="42" s="1"/>
  <c r="AS42" i="42"/>
  <c r="AT42" i="42" s="1"/>
  <c r="AU42" i="42" s="1"/>
  <c r="AV42" i="42" s="1"/>
  <c r="AX42" i="42"/>
  <c r="BC42" i="42"/>
  <c r="BD42" i="42" s="1"/>
  <c r="BE42" i="42" s="1"/>
  <c r="BF42" i="42" s="1"/>
  <c r="BH42" i="42"/>
  <c r="BI42" i="42" s="1"/>
  <c r="BJ42" i="42" s="1"/>
  <c r="BK42" i="42" s="1"/>
  <c r="BM42" i="42"/>
  <c r="BN42" i="42" s="1"/>
  <c r="BO42" i="42" s="1"/>
  <c r="BP42" i="42" s="1"/>
  <c r="BR42" i="42"/>
  <c r="BS42" i="42" s="1"/>
  <c r="BW42" i="42"/>
  <c r="CB42" i="42"/>
  <c r="CC42" i="42" s="1"/>
  <c r="CD42" i="42" s="1"/>
  <c r="CE42" i="42" s="1"/>
  <c r="CG42" i="42"/>
  <c r="CH42" i="42" s="1"/>
  <c r="CL42" i="42"/>
  <c r="C43" i="42"/>
  <c r="D43" i="42"/>
  <c r="E43" i="42"/>
  <c r="F43" i="42"/>
  <c r="G43" i="42"/>
  <c r="H43" i="42"/>
  <c r="I43" i="42"/>
  <c r="J43" i="42"/>
  <c r="K43" i="42" s="1"/>
  <c r="L43" i="42" s="1"/>
  <c r="M43" i="42" s="1"/>
  <c r="O43" i="42"/>
  <c r="T43" i="42"/>
  <c r="U43" i="42" s="1"/>
  <c r="V43" i="42" s="1"/>
  <c r="W43" i="42" s="1"/>
  <c r="Y43" i="42"/>
  <c r="Z43" i="42" s="1"/>
  <c r="AA43" i="42" s="1"/>
  <c r="AB43" i="42" s="1"/>
  <c r="AD43" i="42"/>
  <c r="AE43" i="42" s="1"/>
  <c r="AF43" i="42" s="1"/>
  <c r="AG43" i="42" s="1"/>
  <c r="AI43" i="42"/>
  <c r="AJ43" i="42" s="1"/>
  <c r="AN43" i="42"/>
  <c r="AS43" i="42"/>
  <c r="AT43" i="42" s="1"/>
  <c r="AU43" i="42" s="1"/>
  <c r="AV43" i="42" s="1"/>
  <c r="AX43" i="42"/>
  <c r="AY43" i="42" s="1"/>
  <c r="BC43" i="42"/>
  <c r="BH43" i="42"/>
  <c r="BI43" i="42" s="1"/>
  <c r="BJ43" i="42" s="1"/>
  <c r="BK43" i="42" s="1"/>
  <c r="BL43" i="42" s="1"/>
  <c r="BM43" i="42"/>
  <c r="BN43" i="42" s="1"/>
  <c r="BO43" i="42" s="1"/>
  <c r="BP43" i="42" s="1"/>
  <c r="BR43" i="42"/>
  <c r="BS43" i="42" s="1"/>
  <c r="BT43" i="42" s="1"/>
  <c r="BU43" i="42" s="1"/>
  <c r="BW43" i="42"/>
  <c r="CB43" i="42"/>
  <c r="CC43" i="42" s="1"/>
  <c r="CD43" i="42" s="1"/>
  <c r="CE43" i="42" s="1"/>
  <c r="CF43" i="42" s="1"/>
  <c r="CG43" i="42"/>
  <c r="CH43" i="42" s="1"/>
  <c r="CI43" i="42" s="1"/>
  <c r="CJ43" i="42" s="1"/>
  <c r="CL43" i="42"/>
  <c r="CP43" i="42" s="1"/>
  <c r="C44" i="42"/>
  <c r="D44" i="42"/>
  <c r="E44" i="42"/>
  <c r="F44" i="42"/>
  <c r="G44" i="42"/>
  <c r="H44" i="42"/>
  <c r="I44" i="42"/>
  <c r="J44" i="42"/>
  <c r="K44" i="42" s="1"/>
  <c r="L44" i="42" s="1"/>
  <c r="M44" i="42" s="1"/>
  <c r="O44" i="42"/>
  <c r="P44" i="42" s="1"/>
  <c r="Q44" i="42" s="1"/>
  <c r="R44" i="42" s="1"/>
  <c r="S44" i="42" s="1"/>
  <c r="T44" i="42"/>
  <c r="U44" i="42" s="1"/>
  <c r="V44" i="42" s="1"/>
  <c r="W44" i="42" s="1"/>
  <c r="Y44" i="42"/>
  <c r="AD44" i="42"/>
  <c r="AI44" i="42"/>
  <c r="AJ44" i="42" s="1"/>
  <c r="AK44" i="42" s="1"/>
  <c r="AL44" i="42" s="1"/>
  <c r="AN44" i="42"/>
  <c r="AO44" i="42" s="1"/>
  <c r="AP44" i="42" s="1"/>
  <c r="AQ44" i="42" s="1"/>
  <c r="AS44" i="42"/>
  <c r="AT44" i="42" s="1"/>
  <c r="AU44" i="42" s="1"/>
  <c r="AV44" i="42" s="1"/>
  <c r="AX44" i="42"/>
  <c r="BC44" i="42"/>
  <c r="BD44" i="42" s="1"/>
  <c r="BE44" i="42" s="1"/>
  <c r="BF44" i="42" s="1"/>
  <c r="BH44" i="42"/>
  <c r="BI44" i="42" s="1"/>
  <c r="BJ44" i="42" s="1"/>
  <c r="BK44" i="42" s="1"/>
  <c r="BM44" i="42"/>
  <c r="BN44" i="42" s="1"/>
  <c r="BO44" i="42" s="1"/>
  <c r="BP44" i="42" s="1"/>
  <c r="BR44" i="42"/>
  <c r="BS44" i="42" s="1"/>
  <c r="BW44" i="42"/>
  <c r="CB44" i="42"/>
  <c r="CC44" i="42" s="1"/>
  <c r="CG44" i="42"/>
  <c r="CH44" i="42" s="1"/>
  <c r="CL44" i="42"/>
  <c r="CP44" i="42" s="1"/>
  <c r="C46" i="42"/>
  <c r="D46" i="42"/>
  <c r="E46" i="42"/>
  <c r="F46" i="42"/>
  <c r="G46" i="42"/>
  <c r="H46" i="42"/>
  <c r="I46" i="42"/>
  <c r="J46" i="42"/>
  <c r="O46" i="42"/>
  <c r="P46" i="42" s="1"/>
  <c r="Q46" i="42" s="1"/>
  <c r="R46" i="42" s="1"/>
  <c r="T46" i="42"/>
  <c r="U46" i="42" s="1"/>
  <c r="V46" i="42" s="1"/>
  <c r="W46" i="42" s="1"/>
  <c r="Y46" i="42"/>
  <c r="Z46" i="42" s="1"/>
  <c r="AA46" i="42" s="1"/>
  <c r="AB46" i="42" s="1"/>
  <c r="AD46" i="42"/>
  <c r="AE46" i="42" s="1"/>
  <c r="AI46" i="42"/>
  <c r="AN46" i="42"/>
  <c r="AO46" i="42" s="1"/>
  <c r="AP46" i="42" s="1"/>
  <c r="AQ46" i="42" s="1"/>
  <c r="AS46" i="42"/>
  <c r="AT46" i="42" s="1"/>
  <c r="AX46" i="42"/>
  <c r="AY46" i="42" s="1"/>
  <c r="AZ46" i="42" s="1"/>
  <c r="BA46" i="42" s="1"/>
  <c r="BC46" i="42"/>
  <c r="BD46" i="42" s="1"/>
  <c r="BE46" i="42" s="1"/>
  <c r="BF46" i="42" s="1"/>
  <c r="BG46" i="42" s="1"/>
  <c r="BI46" i="42"/>
  <c r="BJ46" i="42" s="1"/>
  <c r="BN46" i="42"/>
  <c r="BO46" i="42" s="1"/>
  <c r="BP46" i="42" s="1"/>
  <c r="BS46" i="42"/>
  <c r="BT46" i="42" s="1"/>
  <c r="BU46" i="42" s="1"/>
  <c r="BX46" i="42"/>
  <c r="BY46" i="42" s="1"/>
  <c r="BZ46" i="42" s="1"/>
  <c r="CD46" i="42"/>
  <c r="CE46" i="42" s="1"/>
  <c r="CI46" i="42"/>
  <c r="CP46" i="42"/>
  <c r="C47" i="42"/>
  <c r="D47" i="42"/>
  <c r="E47" i="42"/>
  <c r="F47" i="42"/>
  <c r="G47" i="42"/>
  <c r="H47" i="42"/>
  <c r="I47" i="42"/>
  <c r="J47" i="42"/>
  <c r="O47" i="42"/>
  <c r="P47" i="42" s="1"/>
  <c r="Q47" i="42" s="1"/>
  <c r="R47" i="42" s="1"/>
  <c r="T47" i="42"/>
  <c r="U47" i="42" s="1"/>
  <c r="V47" i="42" s="1"/>
  <c r="W47" i="42" s="1"/>
  <c r="Y47" i="42"/>
  <c r="Z47" i="42" s="1"/>
  <c r="AA47" i="42" s="1"/>
  <c r="AB47" i="42" s="1"/>
  <c r="AD47" i="42"/>
  <c r="AE47" i="42" s="1"/>
  <c r="AI47" i="42"/>
  <c r="AN47" i="42"/>
  <c r="AO47" i="42" s="1"/>
  <c r="AP47" i="42" s="1"/>
  <c r="AQ47" i="42" s="1"/>
  <c r="AS47" i="42"/>
  <c r="AT47" i="42" s="1"/>
  <c r="AX47" i="42"/>
  <c r="AY47" i="42" s="1"/>
  <c r="BC47" i="42"/>
  <c r="BD47" i="42" s="1"/>
  <c r="BE47" i="42" s="1"/>
  <c r="BF47" i="42" s="1"/>
  <c r="BG47" i="42" s="1"/>
  <c r="BI47" i="42"/>
  <c r="BJ47" i="42" s="1"/>
  <c r="BN47" i="42"/>
  <c r="BO47" i="42" s="1"/>
  <c r="BS47" i="42"/>
  <c r="BT47" i="42" s="1"/>
  <c r="BX47" i="42"/>
  <c r="BY47" i="42" s="1"/>
  <c r="CD47" i="42"/>
  <c r="CE47" i="42" s="1"/>
  <c r="CF47" i="42" s="1"/>
  <c r="CI47" i="42"/>
  <c r="CP47" i="42"/>
  <c r="C48" i="42"/>
  <c r="D48" i="42"/>
  <c r="E48" i="42"/>
  <c r="F48" i="42"/>
  <c r="G48" i="42"/>
  <c r="H48" i="42"/>
  <c r="I48" i="42"/>
  <c r="J48" i="42"/>
  <c r="O48" i="42"/>
  <c r="T48" i="42"/>
  <c r="U48" i="42" s="1"/>
  <c r="V48" i="42" s="1"/>
  <c r="W48" i="42" s="1"/>
  <c r="Y48" i="42"/>
  <c r="Z48" i="42" s="1"/>
  <c r="AA48" i="42" s="1"/>
  <c r="AD48" i="42"/>
  <c r="AE48" i="42" s="1"/>
  <c r="AI48" i="42"/>
  <c r="AN48" i="42"/>
  <c r="AO48" i="42" s="1"/>
  <c r="AS48" i="42"/>
  <c r="AT48" i="42" s="1"/>
  <c r="AX48" i="42"/>
  <c r="AY48" i="42" s="1"/>
  <c r="BC48" i="42"/>
  <c r="BH48" i="42"/>
  <c r="BI48" i="42" s="1"/>
  <c r="BJ48" i="42" s="1"/>
  <c r="BK48" i="42" s="1"/>
  <c r="BM48" i="42"/>
  <c r="BN48" i="42" s="1"/>
  <c r="BO48" i="42" s="1"/>
  <c r="BR48" i="42"/>
  <c r="BS48" i="42" s="1"/>
  <c r="BW48" i="42"/>
  <c r="CB48" i="42"/>
  <c r="CC48" i="42" s="1"/>
  <c r="CG48" i="42"/>
  <c r="CH48" i="42" s="1"/>
  <c r="CI48" i="42" s="1"/>
  <c r="CL48" i="42"/>
  <c r="CP48" i="42" s="1"/>
  <c r="C50" i="42"/>
  <c r="CM53" i="42"/>
  <c r="CN53" i="42"/>
  <c r="CO53" i="42"/>
  <c r="CQ53" i="42"/>
  <c r="CR53" i="42"/>
  <c r="CS53" i="42"/>
  <c r="CM54" i="42"/>
  <c r="CN54" i="42"/>
  <c r="CO54" i="42"/>
  <c r="CQ54" i="42"/>
  <c r="CR54" i="42"/>
  <c r="CS54" i="42"/>
  <c r="CM23" i="42"/>
  <c r="BL8" i="42"/>
  <c r="CK8" i="42"/>
  <c r="CP8" i="42"/>
  <c r="AB75" i="48" l="1"/>
  <c r="AC133" i="48"/>
  <c r="X75" i="48"/>
  <c r="X132" i="48"/>
  <c r="X133" i="48" s="1"/>
  <c r="BO44" i="47"/>
  <c r="AN25" i="43"/>
  <c r="AN22" i="43"/>
  <c r="AL99" i="43"/>
  <c r="AL122" i="43" s="1"/>
  <c r="CA177" i="43"/>
  <c r="AL9" i="42"/>
  <c r="BB99" i="43"/>
  <c r="BA99" i="43" s="1"/>
  <c r="AQ8" i="43"/>
  <c r="Z42" i="44"/>
  <c r="BG122" i="43"/>
  <c r="AF144" i="47"/>
  <c r="AF146" i="47" s="1"/>
  <c r="AE77" i="44"/>
  <c r="AM18" i="46"/>
  <c r="AM48" i="46" s="1"/>
  <c r="CI54" i="46"/>
  <c r="BA72" i="47"/>
  <c r="BX122" i="43"/>
  <c r="BX124" i="43" s="1"/>
  <c r="BL21" i="46"/>
  <c r="BL52" i="46" s="1"/>
  <c r="AN44" i="46"/>
  <c r="AN46" i="46" s="1"/>
  <c r="BE28" i="46"/>
  <c r="Y126" i="47"/>
  <c r="AQ18" i="43"/>
  <c r="AQ22" i="43" s="1"/>
  <c r="BN44" i="46"/>
  <c r="BN45" i="46" s="1"/>
  <c r="BN46" i="46" s="1"/>
  <c r="CA258" i="43"/>
  <c r="I122" i="43"/>
  <c r="BY46" i="46"/>
  <c r="AY59" i="44"/>
  <c r="BC61" i="47"/>
  <c r="BX73" i="44"/>
  <c r="BP58" i="44"/>
  <c r="X54" i="44"/>
  <c r="X57" i="44"/>
  <c r="CR235" i="43"/>
  <c r="BY38" i="46"/>
  <c r="AH67" i="47"/>
  <c r="BG74" i="47"/>
  <c r="AT10" i="46"/>
  <c r="AT40" i="46" s="1"/>
  <c r="BJ122" i="43"/>
  <c r="AO51" i="47"/>
  <c r="BS42" i="44"/>
  <c r="L42" i="44"/>
  <c r="BY31" i="46"/>
  <c r="AW122" i="43"/>
  <c r="AV122" i="43" s="1"/>
  <c r="BG65" i="47"/>
  <c r="E103" i="47"/>
  <c r="BQ72" i="43"/>
  <c r="CL42" i="44"/>
  <c r="CE144" i="47"/>
  <c r="BI23" i="46"/>
  <c r="CC28" i="46"/>
  <c r="BI31" i="46"/>
  <c r="CE57" i="44"/>
  <c r="V76" i="47"/>
  <c r="CE149" i="47"/>
  <c r="AE151" i="47"/>
  <c r="BU156" i="47"/>
  <c r="AF149" i="47"/>
  <c r="CI73" i="44"/>
  <c r="BN38" i="46"/>
  <c r="BS54" i="46"/>
  <c r="CN21" i="46"/>
  <c r="CN20" i="46" s="1"/>
  <c r="BA46" i="47"/>
  <c r="J42" i="44"/>
  <c r="AN49" i="44"/>
  <c r="AJ53" i="46"/>
  <c r="AJ54" i="46" s="1"/>
  <c r="AA28" i="46"/>
  <c r="CL57" i="44"/>
  <c r="CL59" i="44" s="1"/>
  <c r="BS155" i="47"/>
  <c r="CI39" i="46"/>
  <c r="C27" i="43"/>
  <c r="AM15" i="46"/>
  <c r="AM44" i="46" s="1"/>
  <c r="CF165" i="43"/>
  <c r="CL62" i="44"/>
  <c r="CL63" i="44" s="1"/>
  <c r="CT25" i="44" s="1"/>
  <c r="CT26" i="44" s="1"/>
  <c r="CT28" i="44" s="1"/>
  <c r="AF45" i="46"/>
  <c r="AF46" i="46" s="1"/>
  <c r="BN28" i="46"/>
  <c r="BE57" i="47"/>
  <c r="I103" i="47"/>
  <c r="BU23" i="46"/>
  <c r="D73" i="44"/>
  <c r="BP57" i="44"/>
  <c r="BP59" i="44" s="1"/>
  <c r="AW22" i="43"/>
  <c r="CK62" i="44"/>
  <c r="CK63" i="44" s="1"/>
  <c r="AI59" i="44"/>
  <c r="BE23" i="46"/>
  <c r="CM55" i="42"/>
  <c r="AZ73" i="44"/>
  <c r="AI146" i="47"/>
  <c r="AI152" i="47" s="1"/>
  <c r="F34" i="44"/>
  <c r="F42" i="44" s="1"/>
  <c r="R42" i="44"/>
  <c r="BB53" i="45"/>
  <c r="AT27" i="46"/>
  <c r="AT28" i="46" s="1"/>
  <c r="CB51" i="47"/>
  <c r="BP156" i="47"/>
  <c r="BZ155" i="47"/>
  <c r="BS73" i="44"/>
  <c r="BI19" i="44"/>
  <c r="AG41" i="45"/>
  <c r="G149" i="43"/>
  <c r="Y144" i="47"/>
  <c r="Y146" i="47" s="1"/>
  <c r="Y152" i="47" s="1"/>
  <c r="AH20" i="43"/>
  <c r="AH27" i="43" s="1"/>
  <c r="BL20" i="43"/>
  <c r="BY12" i="45"/>
  <c r="BY78" i="44" s="1"/>
  <c r="AW7" i="46"/>
  <c r="T44" i="47"/>
  <c r="CG73" i="44"/>
  <c r="BW61" i="44"/>
  <c r="BM23" i="46"/>
  <c r="BJ31" i="46"/>
  <c r="T98" i="47"/>
  <c r="AG46" i="46"/>
  <c r="BD28" i="46"/>
  <c r="AF12" i="45"/>
  <c r="K42" i="44"/>
  <c r="AN49" i="47"/>
  <c r="BM144" i="47"/>
  <c r="BM146" i="47" s="1"/>
  <c r="AX33" i="46"/>
  <c r="AW29" i="44"/>
  <c r="AW34" i="44" s="1"/>
  <c r="AW42" i="44" s="1"/>
  <c r="AP28" i="46"/>
  <c r="BY122" i="43"/>
  <c r="BY124" i="43" s="1"/>
  <c r="BD144" i="47"/>
  <c r="BD146" i="47" s="1"/>
  <c r="BD152" i="47" s="1"/>
  <c r="AO28" i="46"/>
  <c r="V73" i="44"/>
  <c r="BU57" i="44"/>
  <c r="BE40" i="46"/>
  <c r="AQ8" i="45"/>
  <c r="AR8" i="45" s="1"/>
  <c r="AR51" i="45" s="1"/>
  <c r="BQ15" i="46"/>
  <c r="AS33" i="46"/>
  <c r="BX33" i="46"/>
  <c r="BJ72" i="47"/>
  <c r="V151" i="47"/>
  <c r="AV41" i="45"/>
  <c r="BO39" i="47"/>
  <c r="BE76" i="47"/>
  <c r="AL59" i="44"/>
  <c r="BE38" i="46"/>
  <c r="AL38" i="46"/>
  <c r="BT28" i="46"/>
  <c r="BC144" i="47"/>
  <c r="BC146" i="47" s="1"/>
  <c r="BC152" i="47" s="1"/>
  <c r="CD42" i="44"/>
  <c r="BB20" i="43"/>
  <c r="BB24" i="43" s="1"/>
  <c r="O103" i="47"/>
  <c r="AL45" i="46"/>
  <c r="AL46" i="46" s="1"/>
  <c r="P42" i="44"/>
  <c r="CL144" i="47"/>
  <c r="CL146" i="47" s="1"/>
  <c r="CQ122" i="47"/>
  <c r="BX42" i="44"/>
  <c r="AG40" i="47"/>
  <c r="BQ27" i="46"/>
  <c r="BB25" i="43"/>
  <c r="BT156" i="47"/>
  <c r="AL31" i="46"/>
  <c r="AG23" i="46"/>
  <c r="BN73" i="44"/>
  <c r="Y40" i="47"/>
  <c r="AW62" i="44"/>
  <c r="AW63" i="44" s="1"/>
  <c r="AN38" i="46"/>
  <c r="H35" i="46"/>
  <c r="BH42" i="44"/>
  <c r="J61" i="44"/>
  <c r="CL46" i="47"/>
  <c r="BA28" i="46"/>
  <c r="BW122" i="43"/>
  <c r="BW124" i="43" s="1"/>
  <c r="AW26" i="46"/>
  <c r="CE54" i="44"/>
  <c r="CJ57" i="44"/>
  <c r="CH73" i="44"/>
  <c r="AB12" i="43"/>
  <c r="AB149" i="43" s="1"/>
  <c r="X12" i="44"/>
  <c r="Q73" i="44"/>
  <c r="AW8" i="46"/>
  <c r="CC46" i="46"/>
  <c r="BB84" i="47"/>
  <c r="AC15" i="43"/>
  <c r="AC18" i="43" s="1"/>
  <c r="H22" i="43"/>
  <c r="H32" i="43" s="1"/>
  <c r="BL25" i="43"/>
  <c r="AH12" i="44"/>
  <c r="AL42" i="44"/>
  <c r="Q12" i="45"/>
  <c r="Q78" i="44" s="1"/>
  <c r="AC70" i="44"/>
  <c r="AH53" i="45"/>
  <c r="AR35" i="45"/>
  <c r="AR54" i="44" s="1"/>
  <c r="AQ70" i="44"/>
  <c r="AQ71" i="44"/>
  <c r="AQ72" i="44" s="1"/>
  <c r="CO14" i="46"/>
  <c r="BX39" i="46"/>
  <c r="AC66" i="47"/>
  <c r="AC73" i="47" s="1"/>
  <c r="O57" i="47"/>
  <c r="CA70" i="44"/>
  <c r="AH34" i="45"/>
  <c r="AH23" i="45" s="1"/>
  <c r="I46" i="47"/>
  <c r="AV44" i="47"/>
  <c r="AK69" i="47"/>
  <c r="AR13" i="47"/>
  <c r="AQ60" i="47" s="1"/>
  <c r="AG90" i="47"/>
  <c r="BY28" i="46"/>
  <c r="AG54" i="44"/>
  <c r="BB165" i="43"/>
  <c r="U56" i="47"/>
  <c r="AO50" i="47"/>
  <c r="AO52" i="47" s="1"/>
  <c r="D85" i="47"/>
  <c r="D86" i="47" s="1"/>
  <c r="AH149" i="43"/>
  <c r="G25" i="43"/>
  <c r="AH22" i="43"/>
  <c r="AH32" i="43" s="1"/>
  <c r="CG54" i="42"/>
  <c r="H25" i="43"/>
  <c r="CA165" i="43"/>
  <c r="K73" i="44"/>
  <c r="AS40" i="46"/>
  <c r="AG27" i="45"/>
  <c r="BZ38" i="46"/>
  <c r="BH33" i="46"/>
  <c r="P57" i="47"/>
  <c r="AA69" i="47"/>
  <c r="AA76" i="47" s="1"/>
  <c r="BZ76" i="47"/>
  <c r="AG89" i="47"/>
  <c r="AV151" i="47"/>
  <c r="BM155" i="47"/>
  <c r="CK72" i="43"/>
  <c r="Y44" i="46"/>
  <c r="G20" i="43"/>
  <c r="G24" i="43" s="1"/>
  <c r="AG53" i="46"/>
  <c r="AG48" i="46"/>
  <c r="AG50" i="46" s="1"/>
  <c r="BS151" i="47"/>
  <c r="AS53" i="46"/>
  <c r="AS54" i="46" s="1"/>
  <c r="E73" i="44"/>
  <c r="AX54" i="42"/>
  <c r="CK50" i="43"/>
  <c r="X65" i="43"/>
  <c r="X29" i="44"/>
  <c r="X34" i="44" s="1"/>
  <c r="X42" i="44" s="1"/>
  <c r="AW138" i="43"/>
  <c r="Q149" i="43"/>
  <c r="Q25" i="43"/>
  <c r="AW20" i="43"/>
  <c r="AW24" i="43" s="1"/>
  <c r="AW70" i="44"/>
  <c r="BE12" i="45"/>
  <c r="BE78" i="44" s="1"/>
  <c r="AM40" i="45"/>
  <c r="AM41" i="45" s="1"/>
  <c r="CC33" i="46"/>
  <c r="CL41" i="47"/>
  <c r="CL149" i="47"/>
  <c r="F46" i="47"/>
  <c r="CC131" i="47"/>
  <c r="BB18" i="46"/>
  <c r="K149" i="43"/>
  <c r="Y45" i="46"/>
  <c r="CH31" i="46"/>
  <c r="BA31" i="46"/>
  <c r="AM22" i="43"/>
  <c r="AR122" i="43"/>
  <c r="Q22" i="43"/>
  <c r="Q32" i="43" s="1"/>
  <c r="BB70" i="44"/>
  <c r="Y39" i="47"/>
  <c r="AY151" i="47"/>
  <c r="CL155" i="47"/>
  <c r="AX70" i="44"/>
  <c r="AM65" i="47"/>
  <c r="S100" i="47"/>
  <c r="AM26" i="46"/>
  <c r="BA73" i="44"/>
  <c r="CB38" i="46"/>
  <c r="AP31" i="46"/>
  <c r="AU73" i="44"/>
  <c r="O25" i="43"/>
  <c r="CM15" i="46"/>
  <c r="AY52" i="46"/>
  <c r="AF23" i="46"/>
  <c r="BK57" i="44"/>
  <c r="AD54" i="42"/>
  <c r="AM20" i="43"/>
  <c r="CC12" i="45"/>
  <c r="CC15" i="45" s="1"/>
  <c r="BX12" i="45"/>
  <c r="BX15" i="45" s="1"/>
  <c r="BX18" i="45" s="1"/>
  <c r="AB12" i="45"/>
  <c r="AB15" i="45" s="1"/>
  <c r="AB18" i="45" s="1"/>
  <c r="Z146" i="47"/>
  <c r="Z152" i="47" s="1"/>
  <c r="D35" i="46"/>
  <c r="BI49" i="47"/>
  <c r="AK48" i="46"/>
  <c r="AK50" i="46" s="1"/>
  <c r="CC23" i="46"/>
  <c r="AK39" i="46"/>
  <c r="O149" i="43"/>
  <c r="CI28" i="46"/>
  <c r="AK122" i="43"/>
  <c r="H42" i="44"/>
  <c r="AQ42" i="44"/>
  <c r="BY86" i="47"/>
  <c r="CD123" i="47" s="1"/>
  <c r="CI104" i="47"/>
  <c r="CD155" i="47"/>
  <c r="CE73" i="44"/>
  <c r="BJ73" i="44"/>
  <c r="T35" i="46"/>
  <c r="AC165" i="43"/>
  <c r="AJ144" i="47"/>
  <c r="AJ146" i="47" s="1"/>
  <c r="AJ152" i="47" s="1"/>
  <c r="AE68" i="44"/>
  <c r="AK38" i="46"/>
  <c r="CO55" i="42"/>
  <c r="BL65" i="47"/>
  <c r="AB116" i="47"/>
  <c r="BI131" i="47"/>
  <c r="BT12" i="45"/>
  <c r="BT15" i="45" s="1"/>
  <c r="BT18" i="45" s="1"/>
  <c r="CC73" i="44"/>
  <c r="BH72" i="47"/>
  <c r="CD90" i="47"/>
  <c r="AS144" i="47"/>
  <c r="AS146" i="47" s="1"/>
  <c r="AS152" i="47" s="1"/>
  <c r="BI46" i="47"/>
  <c r="W142" i="47"/>
  <c r="W98" i="47"/>
  <c r="R69" i="47"/>
  <c r="T108" i="47"/>
  <c r="AN69" i="47"/>
  <c r="AS76" i="47" s="1"/>
  <c r="W34" i="46"/>
  <c r="BW28" i="46"/>
  <c r="AH154" i="43"/>
  <c r="AH184" i="43" s="1"/>
  <c r="AF28" i="46"/>
  <c r="CF177" i="43"/>
  <c r="F57" i="44"/>
  <c r="F59" i="44" s="1"/>
  <c r="AA73" i="44"/>
  <c r="AK12" i="45"/>
  <c r="AK46" i="45" s="1"/>
  <c r="AR8" i="46"/>
  <c r="AR10" i="46" s="1"/>
  <c r="BK33" i="46"/>
  <c r="CB150" i="47"/>
  <c r="CC149" i="47"/>
  <c r="BR155" i="47"/>
  <c r="T40" i="47"/>
  <c r="F73" i="44"/>
  <c r="AZ59" i="44"/>
  <c r="CJ131" i="47"/>
  <c r="O104" i="47"/>
  <c r="O131" i="47"/>
  <c r="AS149" i="47"/>
  <c r="AC8" i="46"/>
  <c r="W126" i="47"/>
  <c r="Z22" i="43"/>
  <c r="Z32" i="43" s="1"/>
  <c r="BW40" i="46"/>
  <c r="CB42" i="44"/>
  <c r="AX28" i="46"/>
  <c r="CB31" i="46"/>
  <c r="CE28" i="46"/>
  <c r="CB151" i="47"/>
  <c r="AP151" i="47"/>
  <c r="BA38" i="46"/>
  <c r="BR149" i="47"/>
  <c r="AN53" i="46"/>
  <c r="AN54" i="46" s="1"/>
  <c r="BK54" i="44"/>
  <c r="AU59" i="44"/>
  <c r="C51" i="42"/>
  <c r="D50" i="42" s="1"/>
  <c r="C49" i="42"/>
  <c r="CA72" i="43"/>
  <c r="AP42" i="44"/>
  <c r="BM73" i="44"/>
  <c r="AP73" i="44"/>
  <c r="BQ8" i="46"/>
  <c r="AP38" i="46"/>
  <c r="CB156" i="47"/>
  <c r="BD12" i="45"/>
  <c r="BD78" i="44" s="1"/>
  <c r="L12" i="45"/>
  <c r="L15" i="45" s="1"/>
  <c r="L18" i="45" s="1"/>
  <c r="BG71" i="44"/>
  <c r="BG72" i="44" s="1"/>
  <c r="AO74" i="44"/>
  <c r="BR144" i="47"/>
  <c r="BR146" i="47" s="1"/>
  <c r="BW46" i="46"/>
  <c r="BJ76" i="47"/>
  <c r="L73" i="44"/>
  <c r="AW57" i="44"/>
  <c r="Y33" i="46"/>
  <c r="AP44" i="46"/>
  <c r="AP46" i="46" s="1"/>
  <c r="BS28" i="46"/>
  <c r="CJ73" i="44"/>
  <c r="CF72" i="43"/>
  <c r="AJ48" i="46"/>
  <c r="AJ50" i="46" s="1"/>
  <c r="AK73" i="44"/>
  <c r="I73" i="44"/>
  <c r="D103" i="47"/>
  <c r="BA44" i="46"/>
  <c r="AS28" i="46"/>
  <c r="Y53" i="46"/>
  <c r="Y54" i="46" s="1"/>
  <c r="BC42" i="44"/>
  <c r="V42" i="44"/>
  <c r="I35" i="46"/>
  <c r="CE33" i="46"/>
  <c r="Z41" i="47"/>
  <c r="AZ151" i="47"/>
  <c r="BN50" i="47"/>
  <c r="X67" i="47"/>
  <c r="X74" i="47" s="1"/>
  <c r="CD151" i="47"/>
  <c r="AZ144" i="47"/>
  <c r="AZ146" i="47" s="1"/>
  <c r="AD144" i="47"/>
  <c r="AD146" i="47" s="1"/>
  <c r="AD152" i="47" s="1"/>
  <c r="BH58" i="44"/>
  <c r="BH61" i="44"/>
  <c r="CG49" i="47"/>
  <c r="CG51" i="47"/>
  <c r="CG50" i="47"/>
  <c r="CG46" i="47"/>
  <c r="BF61" i="47"/>
  <c r="BD61" i="47"/>
  <c r="CH150" i="47"/>
  <c r="CH151" i="47"/>
  <c r="H51" i="45"/>
  <c r="H12" i="45"/>
  <c r="H15" i="45" s="1"/>
  <c r="AJ28" i="46"/>
  <c r="CB49" i="47"/>
  <c r="CB57" i="47"/>
  <c r="CJ155" i="47"/>
  <c r="CJ149" i="47"/>
  <c r="U150" i="47"/>
  <c r="U144" i="47"/>
  <c r="U146" i="47" s="1"/>
  <c r="U152" i="47" s="1"/>
  <c r="CF224" i="43"/>
  <c r="CF223" i="43" s="1"/>
  <c r="CF222" i="43"/>
  <c r="CF258" i="43"/>
  <c r="AT33" i="46"/>
  <c r="AO52" i="46"/>
  <c r="AO54" i="46" s="1"/>
  <c r="BU48" i="46"/>
  <c r="BU49" i="46" s="1"/>
  <c r="BU50" i="46" s="1"/>
  <c r="BU39" i="46"/>
  <c r="BU32" i="46"/>
  <c r="U49" i="47"/>
  <c r="U51" i="47"/>
  <c r="S19" i="45"/>
  <c r="S23" i="45" s="1"/>
  <c r="R27" i="45"/>
  <c r="R23" i="45"/>
  <c r="AC27" i="46"/>
  <c r="V58" i="44"/>
  <c r="V61" i="44"/>
  <c r="CG150" i="47"/>
  <c r="CG151" i="47"/>
  <c r="CG144" i="47"/>
  <c r="CG146" i="47" s="1"/>
  <c r="CG152" i="47" s="1"/>
  <c r="AZ27" i="42"/>
  <c r="BA27" i="42" s="1"/>
  <c r="BB27" i="42" s="1"/>
  <c r="BB54" i="42" s="1"/>
  <c r="AR12" i="44"/>
  <c r="AR19" i="44" s="1"/>
  <c r="AX42" i="44"/>
  <c r="N34" i="44"/>
  <c r="N42" i="44" s="1"/>
  <c r="BP61" i="44"/>
  <c r="BL15" i="46"/>
  <c r="BZ28" i="46"/>
  <c r="CJ86" i="47"/>
  <c r="CJ94" i="47" s="1"/>
  <c r="BB98" i="47"/>
  <c r="CG156" i="47"/>
  <c r="BC41" i="47"/>
  <c r="AD151" i="47"/>
  <c r="AX150" i="47"/>
  <c r="AX151" i="47"/>
  <c r="CJ144" i="47"/>
  <c r="CJ146" i="47" s="1"/>
  <c r="CJ152" i="47" s="1"/>
  <c r="CJ150" i="47"/>
  <c r="BW146" i="47"/>
  <c r="CB157" i="47"/>
  <c r="CL58" i="44"/>
  <c r="BO26" i="46"/>
  <c r="BO28" i="46" s="1"/>
  <c r="BO10" i="46"/>
  <c r="BO40" i="46" s="1"/>
  <c r="AL40" i="47"/>
  <c r="AH19" i="47"/>
  <c r="AB26" i="46"/>
  <c r="AC26" i="46" s="1"/>
  <c r="AC28" i="46" s="1"/>
  <c r="AC7" i="46"/>
  <c r="AP150" i="47"/>
  <c r="AL28" i="46"/>
  <c r="X13" i="47"/>
  <c r="U60" i="47" s="1"/>
  <c r="Y44" i="47"/>
  <c r="T39" i="47"/>
  <c r="BS144" i="47"/>
  <c r="BS146" i="47" s="1"/>
  <c r="BS149" i="47"/>
  <c r="BX155" i="47"/>
  <c r="AF53" i="46"/>
  <c r="AF52" i="46"/>
  <c r="BH53" i="46"/>
  <c r="BH54" i="46" s="1"/>
  <c r="C12" i="45"/>
  <c r="C78" i="44" s="1"/>
  <c r="C51" i="45"/>
  <c r="AA48" i="46"/>
  <c r="AA32" i="46"/>
  <c r="AB49" i="46"/>
  <c r="AB48" i="46"/>
  <c r="AG32" i="46"/>
  <c r="Y54" i="42"/>
  <c r="BP42" i="44"/>
  <c r="V59" i="44"/>
  <c r="U51" i="45"/>
  <c r="U12" i="45"/>
  <c r="U15" i="45" s="1"/>
  <c r="AE73" i="44"/>
  <c r="BH76" i="47"/>
  <c r="CD131" i="47"/>
  <c r="CC86" i="47"/>
  <c r="CC94" i="47" s="1"/>
  <c r="Y48" i="46"/>
  <c r="Y23" i="46"/>
  <c r="Y35" i="46" s="1"/>
  <c r="BT44" i="47"/>
  <c r="BT39" i="47"/>
  <c r="BO26" i="47"/>
  <c r="BT41" i="47" s="1"/>
  <c r="BQ7" i="46"/>
  <c r="AU24" i="43"/>
  <c r="BC59" i="44"/>
  <c r="AC29" i="44"/>
  <c r="AC34" i="44" s="1"/>
  <c r="AC42" i="44" s="1"/>
  <c r="CG51" i="45"/>
  <c r="CG12" i="45"/>
  <c r="CG78" i="44" s="1"/>
  <c r="AP144" i="47"/>
  <c r="AP146" i="47" s="1"/>
  <c r="AP152" i="47" s="1"/>
  <c r="AO33" i="46"/>
  <c r="Y107" i="47"/>
  <c r="BL18" i="46"/>
  <c r="BL48" i="46" s="1"/>
  <c r="CF150" i="47"/>
  <c r="E12" i="45"/>
  <c r="E46" i="45" s="1"/>
  <c r="BC73" i="44"/>
  <c r="O73" i="44"/>
  <c r="AQ61" i="44"/>
  <c r="X19" i="47"/>
  <c r="X40" i="47" s="1"/>
  <c r="E112" i="47"/>
  <c r="CL112" i="47"/>
  <c r="AN151" i="47"/>
  <c r="P121" i="47"/>
  <c r="BF146" i="47"/>
  <c r="BF152" i="47" s="1"/>
  <c r="CF21" i="46"/>
  <c r="CF52" i="46" s="1"/>
  <c r="AV23" i="46"/>
  <c r="Z28" i="46"/>
  <c r="AG73" i="44"/>
  <c r="U126" i="47"/>
  <c r="Y45" i="47"/>
  <c r="BR38" i="46"/>
  <c r="CD28" i="46"/>
  <c r="BI28" i="46"/>
  <c r="AK31" i="46"/>
  <c r="AY28" i="46"/>
  <c r="BP28" i="46"/>
  <c r="AK44" i="46"/>
  <c r="AK46" i="46" s="1"/>
  <c r="BU40" i="46"/>
  <c r="CD73" i="44"/>
  <c r="BH59" i="44"/>
  <c r="CB146" i="47"/>
  <c r="CL104" i="47"/>
  <c r="F64" i="44"/>
  <c r="BF122" i="43"/>
  <c r="CH28" i="46"/>
  <c r="BL26" i="46"/>
  <c r="AU53" i="46"/>
  <c r="AU54" i="46" s="1"/>
  <c r="BL165" i="43"/>
  <c r="CC155" i="47"/>
  <c r="BB41" i="45"/>
  <c r="CE39" i="46"/>
  <c r="E35" i="46"/>
  <c r="CA18" i="46"/>
  <c r="CF32" i="46" s="1"/>
  <c r="BG73" i="47"/>
  <c r="AH84" i="47"/>
  <c r="AH86" i="47" s="1"/>
  <c r="AH94" i="47" s="1"/>
  <c r="T142" i="47"/>
  <c r="T149" i="47" s="1"/>
  <c r="AF77" i="44"/>
  <c r="AN144" i="47"/>
  <c r="AN146" i="47" s="1"/>
  <c r="AN152" i="47" s="1"/>
  <c r="BH28" i="46"/>
  <c r="AV144" i="47"/>
  <c r="AV146" i="47" s="1"/>
  <c r="AV152" i="47" s="1"/>
  <c r="BC40" i="46"/>
  <c r="AK28" i="46"/>
  <c r="BW42" i="44"/>
  <c r="AI131" i="47"/>
  <c r="AI86" i="47"/>
  <c r="AI94" i="47" s="1"/>
  <c r="AQ40" i="47"/>
  <c r="AV40" i="47"/>
  <c r="CK16" i="46"/>
  <c r="CK18" i="46" s="1"/>
  <c r="CK32" i="46" s="1"/>
  <c r="CJ26" i="46"/>
  <c r="CJ28" i="46" s="1"/>
  <c r="AY53" i="46"/>
  <c r="AY54" i="46" s="1"/>
  <c r="BK48" i="46"/>
  <c r="BP32" i="46"/>
  <c r="CP27" i="46"/>
  <c r="CP28" i="46" s="1"/>
  <c r="CL28" i="46"/>
  <c r="AF49" i="47"/>
  <c r="AF51" i="47"/>
  <c r="AF50" i="47"/>
  <c r="AW18" i="46"/>
  <c r="AW48" i="46" s="1"/>
  <c r="BL150" i="47"/>
  <c r="AD59" i="44"/>
  <c r="AB19" i="45"/>
  <c r="AC19" i="45" s="1"/>
  <c r="AB23" i="43"/>
  <c r="AB26" i="43"/>
  <c r="BG15" i="46"/>
  <c r="BA23" i="46"/>
  <c r="AH13" i="46"/>
  <c r="AD26" i="46"/>
  <c r="BF45" i="46"/>
  <c r="BF46" i="46" s="1"/>
  <c r="AL150" i="47"/>
  <c r="AL151" i="47"/>
  <c r="AL144" i="47"/>
  <c r="AL146" i="47" s="1"/>
  <c r="AL152" i="47" s="1"/>
  <c r="AY149" i="47"/>
  <c r="AY144" i="47"/>
  <c r="AY146" i="47" s="1"/>
  <c r="AY152" i="47" s="1"/>
  <c r="BD150" i="47"/>
  <c r="BD151" i="47"/>
  <c r="BP74" i="47"/>
  <c r="BK74" i="47"/>
  <c r="BK151" i="47"/>
  <c r="BK144" i="47"/>
  <c r="BK146" i="47" s="1"/>
  <c r="BI149" i="47"/>
  <c r="BI144" i="47"/>
  <c r="BI146" i="47" s="1"/>
  <c r="BI152" i="47" s="1"/>
  <c r="BI151" i="47"/>
  <c r="BA52" i="46"/>
  <c r="BA40" i="46"/>
  <c r="BA33" i="46"/>
  <c r="BV72" i="43"/>
  <c r="AC122" i="43"/>
  <c r="AB122" i="43" s="1"/>
  <c r="Y51" i="47"/>
  <c r="Y49" i="47"/>
  <c r="Y46" i="47"/>
  <c r="K93" i="47"/>
  <c r="K94" i="47"/>
  <c r="K92" i="47"/>
  <c r="AF152" i="47"/>
  <c r="F58" i="44"/>
  <c r="Z72" i="47"/>
  <c r="Z69" i="47"/>
  <c r="Z76" i="47" s="1"/>
  <c r="CA65" i="47"/>
  <c r="CA72" i="47" s="1"/>
  <c r="BX69" i="47"/>
  <c r="BX76" i="47" s="1"/>
  <c r="BW53" i="46"/>
  <c r="BW54" i="46" s="1"/>
  <c r="CN30" i="44"/>
  <c r="CN56" i="44" s="1"/>
  <c r="CN62" i="44" s="1"/>
  <c r="CM56" i="44"/>
  <c r="CM62" i="44" s="1"/>
  <c r="CL150" i="47"/>
  <c r="CL156" i="47"/>
  <c r="CL151" i="47"/>
  <c r="AB65" i="43"/>
  <c r="AC72" i="43"/>
  <c r="AC73" i="43" s="1"/>
  <c r="AQ23" i="45"/>
  <c r="AR34" i="45"/>
  <c r="T51" i="45"/>
  <c r="T12" i="45"/>
  <c r="T78" i="44" s="1"/>
  <c r="AK94" i="47"/>
  <c r="AK89" i="47"/>
  <c r="AK90" i="47"/>
  <c r="AK104" i="47"/>
  <c r="CE122" i="43"/>
  <c r="CF122" i="43" s="1"/>
  <c r="BI12" i="45"/>
  <c r="BI15" i="45" s="1"/>
  <c r="O12" i="45"/>
  <c r="O15" i="45" s="1"/>
  <c r="BK54" i="46"/>
  <c r="AD55" i="47"/>
  <c r="BL39" i="47"/>
  <c r="CL94" i="47"/>
  <c r="BC89" i="47"/>
  <c r="BC94" i="47"/>
  <c r="BC90" i="47"/>
  <c r="BH144" i="47"/>
  <c r="BH146" i="47" s="1"/>
  <c r="BH152" i="47" s="1"/>
  <c r="BH150" i="47"/>
  <c r="BH151" i="47"/>
  <c r="AD46" i="47"/>
  <c r="Z58" i="44"/>
  <c r="Z61" i="44"/>
  <c r="AE73" i="47"/>
  <c r="AJ73" i="47"/>
  <c r="BK149" i="47"/>
  <c r="T46" i="47"/>
  <c r="T49" i="47"/>
  <c r="T51" i="47"/>
  <c r="T50" i="47"/>
  <c r="BJ28" i="46"/>
  <c r="AN49" i="46"/>
  <c r="AN23" i="46"/>
  <c r="CG49" i="46"/>
  <c r="CG50" i="46" s="1"/>
  <c r="BS48" i="46"/>
  <c r="BS49" i="46" s="1"/>
  <c r="BS50" i="46" s="1"/>
  <c r="BX32" i="46"/>
  <c r="CI150" i="47"/>
  <c r="CI151" i="47"/>
  <c r="L103" i="47"/>
  <c r="L86" i="47"/>
  <c r="L94" i="47" s="1"/>
  <c r="BF31" i="46"/>
  <c r="CL45" i="46"/>
  <c r="CL46" i="46" s="1"/>
  <c r="AK149" i="47"/>
  <c r="AK144" i="47"/>
  <c r="AK146" i="47" s="1"/>
  <c r="AK152" i="47" s="1"/>
  <c r="AK151" i="47"/>
  <c r="AM165" i="43"/>
  <c r="O76" i="47"/>
  <c r="BI76" i="47"/>
  <c r="BV18" i="46"/>
  <c r="BV48" i="46" s="1"/>
  <c r="L131" i="47"/>
  <c r="BF28" i="46"/>
  <c r="BQ165" i="43"/>
  <c r="BI50" i="47"/>
  <c r="BI51" i="47"/>
  <c r="BB34" i="44"/>
  <c r="BB42" i="44" s="1"/>
  <c r="BV42" i="44"/>
  <c r="CF15" i="46"/>
  <c r="CF44" i="46" s="1"/>
  <c r="BK39" i="46"/>
  <c r="CK15" i="46"/>
  <c r="CA21" i="46"/>
  <c r="CA52" i="46" s="1"/>
  <c r="T41" i="47"/>
  <c r="BZ73" i="44"/>
  <c r="S109" i="47"/>
  <c r="BN51" i="47"/>
  <c r="CF73" i="47"/>
  <c r="BH121" i="47"/>
  <c r="CK26" i="47"/>
  <c r="CY29" i="47" s="1"/>
  <c r="BG26" i="47"/>
  <c r="BG49" i="47" s="1"/>
  <c r="O35" i="46"/>
  <c r="R33" i="46"/>
  <c r="W58" i="44"/>
  <c r="AF73" i="44"/>
  <c r="BF73" i="44"/>
  <c r="D124" i="43"/>
  <c r="E123" i="43" s="1"/>
  <c r="E124" i="43" s="1"/>
  <c r="BL72" i="43"/>
  <c r="BW31" i="46"/>
  <c r="CF26" i="46"/>
  <c r="BB27" i="46"/>
  <c r="BU28" i="46"/>
  <c r="CG28" i="46"/>
  <c r="M73" i="44"/>
  <c r="AM21" i="46"/>
  <c r="AM53" i="46" s="1"/>
  <c r="AU28" i="46"/>
  <c r="AA49" i="46"/>
  <c r="AG52" i="46"/>
  <c r="W149" i="43"/>
  <c r="BG233" i="43"/>
  <c r="S29" i="44"/>
  <c r="S34" i="44" s="1"/>
  <c r="S42" i="44" s="1"/>
  <c r="CA8" i="45"/>
  <c r="CA51" i="45" s="1"/>
  <c r="X70" i="44"/>
  <c r="BF38" i="46"/>
  <c r="E41" i="47"/>
  <c r="BN46" i="47"/>
  <c r="BM76" i="47"/>
  <c r="BN42" i="44"/>
  <c r="CJ69" i="47"/>
  <c r="AW165" i="43"/>
  <c r="AB42" i="44"/>
  <c r="BR31" i="46"/>
  <c r="CG23" i="46"/>
  <c r="AL73" i="44"/>
  <c r="BY73" i="44"/>
  <c r="BN149" i="47"/>
  <c r="BN155" i="47"/>
  <c r="BO76" i="47"/>
  <c r="Y74" i="47"/>
  <c r="AC67" i="47"/>
  <c r="Y69" i="47"/>
  <c r="Y76" i="47" s="1"/>
  <c r="CH49" i="44"/>
  <c r="CI49" i="44" s="1"/>
  <c r="CG62" i="44"/>
  <c r="CG63" i="44" s="1"/>
  <c r="O24" i="43"/>
  <c r="O27" i="43"/>
  <c r="AD72" i="47"/>
  <c r="AI72" i="47"/>
  <c r="BA144" i="47"/>
  <c r="BA146" i="47" s="1"/>
  <c r="BA152" i="47" s="1"/>
  <c r="BA150" i="47"/>
  <c r="AI45" i="46"/>
  <c r="AN31" i="46"/>
  <c r="BC23" i="46"/>
  <c r="BC44" i="46"/>
  <c r="BC45" i="46" s="1"/>
  <c r="BC46" i="46" s="1"/>
  <c r="BP149" i="47"/>
  <c r="BP144" i="47"/>
  <c r="BP146" i="47" s="1"/>
  <c r="BP152" i="47" s="1"/>
  <c r="BP155" i="47"/>
  <c r="BP151" i="47"/>
  <c r="BU89" i="47"/>
  <c r="BU90" i="47"/>
  <c r="BU94" i="47"/>
  <c r="BF150" i="47"/>
  <c r="BF151" i="47"/>
  <c r="BZ156" i="47"/>
  <c r="BU150" i="47"/>
  <c r="BU144" i="47"/>
  <c r="BU146" i="47" s="1"/>
  <c r="M12" i="45"/>
  <c r="M15" i="45" s="1"/>
  <c r="BU151" i="47"/>
  <c r="U86" i="47"/>
  <c r="U104" i="47" s="1"/>
  <c r="U103" i="47"/>
  <c r="CD94" i="47"/>
  <c r="AY86" i="47"/>
  <c r="AY90" i="47" s="1"/>
  <c r="AY121" i="47"/>
  <c r="AT103" i="47"/>
  <c r="AU55" i="47"/>
  <c r="AV73" i="47"/>
  <c r="AQ69" i="47"/>
  <c r="AV76" i="47" s="1"/>
  <c r="AQ99" i="47"/>
  <c r="AR19" i="47"/>
  <c r="AR45" i="47" s="1"/>
  <c r="AS56" i="47"/>
  <c r="AR26" i="46"/>
  <c r="BC28" i="46"/>
  <c r="BT74" i="47"/>
  <c r="BY74" i="47"/>
  <c r="BT69" i="47"/>
  <c r="BT76" i="47" s="1"/>
  <c r="CE53" i="46"/>
  <c r="CE54" i="46" s="1"/>
  <c r="AF32" i="46"/>
  <c r="AF48" i="46"/>
  <c r="AF49" i="46"/>
  <c r="AK32" i="46"/>
  <c r="AE57" i="44"/>
  <c r="CF234" i="43"/>
  <c r="CF233" i="43" s="1"/>
  <c r="CF280" i="43"/>
  <c r="AP49" i="47"/>
  <c r="AP50" i="47"/>
  <c r="AP51" i="47"/>
  <c r="AP46" i="47"/>
  <c r="BG190" i="43"/>
  <c r="CC57" i="47"/>
  <c r="BA151" i="47"/>
  <c r="AL58" i="44"/>
  <c r="AL61" i="44"/>
  <c r="X34" i="45"/>
  <c r="X23" i="45" s="1"/>
  <c r="W23" i="45"/>
  <c r="CF62" i="44"/>
  <c r="CF63" i="44" s="1"/>
  <c r="BT50" i="47"/>
  <c r="BT49" i="47"/>
  <c r="CC151" i="47"/>
  <c r="CC156" i="47"/>
  <c r="CC150" i="47"/>
  <c r="CC144" i="47"/>
  <c r="CC157" i="47" s="1"/>
  <c r="CH156" i="47"/>
  <c r="CI90" i="47"/>
  <c r="CI123" i="47"/>
  <c r="CI94" i="47"/>
  <c r="CI89" i="47"/>
  <c r="AO40" i="46"/>
  <c r="AO39" i="46"/>
  <c r="AO144" i="47"/>
  <c r="AO146" i="47" s="1"/>
  <c r="AO152" i="47" s="1"/>
  <c r="AO149" i="47"/>
  <c r="AO151" i="47"/>
  <c r="BY144" i="47"/>
  <c r="BY151" i="47"/>
  <c r="BY149" i="47"/>
  <c r="V150" i="47"/>
  <c r="V144" i="47"/>
  <c r="V146" i="47" s="1"/>
  <c r="V152" i="47" s="1"/>
  <c r="AJ150" i="47"/>
  <c r="AJ151" i="47"/>
  <c r="BO150" i="47"/>
  <c r="BO144" i="47"/>
  <c r="BO146" i="47" s="1"/>
  <c r="BV143" i="47"/>
  <c r="BV150" i="47" s="1"/>
  <c r="BW127" i="47"/>
  <c r="BU131" i="47"/>
  <c r="BT121" i="47"/>
  <c r="BV26" i="46"/>
  <c r="CJ51" i="45"/>
  <c r="CJ12" i="45"/>
  <c r="CJ46" i="45" s="1"/>
  <c r="Y51" i="45"/>
  <c r="Y12" i="45"/>
  <c r="Y78" i="44" s="1"/>
  <c r="AV49" i="47"/>
  <c r="AV51" i="47"/>
  <c r="AV50" i="47"/>
  <c r="BV270" i="43"/>
  <c r="BV177" i="43"/>
  <c r="AV51" i="45"/>
  <c r="AV12" i="45"/>
  <c r="AV78" i="44" s="1"/>
  <c r="I51" i="45"/>
  <c r="I12" i="45"/>
  <c r="I46" i="45" s="1"/>
  <c r="CB70" i="44"/>
  <c r="CB73" i="44" s="1"/>
  <c r="CA29" i="44"/>
  <c r="CA34" i="44" s="1"/>
  <c r="CA42" i="44" s="1"/>
  <c r="AD15" i="46"/>
  <c r="AD31" i="46" s="1"/>
  <c r="AH14" i="46"/>
  <c r="BX18" i="42"/>
  <c r="BX219" i="43" s="1"/>
  <c r="AJ10" i="42"/>
  <c r="AJ47" i="45" s="1"/>
  <c r="N120" i="47"/>
  <c r="N102" i="47"/>
  <c r="BC50" i="47"/>
  <c r="BC104" i="47"/>
  <c r="BC51" i="47"/>
  <c r="BQ13" i="47"/>
  <c r="BM60" i="47" s="1"/>
  <c r="BR39" i="47"/>
  <c r="AT72" i="47"/>
  <c r="AR65" i="47"/>
  <c r="BN69" i="47"/>
  <c r="BN76" i="47" s="1"/>
  <c r="BN72" i="47"/>
  <c r="BS72" i="47"/>
  <c r="BQ65" i="47"/>
  <c r="BV72" i="47" s="1"/>
  <c r="AB10" i="46"/>
  <c r="AG72" i="47"/>
  <c r="AC65" i="47"/>
  <c r="BG27" i="46"/>
  <c r="AE49" i="46"/>
  <c r="AE48" i="46"/>
  <c r="AI44" i="46"/>
  <c r="CL89" i="47"/>
  <c r="CL90" i="47"/>
  <c r="BC53" i="46"/>
  <c r="BC54" i="46" s="1"/>
  <c r="BF65" i="43"/>
  <c r="BG72" i="43"/>
  <c r="BF72" i="43" s="1"/>
  <c r="CC72" i="47"/>
  <c r="CC69" i="47"/>
  <c r="H73" i="44"/>
  <c r="BA65" i="43"/>
  <c r="BB72" i="43"/>
  <c r="BA72" i="43" s="1"/>
  <c r="AW21" i="46"/>
  <c r="AW52" i="46" s="1"/>
  <c r="Q35" i="46"/>
  <c r="AZ28" i="46"/>
  <c r="G41" i="47"/>
  <c r="BV99" i="47"/>
  <c r="BV183" i="47" s="1"/>
  <c r="AN73" i="44"/>
  <c r="CA74" i="47"/>
  <c r="BQ21" i="46"/>
  <c r="CH122" i="43"/>
  <c r="BR42" i="44"/>
  <c r="AG57" i="44"/>
  <c r="AQ10" i="46"/>
  <c r="AQ39" i="46" s="1"/>
  <c r="AG144" i="47"/>
  <c r="AG146" i="47" s="1"/>
  <c r="M23" i="46"/>
  <c r="BA76" i="47"/>
  <c r="BH32" i="46"/>
  <c r="AR165" i="43"/>
  <c r="BT73" i="44"/>
  <c r="BA49" i="47"/>
  <c r="Y149" i="47"/>
  <c r="Y151" i="47"/>
  <c r="BU155" i="47"/>
  <c r="AZ32" i="46"/>
  <c r="AU48" i="46"/>
  <c r="BL10" i="46"/>
  <c r="AP41" i="47"/>
  <c r="CH41" i="47"/>
  <c r="AI38" i="46"/>
  <c r="AR57" i="44"/>
  <c r="AR59" i="44" s="1"/>
  <c r="R74" i="47"/>
  <c r="AG69" i="47"/>
  <c r="CK27" i="46"/>
  <c r="S75" i="47"/>
  <c r="BO151" i="47"/>
  <c r="BL27" i="46"/>
  <c r="CG40" i="46"/>
  <c r="AK50" i="47"/>
  <c r="AK49" i="47"/>
  <c r="N54" i="44"/>
  <c r="AE39" i="46"/>
  <c r="AS12" i="45"/>
  <c r="AS15" i="45" s="1"/>
  <c r="AD42" i="44"/>
  <c r="AT59" i="44"/>
  <c r="AI42" i="44"/>
  <c r="CI41" i="47"/>
  <c r="AZ131" i="47"/>
  <c r="CL49" i="47"/>
  <c r="W57" i="44"/>
  <c r="W59" i="44" s="1"/>
  <c r="BQ138" i="43"/>
  <c r="CJ44" i="46"/>
  <c r="CJ45" i="46" s="1"/>
  <c r="CJ46" i="46" s="1"/>
  <c r="BD42" i="44"/>
  <c r="AN48" i="46"/>
  <c r="CD44" i="46"/>
  <c r="CD31" i="46"/>
  <c r="AV53" i="46"/>
  <c r="AV54" i="46" s="1"/>
  <c r="CN18" i="46"/>
  <c r="CI48" i="46"/>
  <c r="CI49" i="46" s="1"/>
  <c r="CI50" i="46" s="1"/>
  <c r="AK51" i="47"/>
  <c r="BG25" i="43"/>
  <c r="BG20" i="43"/>
  <c r="BG24" i="43" s="1"/>
  <c r="BG22" i="43"/>
  <c r="W92" i="47"/>
  <c r="W94" i="47"/>
  <c r="CM18" i="46"/>
  <c r="CH32" i="46"/>
  <c r="CH48" i="46"/>
  <c r="BT151" i="47"/>
  <c r="BT149" i="47"/>
  <c r="AS39" i="46"/>
  <c r="AS49" i="46"/>
  <c r="AS32" i="46"/>
  <c r="R65" i="43"/>
  <c r="S72" i="43"/>
  <c r="BQ11" i="42"/>
  <c r="AQ12" i="43"/>
  <c r="AQ149" i="43" s="1"/>
  <c r="BB177" i="43"/>
  <c r="AH158" i="43"/>
  <c r="T42" i="44"/>
  <c r="AU58" i="44"/>
  <c r="AC62" i="44"/>
  <c r="AC63" i="44" s="1"/>
  <c r="BV53" i="45"/>
  <c r="AI12" i="45"/>
  <c r="U35" i="46"/>
  <c r="P46" i="47"/>
  <c r="BJ41" i="47"/>
  <c r="CK65" i="47"/>
  <c r="R75" i="47"/>
  <c r="CB86" i="47"/>
  <c r="CB94" i="47" s="1"/>
  <c r="CJ156" i="47"/>
  <c r="Y116" i="47"/>
  <c r="T126" i="47"/>
  <c r="AB39" i="47"/>
  <c r="F52" i="47"/>
  <c r="U50" i="47"/>
  <c r="D12" i="45"/>
  <c r="D15" i="45" s="1"/>
  <c r="BB69" i="44"/>
  <c r="AH13" i="47"/>
  <c r="AE60" i="47" s="1"/>
  <c r="N26" i="47"/>
  <c r="J62" i="47" s="1"/>
  <c r="K103" i="47"/>
  <c r="BF57" i="47"/>
  <c r="AL44" i="47"/>
  <c r="M69" i="47"/>
  <c r="AG103" i="47"/>
  <c r="AG151" i="47"/>
  <c r="BW72" i="47"/>
  <c r="BR44" i="47"/>
  <c r="AY107" i="47"/>
  <c r="BV21" i="46"/>
  <c r="BV52" i="46" s="1"/>
  <c r="BO33" i="46"/>
  <c r="CI155" i="47"/>
  <c r="Z20" i="43"/>
  <c r="Z24" i="43" s="1"/>
  <c r="X79" i="47"/>
  <c r="Z59" i="44"/>
  <c r="AF73" i="47"/>
  <c r="AH65" i="47"/>
  <c r="CJ165" i="43"/>
  <c r="AQ54" i="44"/>
  <c r="W29" i="44"/>
  <c r="W34" i="44" s="1"/>
  <c r="W42" i="44" s="1"/>
  <c r="W73" i="44"/>
  <c r="AH57" i="44"/>
  <c r="AH59" i="44" s="1"/>
  <c r="AV108" i="47"/>
  <c r="CC38" i="46"/>
  <c r="CC40" i="46"/>
  <c r="BY39" i="46"/>
  <c r="BY48" i="46"/>
  <c r="BY49" i="46" s="1"/>
  <c r="BY50" i="46" s="1"/>
  <c r="BT51" i="47"/>
  <c r="BH31" i="46"/>
  <c r="BH44" i="46"/>
  <c r="CD149" i="47"/>
  <c r="CD144" i="47"/>
  <c r="CD146" i="47" s="1"/>
  <c r="CD152" i="47" s="1"/>
  <c r="CD121" i="47"/>
  <c r="BP33" i="46"/>
  <c r="BP52" i="46"/>
  <c r="BP53" i="46" s="1"/>
  <c r="BP54" i="46" s="1"/>
  <c r="BU33" i="46"/>
  <c r="BM33" i="46"/>
  <c r="BM52" i="46"/>
  <c r="BM53" i="46" s="1"/>
  <c r="BM54" i="46" s="1"/>
  <c r="BK28" i="46"/>
  <c r="AX32" i="46"/>
  <c r="AX39" i="46"/>
  <c r="BC32" i="46"/>
  <c r="BC48" i="46"/>
  <c r="AX48" i="46"/>
  <c r="AX49" i="46" s="1"/>
  <c r="AX50" i="46" s="1"/>
  <c r="BG165" i="43"/>
  <c r="AN28" i="46"/>
  <c r="BM32" i="46"/>
  <c r="CB39" i="46"/>
  <c r="BD49" i="46"/>
  <c r="BD50" i="46" s="1"/>
  <c r="CC32" i="46"/>
  <c r="CC39" i="46"/>
  <c r="CC48" i="46"/>
  <c r="BW24" i="43"/>
  <c r="BW27" i="43"/>
  <c r="BK24" i="43"/>
  <c r="BK27" i="43"/>
  <c r="AG65" i="43"/>
  <c r="AH72" i="43"/>
  <c r="AG72" i="43" s="1"/>
  <c r="CB45" i="46"/>
  <c r="CB46" i="46" s="1"/>
  <c r="AJ32" i="46"/>
  <c r="BF46" i="47"/>
  <c r="BF51" i="47"/>
  <c r="BH57" i="47"/>
  <c r="AB52" i="46"/>
  <c r="AB53" i="46"/>
  <c r="AG33" i="46"/>
  <c r="BJ144" i="47"/>
  <c r="BJ149" i="47"/>
  <c r="AI54" i="42"/>
  <c r="O54" i="42"/>
  <c r="AR34" i="44"/>
  <c r="AR42" i="44" s="1"/>
  <c r="AZ42" i="44"/>
  <c r="CF42" i="44"/>
  <c r="W61" i="44"/>
  <c r="AF59" i="44"/>
  <c r="CF59" i="44"/>
  <c r="DD110" i="44" s="1"/>
  <c r="BE73" i="44"/>
  <c r="U73" i="44"/>
  <c r="BA12" i="45"/>
  <c r="R41" i="45"/>
  <c r="CF10" i="46"/>
  <c r="CF40" i="46" s="1"/>
  <c r="AW15" i="46"/>
  <c r="AH8" i="46"/>
  <c r="AQ28" i="46"/>
  <c r="X26" i="47"/>
  <c r="U62" i="47" s="1"/>
  <c r="BM39" i="47"/>
  <c r="BB65" i="47"/>
  <c r="BB72" i="47" s="1"/>
  <c r="CD76" i="47"/>
  <c r="AJ131" i="47"/>
  <c r="AB98" i="47"/>
  <c r="T116" i="47"/>
  <c r="T107" i="47"/>
  <c r="AB107" i="47"/>
  <c r="BC151" i="47"/>
  <c r="AB60" i="47"/>
  <c r="AB44" i="47"/>
  <c r="BM149" i="47"/>
  <c r="AT39" i="47"/>
  <c r="U57" i="47"/>
  <c r="G46" i="47"/>
  <c r="AZ76" i="47"/>
  <c r="BM12" i="45"/>
  <c r="BM46" i="45" s="1"/>
  <c r="BM55" i="45" s="1"/>
  <c r="CH42" i="44"/>
  <c r="BK73" i="44"/>
  <c r="G58" i="44"/>
  <c r="AY39" i="47"/>
  <c r="U76" i="47"/>
  <c r="Q76" i="47"/>
  <c r="AT151" i="47"/>
  <c r="N84" i="47"/>
  <c r="N86" i="47" s="1"/>
  <c r="N92" i="47" s="1"/>
  <c r="BD52" i="47"/>
  <c r="P35" i="46"/>
  <c r="CI144" i="47"/>
  <c r="AV57" i="44"/>
  <c r="W69" i="47"/>
  <c r="R73" i="47"/>
  <c r="AF69" i="47"/>
  <c r="AB108" i="47"/>
  <c r="AI73" i="47"/>
  <c r="AU144" i="47"/>
  <c r="AU146" i="47" s="1"/>
  <c r="AU152" i="47" s="1"/>
  <c r="AU149" i="47"/>
  <c r="BY155" i="47"/>
  <c r="BO156" i="47"/>
  <c r="AK23" i="46"/>
  <c r="AK33" i="46"/>
  <c r="AK40" i="46"/>
  <c r="AK52" i="46"/>
  <c r="AK53" i="46"/>
  <c r="BH23" i="46"/>
  <c r="AT45" i="46"/>
  <c r="AT44" i="46"/>
  <c r="BA39" i="46"/>
  <c r="BA32" i="46"/>
  <c r="BA48" i="46"/>
  <c r="BW38" i="46"/>
  <c r="BM48" i="46"/>
  <c r="CG32" i="46"/>
  <c r="CL32" i="46"/>
  <c r="CG39" i="46"/>
  <c r="AO32" i="46"/>
  <c r="AO48" i="46"/>
  <c r="AO50" i="46" s="1"/>
  <c r="BD32" i="46"/>
  <c r="BF49" i="47"/>
  <c r="K20" i="43"/>
  <c r="K22" i="43"/>
  <c r="K32" i="43" s="1"/>
  <c r="K25" i="43"/>
  <c r="BS27" i="43"/>
  <c r="BS24" i="43"/>
  <c r="M65" i="43"/>
  <c r="N72" i="43"/>
  <c r="M72" i="43" s="1"/>
  <c r="BV26" i="47"/>
  <c r="BU62" i="47" s="1"/>
  <c r="E45" i="42"/>
  <c r="CK11" i="42"/>
  <c r="W15" i="43"/>
  <c r="AW12" i="44"/>
  <c r="BA57" i="44"/>
  <c r="CF58" i="44"/>
  <c r="DD109" i="44" s="1"/>
  <c r="CM34" i="45"/>
  <c r="CM23" i="45" s="1"/>
  <c r="AH35" i="45"/>
  <c r="AH41" i="45" s="1"/>
  <c r="CA27" i="46"/>
  <c r="AS23" i="46"/>
  <c r="AY50" i="46"/>
  <c r="BG39" i="47"/>
  <c r="U46" i="47"/>
  <c r="BF41" i="47"/>
  <c r="P76" i="47"/>
  <c r="AV90" i="47"/>
  <c r="N111" i="47"/>
  <c r="AB55" i="47"/>
  <c r="AZ12" i="45"/>
  <c r="AZ15" i="45" s="1"/>
  <c r="AO73" i="44"/>
  <c r="G42" i="44"/>
  <c r="CZ82" i="45"/>
  <c r="CK39" i="47"/>
  <c r="AW13" i="47"/>
  <c r="BB107" i="47" s="1"/>
  <c r="BE49" i="47"/>
  <c r="BC72" i="47"/>
  <c r="AI55" i="47"/>
  <c r="AX69" i="47"/>
  <c r="AX76" i="47" s="1"/>
  <c r="AD74" i="47"/>
  <c r="Y28" i="46"/>
  <c r="G59" i="44"/>
  <c r="R31" i="46"/>
  <c r="AV73" i="44"/>
  <c r="BG70" i="44"/>
  <c r="AQ150" i="47"/>
  <c r="BE51" i="47"/>
  <c r="BE149" i="47"/>
  <c r="BE144" i="47"/>
  <c r="BE146" i="47" s="1"/>
  <c r="BE152" i="47" s="1"/>
  <c r="BE151" i="47"/>
  <c r="BT144" i="47"/>
  <c r="BT146" i="47" s="1"/>
  <c r="BT152" i="47" s="1"/>
  <c r="BT150" i="47"/>
  <c r="BM31" i="46"/>
  <c r="BM44" i="46"/>
  <c r="CG31" i="46"/>
  <c r="CL31" i="46"/>
  <c r="CG38" i="46"/>
  <c r="CG44" i="46"/>
  <c r="BW68" i="44"/>
  <c r="BW77" i="44"/>
  <c r="AS48" i="46"/>
  <c r="BH48" i="46"/>
  <c r="BH49" i="46" s="1"/>
  <c r="BH50" i="46" s="1"/>
  <c r="BI32" i="46"/>
  <c r="BI48" i="46"/>
  <c r="AL24" i="43"/>
  <c r="AL27" i="43"/>
  <c r="BR24" i="43"/>
  <c r="BR27" i="43"/>
  <c r="BA50" i="47"/>
  <c r="AF27" i="42"/>
  <c r="AF54" i="42" s="1"/>
  <c r="AE54" i="42"/>
  <c r="BJ42" i="44"/>
  <c r="BY53" i="46"/>
  <c r="BY54" i="46" s="1"/>
  <c r="AX40" i="46"/>
  <c r="AX52" i="46"/>
  <c r="Z53" i="46"/>
  <c r="Z33" i="46"/>
  <c r="Z52" i="46"/>
  <c r="BH39" i="46"/>
  <c r="BH40" i="46"/>
  <c r="BH38" i="46"/>
  <c r="BI38" i="46"/>
  <c r="BI39" i="46"/>
  <c r="BI40" i="46"/>
  <c r="AX44" i="46"/>
  <c r="AX31" i="46"/>
  <c r="AX38" i="46"/>
  <c r="BC31" i="46"/>
  <c r="AX23" i="46"/>
  <c r="AT31" i="46"/>
  <c r="AO38" i="46"/>
  <c r="AO44" i="46"/>
  <c r="AO45" i="46"/>
  <c r="BC49" i="44"/>
  <c r="BB62" i="44"/>
  <c r="BB63" i="44" s="1"/>
  <c r="CB49" i="44"/>
  <c r="CA62" i="44"/>
  <c r="BS49" i="44"/>
  <c r="BR62" i="44"/>
  <c r="BR63" i="44" s="1"/>
  <c r="AH11" i="45"/>
  <c r="L50" i="44"/>
  <c r="M50" i="44" s="1"/>
  <c r="K61" i="44"/>
  <c r="BV22" i="43"/>
  <c r="BV25" i="43"/>
  <c r="BV20" i="43"/>
  <c r="AY24" i="43"/>
  <c r="AY27" i="43"/>
  <c r="BJ27" i="43"/>
  <c r="BJ24" i="43"/>
  <c r="W149" i="47"/>
  <c r="AD18" i="46"/>
  <c r="AI32" i="46" s="1"/>
  <c r="AH17" i="46"/>
  <c r="AH18" i="46" s="1"/>
  <c r="AH48" i="46" s="1"/>
  <c r="AU56" i="47"/>
  <c r="AT45" i="47"/>
  <c r="T49" i="44"/>
  <c r="S62" i="44"/>
  <c r="BM49" i="44"/>
  <c r="BL62" i="44"/>
  <c r="BL63" i="44" s="1"/>
  <c r="AD56" i="47"/>
  <c r="AB45" i="47"/>
  <c r="AB56" i="47"/>
  <c r="AG98" i="47"/>
  <c r="T99" i="47"/>
  <c r="T117" i="47"/>
  <c r="T127" i="47"/>
  <c r="U127" i="47"/>
  <c r="T143" i="47"/>
  <c r="T150" i="47" s="1"/>
  <c r="AD27" i="46"/>
  <c r="AH27" i="46" s="1"/>
  <c r="W32" i="46"/>
  <c r="AB32" i="46"/>
  <c r="AD21" i="46"/>
  <c r="AD52" i="46" s="1"/>
  <c r="BR45" i="47"/>
  <c r="BN56" i="47"/>
  <c r="BM45" i="47"/>
  <c r="AB150" i="47"/>
  <c r="G63" i="44"/>
  <c r="G65" i="44" s="1"/>
  <c r="G64" i="44"/>
  <c r="CL24" i="43"/>
  <c r="CL27" i="43"/>
  <c r="CN55" i="42"/>
  <c r="CN57" i="42" s="1"/>
  <c r="AS54" i="42"/>
  <c r="AC22" i="42"/>
  <c r="AR17" i="42"/>
  <c r="AC14" i="42"/>
  <c r="BA9" i="42"/>
  <c r="BB9" i="42" s="1"/>
  <c r="CK7" i="42"/>
  <c r="CK9" i="42" s="1"/>
  <c r="AQ15" i="43"/>
  <c r="AM122" i="43"/>
  <c r="CF25" i="43"/>
  <c r="AM42" i="44"/>
  <c r="BT42" i="44"/>
  <c r="R58" i="44"/>
  <c r="AF42" i="44"/>
  <c r="AZ61" i="44"/>
  <c r="BL70" i="44"/>
  <c r="BW12" i="45"/>
  <c r="BW78" i="44" s="1"/>
  <c r="CM27" i="45"/>
  <c r="N41" i="45"/>
  <c r="J73" i="44"/>
  <c r="BV15" i="46"/>
  <c r="BV44" i="46" s="1"/>
  <c r="CK20" i="46"/>
  <c r="CK21" i="46" s="1"/>
  <c r="BV27" i="46"/>
  <c r="AM26" i="47"/>
  <c r="AM50" i="47" s="1"/>
  <c r="AQ26" i="47"/>
  <c r="AQ46" i="47" s="1"/>
  <c r="AC19" i="47"/>
  <c r="Z61" i="47" s="1"/>
  <c r="AY45" i="47"/>
  <c r="BR40" i="47"/>
  <c r="AW74" i="47"/>
  <c r="F76" i="47"/>
  <c r="AI69" i="47"/>
  <c r="AN76" i="47" s="1"/>
  <c r="W75" i="47"/>
  <c r="P86" i="47"/>
  <c r="P92" i="47" s="1"/>
  <c r="BL122" i="47"/>
  <c r="O93" i="47"/>
  <c r="AH66" i="47"/>
  <c r="AG107" i="47"/>
  <c r="BM121" i="47"/>
  <c r="AQ144" i="47"/>
  <c r="AQ146" i="47" s="1"/>
  <c r="AB26" i="47"/>
  <c r="AL39" i="47"/>
  <c r="H41" i="47"/>
  <c r="I112" i="47"/>
  <c r="CE76" i="47"/>
  <c r="W27" i="45"/>
  <c r="AQ41" i="45"/>
  <c r="BH70" i="44"/>
  <c r="BH73" i="44" s="1"/>
  <c r="W54" i="44"/>
  <c r="AW19" i="47"/>
  <c r="AV61" i="47" s="1"/>
  <c r="AR66" i="47"/>
  <c r="AW73" i="47" s="1"/>
  <c r="S66" i="47"/>
  <c r="S73" i="47" s="1"/>
  <c r="W72" i="47"/>
  <c r="BK69" i="47"/>
  <c r="BP76" i="47" s="1"/>
  <c r="AG26" i="47"/>
  <c r="AG50" i="47" s="1"/>
  <c r="AQ44" i="47"/>
  <c r="BL67" i="47"/>
  <c r="BL74" i="47" s="1"/>
  <c r="AD69" i="47"/>
  <c r="O94" i="47"/>
  <c r="AG149" i="47"/>
  <c r="BM103" i="47"/>
  <c r="BM184" i="47" s="1"/>
  <c r="P131" i="47"/>
  <c r="CJ49" i="47"/>
  <c r="CJ51" i="47"/>
  <c r="AH19" i="46"/>
  <c r="AH21" i="46" s="1"/>
  <c r="AH53" i="46" s="1"/>
  <c r="AZ52" i="46"/>
  <c r="BE33" i="46"/>
  <c r="AZ33" i="46"/>
  <c r="X35" i="46"/>
  <c r="BP23" i="46"/>
  <c r="BP44" i="46"/>
  <c r="BY32" i="46"/>
  <c r="BT48" i="46"/>
  <c r="BS68" i="44"/>
  <c r="BS77" i="44"/>
  <c r="BW49" i="44"/>
  <c r="BV62" i="44"/>
  <c r="BV63" i="44" s="1"/>
  <c r="AN32" i="46"/>
  <c r="AI39" i="46"/>
  <c r="AI49" i="46"/>
  <c r="AI50" i="46" s="1"/>
  <c r="AQ58" i="44"/>
  <c r="AL45" i="47"/>
  <c r="AI56" i="47"/>
  <c r="AG45" i="47"/>
  <c r="AG56" i="47"/>
  <c r="AQ149" i="47"/>
  <c r="AG108" i="47"/>
  <c r="AG99" i="47"/>
  <c r="BF72" i="47"/>
  <c r="BF69" i="47"/>
  <c r="BF76" i="47" s="1"/>
  <c r="BO72" i="47"/>
  <c r="BH49" i="44"/>
  <c r="BG62" i="44"/>
  <c r="BM10" i="46"/>
  <c r="BM26" i="46"/>
  <c r="AA24" i="43"/>
  <c r="AA27" i="43"/>
  <c r="AB57" i="44"/>
  <c r="AB59" i="44" s="1"/>
  <c r="AB58" i="44"/>
  <c r="CJ21" i="46"/>
  <c r="CJ40" i="46" s="1"/>
  <c r="W41" i="45"/>
  <c r="CB69" i="47"/>
  <c r="CB76" i="47" s="1"/>
  <c r="CF65" i="47"/>
  <c r="N15" i="43"/>
  <c r="N18" i="43" s="1"/>
  <c r="N149" i="43"/>
  <c r="AL107" i="47"/>
  <c r="W73" i="47"/>
  <c r="R34" i="46"/>
  <c r="P49" i="44"/>
  <c r="O62" i="44"/>
  <c r="O63" i="44" s="1"/>
  <c r="AX24" i="43"/>
  <c r="AX27" i="43"/>
  <c r="AB117" i="47"/>
  <c r="BC27" i="43"/>
  <c r="BC24" i="43"/>
  <c r="CF22" i="43"/>
  <c r="AT42" i="44"/>
  <c r="AZ58" i="44"/>
  <c r="AO12" i="45"/>
  <c r="AO15" i="45" s="1"/>
  <c r="AC9" i="46"/>
  <c r="BG18" i="46"/>
  <c r="AG39" i="47"/>
  <c r="CD41" i="47"/>
  <c r="AN73" i="47"/>
  <c r="O91" i="47"/>
  <c r="S118" i="47"/>
  <c r="AR39" i="47"/>
  <c r="U112" i="47"/>
  <c r="O41" i="47"/>
  <c r="BQ62" i="44"/>
  <c r="BQ63" i="44" s="1"/>
  <c r="X65" i="47"/>
  <c r="X72" i="47" s="1"/>
  <c r="X80" i="47"/>
  <c r="X117" i="47" s="1"/>
  <c r="R72" i="47"/>
  <c r="AV107" i="47"/>
  <c r="AT56" i="47"/>
  <c r="BM99" i="47"/>
  <c r="BM183" i="47" s="1"/>
  <c r="CJ61" i="47"/>
  <c r="CG61" i="47"/>
  <c r="CH61" i="47"/>
  <c r="CI61" i="47"/>
  <c r="CL50" i="47"/>
  <c r="CL57" i="47"/>
  <c r="U121" i="47"/>
  <c r="Y117" i="47"/>
  <c r="BR108" i="47"/>
  <c r="AN40" i="46"/>
  <c r="AN39" i="46"/>
  <c r="BW23" i="46"/>
  <c r="BW39" i="46"/>
  <c r="CB32" i="46"/>
  <c r="BW48" i="46"/>
  <c r="BC38" i="46"/>
  <c r="BC39" i="46"/>
  <c r="BJ33" i="46"/>
  <c r="BJ52" i="46"/>
  <c r="CL23" i="46"/>
  <c r="CL52" i="46"/>
  <c r="AV28" i="46"/>
  <c r="Y27" i="45"/>
  <c r="AE144" i="47"/>
  <c r="AE146" i="47" s="1"/>
  <c r="AE152" i="47" s="1"/>
  <c r="AE149" i="47"/>
  <c r="AO23" i="46"/>
  <c r="Y49" i="46"/>
  <c r="Y32" i="46"/>
  <c r="C77" i="44"/>
  <c r="T58" i="44"/>
  <c r="BE32" i="46"/>
  <c r="BE48" i="46"/>
  <c r="BE39" i="46"/>
  <c r="AD25" i="43"/>
  <c r="AD20" i="43"/>
  <c r="AD22" i="43"/>
  <c r="AD32" i="43" s="1"/>
  <c r="BO55" i="47"/>
  <c r="BO107" i="47"/>
  <c r="BT107" i="47"/>
  <c r="BO98" i="47"/>
  <c r="BO182" i="47" s="1"/>
  <c r="BO149" i="47"/>
  <c r="BO103" i="47"/>
  <c r="BO184" i="47" s="1"/>
  <c r="BT155" i="47"/>
  <c r="BO155" i="47"/>
  <c r="AG150" i="47"/>
  <c r="AL108" i="47"/>
  <c r="X62" i="44"/>
  <c r="X63" i="44" s="1"/>
  <c r="Y49" i="44"/>
  <c r="BM26" i="47"/>
  <c r="BM49" i="47" s="1"/>
  <c r="BM44" i="47"/>
  <c r="BM55" i="47"/>
  <c r="BN55" i="47"/>
  <c r="BM107" i="47"/>
  <c r="BM98" i="47"/>
  <c r="BM182" i="47" s="1"/>
  <c r="BR107" i="47"/>
  <c r="BF24" i="43"/>
  <c r="BF27" i="43"/>
  <c r="CI24" i="43"/>
  <c r="CI27" i="43"/>
  <c r="G122" i="47"/>
  <c r="BV165" i="43"/>
  <c r="AB69" i="47"/>
  <c r="AB72" i="47"/>
  <c r="AB33" i="46"/>
  <c r="W33" i="46"/>
  <c r="AT55" i="47"/>
  <c r="AY44" i="47"/>
  <c r="AT26" i="47"/>
  <c r="AT50" i="47" s="1"/>
  <c r="AT44" i="47"/>
  <c r="AT98" i="47"/>
  <c r="AT149" i="47"/>
  <c r="AT107" i="47"/>
  <c r="BS58" i="44"/>
  <c r="BS59" i="44"/>
  <c r="S15" i="43"/>
  <c r="S18" i="43" s="1"/>
  <c r="S149" i="43"/>
  <c r="F27" i="43"/>
  <c r="F24" i="43"/>
  <c r="AV45" i="47"/>
  <c r="AQ45" i="47"/>
  <c r="AQ108" i="47"/>
  <c r="CJ18" i="46"/>
  <c r="CJ48" i="46" s="1"/>
  <c r="AB73" i="47"/>
  <c r="CD27" i="43"/>
  <c r="CD24" i="43"/>
  <c r="AB99" i="47"/>
  <c r="BG177" i="43"/>
  <c r="AD149" i="43"/>
  <c r="CA22" i="43"/>
  <c r="C125" i="43"/>
  <c r="BG29" i="44"/>
  <c r="BG34" i="44" s="1"/>
  <c r="BG42" i="44" s="1"/>
  <c r="AQ57" i="44"/>
  <c r="AQ59" i="44" s="1"/>
  <c r="BD73" i="44"/>
  <c r="BH12" i="45"/>
  <c r="BH78" i="44" s="1"/>
  <c r="R73" i="44"/>
  <c r="R23" i="46"/>
  <c r="BM40" i="47"/>
  <c r="CK73" i="47"/>
  <c r="CA107" i="47"/>
  <c r="S84" i="47"/>
  <c r="BH86" i="47"/>
  <c r="BH104" i="47" s="1"/>
  <c r="AG44" i="47"/>
  <c r="AV39" i="47"/>
  <c r="O46" i="47"/>
  <c r="AB40" i="47"/>
  <c r="CL54" i="42"/>
  <c r="BQ33" i="42"/>
  <c r="G35" i="42"/>
  <c r="X31" i="42"/>
  <c r="S28" i="42"/>
  <c r="S22" i="42"/>
  <c r="CA20" i="43"/>
  <c r="CA24" i="43" s="1"/>
  <c r="AM72" i="43"/>
  <c r="BU122" i="43"/>
  <c r="BV122" i="43" s="1"/>
  <c r="E62" i="44"/>
  <c r="E63" i="44" s="1"/>
  <c r="BN59" i="44"/>
  <c r="F63" i="44"/>
  <c r="F65" i="44" s="1"/>
  <c r="AF68" i="44"/>
  <c r="AF61" i="44"/>
  <c r="BN58" i="44"/>
  <c r="BG8" i="45"/>
  <c r="BG51" i="45" s="1"/>
  <c r="AC40" i="45"/>
  <c r="AC41" i="45" s="1"/>
  <c r="BC33" i="46"/>
  <c r="BX40" i="46"/>
  <c r="BQ19" i="47"/>
  <c r="BV40" i="47" s="1"/>
  <c r="AH26" i="47"/>
  <c r="S26" i="47"/>
  <c r="Q62" i="47" s="1"/>
  <c r="AT40" i="47"/>
  <c r="AP69" i="47"/>
  <c r="AZ152" i="47"/>
  <c r="BH112" i="47"/>
  <c r="AQ151" i="47"/>
  <c r="BM156" i="47"/>
  <c r="AQ39" i="47"/>
  <c r="Z46" i="47"/>
  <c r="K57" i="47"/>
  <c r="AJ73" i="44"/>
  <c r="AY40" i="47"/>
  <c r="AP73" i="47"/>
  <c r="AM66" i="47"/>
  <c r="AS55" i="47"/>
  <c r="AT108" i="47"/>
  <c r="AY108" i="47"/>
  <c r="AQ103" i="47"/>
  <c r="AQ98" i="47"/>
  <c r="BM56" i="47"/>
  <c r="BM108" i="47"/>
  <c r="AD51" i="47"/>
  <c r="AD49" i="47"/>
  <c r="AD50" i="47"/>
  <c r="BR50" i="47"/>
  <c r="BR49" i="47"/>
  <c r="BR51" i="47"/>
  <c r="Y108" i="47"/>
  <c r="CH121" i="47"/>
  <c r="CI131" i="47"/>
  <c r="AA33" i="46"/>
  <c r="AA52" i="46"/>
  <c r="AF33" i="46"/>
  <c r="AA53" i="46"/>
  <c r="AT150" i="47"/>
  <c r="AS44" i="46"/>
  <c r="AS45" i="46"/>
  <c r="AS38" i="46"/>
  <c r="AS31" i="46"/>
  <c r="BZ31" i="46"/>
  <c r="BU44" i="46"/>
  <c r="BU45" i="46" s="1"/>
  <c r="BU46" i="46" s="1"/>
  <c r="BU31" i="46"/>
  <c r="BU38" i="46"/>
  <c r="BO52" i="46"/>
  <c r="BY23" i="46"/>
  <c r="BY40" i="46"/>
  <c r="Z31" i="46"/>
  <c r="Z45" i="46"/>
  <c r="Z44" i="46"/>
  <c r="O68" i="44"/>
  <c r="O77" i="44"/>
  <c r="T59" i="44"/>
  <c r="BO24" i="43"/>
  <c r="BO27" i="43"/>
  <c r="AG10" i="46"/>
  <c r="AG26" i="46"/>
  <c r="AG28" i="46" s="1"/>
  <c r="AO69" i="47"/>
  <c r="AO76" i="47" s="1"/>
  <c r="AO72" i="47"/>
  <c r="AS49" i="44"/>
  <c r="AR62" i="44"/>
  <c r="AR63" i="44" s="1"/>
  <c r="CI59" i="44"/>
  <c r="AT24" i="43"/>
  <c r="AT27" i="43"/>
  <c r="CH24" i="43"/>
  <c r="CH27" i="43"/>
  <c r="AP24" i="43"/>
  <c r="AP27" i="43"/>
  <c r="M57" i="47"/>
  <c r="M52" i="47"/>
  <c r="W23" i="46"/>
  <c r="W31" i="46"/>
  <c r="R32" i="46"/>
  <c r="W74" i="47"/>
  <c r="AE72" i="47"/>
  <c r="BR72" i="47"/>
  <c r="BR69" i="47"/>
  <c r="BR76" i="47" s="1"/>
  <c r="BZ24" i="43"/>
  <c r="BZ27" i="43"/>
  <c r="AI27" i="43"/>
  <c r="AI24" i="43"/>
  <c r="W108" i="47"/>
  <c r="W117" i="47"/>
  <c r="W99" i="47"/>
  <c r="Y127" i="47"/>
  <c r="W143" i="47"/>
  <c r="W150" i="47" s="1"/>
  <c r="W127" i="47"/>
  <c r="AI49" i="44"/>
  <c r="AH62" i="44"/>
  <c r="AH63" i="44" s="1"/>
  <c r="AH65" i="44" s="1"/>
  <c r="AK72" i="47"/>
  <c r="J24" i="43"/>
  <c r="J27" i="43"/>
  <c r="AY73" i="44"/>
  <c r="AT73" i="44"/>
  <c r="BW73" i="44"/>
  <c r="Y73" i="44"/>
  <c r="BI73" i="44"/>
  <c r="P73" i="44"/>
  <c r="G73" i="44"/>
  <c r="Z73" i="44"/>
  <c r="BW157" i="47"/>
  <c r="CE146" i="47"/>
  <c r="CE152" i="47" s="1"/>
  <c r="CA116" i="47"/>
  <c r="H46" i="47"/>
  <c r="H52" i="47"/>
  <c r="H103" i="47"/>
  <c r="BY51" i="47"/>
  <c r="BY46" i="47"/>
  <c r="BY50" i="47"/>
  <c r="BY112" i="47"/>
  <c r="BY49" i="47"/>
  <c r="BW61" i="47"/>
  <c r="BX61" i="47"/>
  <c r="BY61" i="47"/>
  <c r="BL44" i="47"/>
  <c r="BH60" i="47"/>
  <c r="BK60" i="47"/>
  <c r="BI60" i="47"/>
  <c r="BJ60" i="47"/>
  <c r="K104" i="47"/>
  <c r="K52" i="47"/>
  <c r="AV121" i="47"/>
  <c r="AV131" i="47"/>
  <c r="BS86" i="47"/>
  <c r="BT133" i="47" s="1"/>
  <c r="BT131" i="47"/>
  <c r="AL51" i="47"/>
  <c r="AL50" i="47"/>
  <c r="AL57" i="47"/>
  <c r="AL69" i="47"/>
  <c r="AX57" i="47"/>
  <c r="AX49" i="47"/>
  <c r="AX46" i="47"/>
  <c r="AX51" i="47"/>
  <c r="BZ46" i="47"/>
  <c r="BZ49" i="47"/>
  <c r="BZ51" i="47"/>
  <c r="BZ57" i="47"/>
  <c r="AL86" i="47"/>
  <c r="AN133" i="47" s="1"/>
  <c r="AL121" i="47"/>
  <c r="AL131" i="47"/>
  <c r="AR116" i="47"/>
  <c r="AR142" i="47"/>
  <c r="CG86" i="47"/>
  <c r="CH133" i="47" s="1"/>
  <c r="CH131" i="47"/>
  <c r="CG121" i="47"/>
  <c r="CG112" i="47"/>
  <c r="CL121" i="47"/>
  <c r="I86" i="47"/>
  <c r="I113" i="47" s="1"/>
  <c r="I121" i="47"/>
  <c r="BY104" i="47"/>
  <c r="AN50" i="47"/>
  <c r="N109" i="47"/>
  <c r="N118" i="47"/>
  <c r="N100" i="47"/>
  <c r="AA112" i="47"/>
  <c r="BK112" i="47"/>
  <c r="BL99" i="47"/>
  <c r="BL183" i="47" s="1"/>
  <c r="AA152" i="47"/>
  <c r="D41" i="47"/>
  <c r="AM44" i="47"/>
  <c r="AI60" i="47"/>
  <c r="AJ60" i="47"/>
  <c r="AK60" i="47"/>
  <c r="BC60" i="47"/>
  <c r="BF60" i="47"/>
  <c r="BE60" i="47"/>
  <c r="BD60" i="47"/>
  <c r="CD46" i="47"/>
  <c r="CD57" i="47"/>
  <c r="CD51" i="47"/>
  <c r="CD50" i="47"/>
  <c r="CD49" i="47"/>
  <c r="CD112" i="47"/>
  <c r="AS60" i="47"/>
  <c r="CC50" i="47"/>
  <c r="CC51" i="47"/>
  <c r="AI61" i="47"/>
  <c r="AL61" i="47"/>
  <c r="AJ61" i="47"/>
  <c r="AK61" i="47"/>
  <c r="BR60" i="47"/>
  <c r="BU60" i="47"/>
  <c r="BS60" i="47"/>
  <c r="BT60" i="47"/>
  <c r="BP121" i="47"/>
  <c r="BP131" i="47"/>
  <c r="BU121" i="47"/>
  <c r="CA73" i="47"/>
  <c r="AT89" i="47"/>
  <c r="AT90" i="47"/>
  <c r="AT94" i="47"/>
  <c r="AL49" i="47"/>
  <c r="AU86" i="47"/>
  <c r="AZ113" i="47" s="1"/>
  <c r="AU121" i="47"/>
  <c r="AU131" i="47"/>
  <c r="AZ121" i="47"/>
  <c r="AD86" i="47"/>
  <c r="AD112" i="47"/>
  <c r="AD121" i="47"/>
  <c r="AI121" i="47"/>
  <c r="AQ121" i="47"/>
  <c r="AQ86" i="47"/>
  <c r="AV123" i="47" s="1"/>
  <c r="AQ131" i="47"/>
  <c r="AM149" i="47"/>
  <c r="BH46" i="47"/>
  <c r="BC46" i="47"/>
  <c r="BC57" i="47"/>
  <c r="BC49" i="47"/>
  <c r="BD57" i="47"/>
  <c r="BM150" i="47"/>
  <c r="BM151" i="47"/>
  <c r="BZ150" i="47"/>
  <c r="BZ144" i="47"/>
  <c r="BZ146" i="47" s="1"/>
  <c r="BZ152" i="47" s="1"/>
  <c r="BZ151" i="47"/>
  <c r="E86" i="47"/>
  <c r="E121" i="47"/>
  <c r="M86" i="47"/>
  <c r="M103" i="47"/>
  <c r="M131" i="47"/>
  <c r="AX144" i="47"/>
  <c r="AX146" i="47" s="1"/>
  <c r="AX152" i="47" s="1"/>
  <c r="BL108" i="47"/>
  <c r="BD41" i="47"/>
  <c r="CG60" i="47"/>
  <c r="CJ60" i="47"/>
  <c r="CH60" i="47"/>
  <c r="CK44" i="47"/>
  <c r="CI60" i="47"/>
  <c r="CI49" i="47"/>
  <c r="CJ57" i="47"/>
  <c r="CI46" i="47"/>
  <c r="CI50" i="47"/>
  <c r="CI51" i="47"/>
  <c r="CI57" i="47"/>
  <c r="CI112" i="47"/>
  <c r="CI113" i="47"/>
  <c r="P52" i="47"/>
  <c r="Q57" i="47"/>
  <c r="P112" i="47"/>
  <c r="P103" i="47"/>
  <c r="AK131" i="47"/>
  <c r="AJ121" i="47"/>
  <c r="CK117" i="47"/>
  <c r="CK99" i="47"/>
  <c r="CK183" i="47" s="1"/>
  <c r="CK143" i="47"/>
  <c r="CK150" i="47" s="1"/>
  <c r="AS51" i="47"/>
  <c r="Y131" i="47"/>
  <c r="Y86" i="47"/>
  <c r="Y133" i="47" s="1"/>
  <c r="Y103" i="47"/>
  <c r="BO89" i="47"/>
  <c r="BO90" i="47"/>
  <c r="CL131" i="47"/>
  <c r="CK122" i="47"/>
  <c r="CK145" i="47"/>
  <c r="AM116" i="47"/>
  <c r="CD104" i="47"/>
  <c r="BZ50" i="47"/>
  <c r="Z57" i="47"/>
  <c r="Z50" i="47"/>
  <c r="Z49" i="47"/>
  <c r="BM131" i="47"/>
  <c r="BM86" i="47"/>
  <c r="BM133" i="47" s="1"/>
  <c r="BR150" i="47"/>
  <c r="BR156" i="47"/>
  <c r="BW156" i="47"/>
  <c r="CE150" i="47"/>
  <c r="CE151" i="47"/>
  <c r="CE156" i="47"/>
  <c r="CJ151" i="47"/>
  <c r="BT94" i="47"/>
  <c r="E46" i="47"/>
  <c r="D46" i="47"/>
  <c r="D52" i="47"/>
  <c r="CB60" i="47"/>
  <c r="CE60" i="47"/>
  <c r="CD60" i="47"/>
  <c r="CC60" i="47"/>
  <c r="CH46" i="47"/>
  <c r="CH50" i="47"/>
  <c r="CH51" i="47"/>
  <c r="CH57" i="47"/>
  <c r="CH112" i="47"/>
  <c r="AN121" i="47"/>
  <c r="AN131" i="47"/>
  <c r="BJ46" i="47"/>
  <c r="BJ57" i="47"/>
  <c r="BJ50" i="47"/>
  <c r="BJ51" i="47"/>
  <c r="BI94" i="47"/>
  <c r="BI89" i="47"/>
  <c r="BI104" i="47"/>
  <c r="AQ73" i="47"/>
  <c r="AL73" i="47"/>
  <c r="AL72" i="47"/>
  <c r="AQ72" i="47"/>
  <c r="AS46" i="47"/>
  <c r="AS49" i="47"/>
  <c r="BU49" i="47"/>
  <c r="BU104" i="47"/>
  <c r="BU57" i="47"/>
  <c r="AP86" i="47"/>
  <c r="AP112" i="47"/>
  <c r="AP121" i="47"/>
  <c r="AC143" i="47"/>
  <c r="AE86" i="47"/>
  <c r="AE104" i="47" s="1"/>
  <c r="AE131" i="47"/>
  <c r="CH104" i="47"/>
  <c r="CI133" i="47"/>
  <c r="CH90" i="47"/>
  <c r="CH94" i="47"/>
  <c r="CP122" i="47"/>
  <c r="AM98" i="47"/>
  <c r="AX50" i="47"/>
  <c r="BU50" i="47"/>
  <c r="BZ61" i="47"/>
  <c r="AO46" i="47"/>
  <c r="AJ50" i="47"/>
  <c r="AK57" i="47"/>
  <c r="AJ49" i="47"/>
  <c r="BR151" i="47"/>
  <c r="BY74" i="44"/>
  <c r="BX74" i="44"/>
  <c r="BU73" i="44"/>
  <c r="AI19" i="44"/>
  <c r="AJ74" i="44" s="1"/>
  <c r="AI68" i="44"/>
  <c r="AI77" i="44"/>
  <c r="CB68" i="44"/>
  <c r="CB77" i="44"/>
  <c r="K68" i="44"/>
  <c r="K77" i="44"/>
  <c r="Y68" i="44"/>
  <c r="Y77" i="44"/>
  <c r="L19" i="44"/>
  <c r="L74" i="44" s="1"/>
  <c r="L68" i="44"/>
  <c r="L77" i="44"/>
  <c r="D74" i="44"/>
  <c r="AE42" i="44"/>
  <c r="AE55" i="44"/>
  <c r="D61" i="44"/>
  <c r="D58" i="44"/>
  <c r="D59" i="44"/>
  <c r="BD58" i="44"/>
  <c r="BD59" i="44"/>
  <c r="CO49" i="44"/>
  <c r="AJ68" i="44"/>
  <c r="AJ77" i="44"/>
  <c r="E19" i="44"/>
  <c r="E74" i="44" s="1"/>
  <c r="E68" i="44"/>
  <c r="E77" i="44"/>
  <c r="AS34" i="44"/>
  <c r="AS42" i="44" s="1"/>
  <c r="AS68" i="44"/>
  <c r="AS77" i="44"/>
  <c r="AF19" i="44"/>
  <c r="AF74" i="44" s="1"/>
  <c r="BE34" i="44"/>
  <c r="BE42" i="44" s="1"/>
  <c r="BE68" i="44"/>
  <c r="BE77" i="44"/>
  <c r="BI68" i="44"/>
  <c r="BI77" i="44"/>
  <c r="AZ77" i="44"/>
  <c r="AZ68" i="44"/>
  <c r="AZ19" i="44"/>
  <c r="AZ74" i="44" s="1"/>
  <c r="P58" i="44"/>
  <c r="P59" i="44"/>
  <c r="AR58" i="44"/>
  <c r="AR61" i="44"/>
  <c r="AX59" i="44"/>
  <c r="AN77" i="44"/>
  <c r="AN68" i="44"/>
  <c r="BT68" i="44"/>
  <c r="BT77" i="44"/>
  <c r="BT19" i="44"/>
  <c r="BT74" i="44" s="1"/>
  <c r="BM77" i="44"/>
  <c r="BM68" i="44"/>
  <c r="CC68" i="44"/>
  <c r="CC77" i="44"/>
  <c r="Q34" i="44"/>
  <c r="Q42" i="44" s="1"/>
  <c r="Q68" i="44"/>
  <c r="Q77" i="44"/>
  <c r="BC68" i="44"/>
  <c r="BC77" i="44"/>
  <c r="AO55" i="44"/>
  <c r="AJ42" i="44"/>
  <c r="AJ55" i="44"/>
  <c r="AY58" i="44"/>
  <c r="AY61" i="44"/>
  <c r="AO49" i="44"/>
  <c r="AN62" i="44"/>
  <c r="AY49" i="44"/>
  <c r="AX62" i="44"/>
  <c r="AX63" i="44" s="1"/>
  <c r="AX65" i="44" s="1"/>
  <c r="CH59" i="44"/>
  <c r="BX77" i="44"/>
  <c r="BX68" i="44"/>
  <c r="G68" i="44"/>
  <c r="G77" i="44"/>
  <c r="AK19" i="44"/>
  <c r="AK74" i="44" s="1"/>
  <c r="AK68" i="44"/>
  <c r="AK77" i="44"/>
  <c r="H74" i="44"/>
  <c r="I74" i="44"/>
  <c r="AO34" i="44"/>
  <c r="AO42" i="44" s="1"/>
  <c r="AO68" i="44"/>
  <c r="AO77" i="44"/>
  <c r="U68" i="44"/>
  <c r="U77" i="44"/>
  <c r="AQ19" i="44"/>
  <c r="AQ68" i="44"/>
  <c r="AQ77" i="44"/>
  <c r="H68" i="44"/>
  <c r="H77" i="44"/>
  <c r="CB19" i="44"/>
  <c r="CC74" i="44" s="1"/>
  <c r="AS55" i="44"/>
  <c r="AS59" i="44" s="1"/>
  <c r="AN42" i="44"/>
  <c r="AN55" i="44"/>
  <c r="AN59" i="44" s="1"/>
  <c r="AA42" i="44"/>
  <c r="AA55" i="44"/>
  <c r="AA58" i="44" s="1"/>
  <c r="CB58" i="44"/>
  <c r="CB59" i="44"/>
  <c r="O42" i="44"/>
  <c r="O55" i="44"/>
  <c r="O61" i="44" s="1"/>
  <c r="BO42" i="44"/>
  <c r="BO55" i="44"/>
  <c r="AM58" i="44"/>
  <c r="AM61" i="44"/>
  <c r="AM64" i="44" s="1"/>
  <c r="CA71" i="44"/>
  <c r="CA72" i="44" s="1"/>
  <c r="S53" i="45"/>
  <c r="AS73" i="44"/>
  <c r="BL8" i="45"/>
  <c r="BL51" i="45" s="1"/>
  <c r="N53" i="45"/>
  <c r="BV52" i="45"/>
  <c r="BC12" i="45"/>
  <c r="BC78" i="44" s="1"/>
  <c r="BV8" i="45"/>
  <c r="BV51" i="45" s="1"/>
  <c r="BG41" i="45"/>
  <c r="BU12" i="45"/>
  <c r="BU46" i="45" s="1"/>
  <c r="T73" i="44"/>
  <c r="CN35" i="45"/>
  <c r="CN27" i="45" s="1"/>
  <c r="CB12" i="45"/>
  <c r="CB46" i="45" s="1"/>
  <c r="BB52" i="45"/>
  <c r="BL71" i="44"/>
  <c r="BL72" i="44" s="1"/>
  <c r="AD12" i="45"/>
  <c r="AD51" i="45"/>
  <c r="T46" i="45"/>
  <c r="S71" i="44"/>
  <c r="S72" i="44" s="1"/>
  <c r="S70" i="44"/>
  <c r="BQ41" i="45"/>
  <c r="AX12" i="45"/>
  <c r="DO76" i="45"/>
  <c r="DO79" i="45"/>
  <c r="AM53" i="45"/>
  <c r="BG53" i="45"/>
  <c r="BR12" i="45"/>
  <c r="CJ78" i="44"/>
  <c r="AF46" i="45"/>
  <c r="AF15" i="45"/>
  <c r="AF78" i="44"/>
  <c r="AS78" i="44"/>
  <c r="BP12" i="45"/>
  <c r="BP51" i="45"/>
  <c r="AH52" i="45"/>
  <c r="AH69" i="44"/>
  <c r="AC71" i="44"/>
  <c r="AC72" i="44" s="1"/>
  <c r="DP76" i="45"/>
  <c r="DP79" i="45"/>
  <c r="DN79" i="45"/>
  <c r="BD46" i="45"/>
  <c r="G12" i="45"/>
  <c r="G51" i="45"/>
  <c r="AJ12" i="45"/>
  <c r="AJ51" i="45"/>
  <c r="DM75" i="45"/>
  <c r="DN76" i="45" s="1"/>
  <c r="BV69" i="44"/>
  <c r="AN12" i="45"/>
  <c r="AN51" i="45"/>
  <c r="BV41" i="45"/>
  <c r="P12" i="45"/>
  <c r="P51" i="45"/>
  <c r="BL53" i="45"/>
  <c r="CF53" i="45"/>
  <c r="BV27" i="45"/>
  <c r="BV54" i="44"/>
  <c r="S133" i="48"/>
  <c r="T75" i="48"/>
  <c r="U133" i="48"/>
  <c r="BL73" i="47"/>
  <c r="I45" i="47"/>
  <c r="BH41" i="47"/>
  <c r="F41" i="47"/>
  <c r="AX41" i="47"/>
  <c r="Q41" i="47"/>
  <c r="Y41" i="47"/>
  <c r="AK41" i="47"/>
  <c r="AS41" i="47"/>
  <c r="BE41" i="47"/>
  <c r="BY41" i="47"/>
  <c r="CG41" i="47"/>
  <c r="P41" i="47"/>
  <c r="BZ41" i="47"/>
  <c r="I44" i="47"/>
  <c r="AD41" i="47"/>
  <c r="BN41" i="47"/>
  <c r="CL33" i="46"/>
  <c r="H44" i="47"/>
  <c r="Y75" i="48"/>
  <c r="Y132" i="48"/>
  <c r="Z133" i="48" s="1"/>
  <c r="V133" i="48"/>
  <c r="U75" i="48"/>
  <c r="V75" i="48"/>
  <c r="AC75" i="48"/>
  <c r="W133" i="48"/>
  <c r="AA133" i="48"/>
  <c r="BW41" i="47"/>
  <c r="BW51" i="47"/>
  <c r="BW46" i="47"/>
  <c r="BW49" i="47"/>
  <c r="BW50" i="47"/>
  <c r="BW57" i="47"/>
  <c r="BB74" i="47"/>
  <c r="X111" i="47"/>
  <c r="X102" i="47"/>
  <c r="X120" i="47"/>
  <c r="AX86" i="47"/>
  <c r="BC112" i="47"/>
  <c r="AX112" i="47"/>
  <c r="AX121" i="47"/>
  <c r="BC121" i="47"/>
  <c r="AX131" i="47"/>
  <c r="AW117" i="47"/>
  <c r="AR117" i="47"/>
  <c r="AR143" i="47"/>
  <c r="H104" i="47"/>
  <c r="H92" i="47"/>
  <c r="H91" i="47"/>
  <c r="H93" i="47"/>
  <c r="AB144" i="47"/>
  <c r="AB149" i="47"/>
  <c r="AB151" i="47"/>
  <c r="AG121" i="47"/>
  <c r="AB131" i="47"/>
  <c r="AB121" i="47"/>
  <c r="AD131" i="47"/>
  <c r="BW112" i="47"/>
  <c r="BW86" i="47"/>
  <c r="CB112" i="47"/>
  <c r="BW121" i="47"/>
  <c r="CB121" i="47"/>
  <c r="CE112" i="47"/>
  <c r="CJ112" i="47"/>
  <c r="CE86" i="47"/>
  <c r="CE131" i="47"/>
  <c r="CE121" i="47"/>
  <c r="CG131" i="47"/>
  <c r="CJ121" i="47"/>
  <c r="BB149" i="47"/>
  <c r="BP112" i="47"/>
  <c r="AA60" i="47"/>
  <c r="Z60" i="47"/>
  <c r="Y60" i="47"/>
  <c r="AM122" i="47"/>
  <c r="AM145" i="47"/>
  <c r="AR122" i="47"/>
  <c r="BV51" i="47"/>
  <c r="BT61" i="47"/>
  <c r="CA40" i="47"/>
  <c r="CA45" i="47"/>
  <c r="BR61" i="47"/>
  <c r="BS61" i="47"/>
  <c r="BU61" i="47"/>
  <c r="AN46" i="47"/>
  <c r="AI41" i="47"/>
  <c r="AN41" i="47"/>
  <c r="AI49" i="47"/>
  <c r="AI51" i="47"/>
  <c r="AJ57" i="47"/>
  <c r="AI50" i="47"/>
  <c r="AI46" i="47"/>
  <c r="AI62" i="47"/>
  <c r="V41" i="47"/>
  <c r="V49" i="47"/>
  <c r="V46" i="47"/>
  <c r="V50" i="47"/>
  <c r="V51" i="47"/>
  <c r="V57" i="47"/>
  <c r="BL40" i="47"/>
  <c r="BL26" i="47"/>
  <c r="BL50" i="47" s="1"/>
  <c r="BL45" i="47"/>
  <c r="BJ61" i="47"/>
  <c r="BI61" i="47"/>
  <c r="BK61" i="47"/>
  <c r="BH61" i="47"/>
  <c r="AF46" i="47"/>
  <c r="AA41" i="47"/>
  <c r="AF41" i="47"/>
  <c r="AA51" i="47"/>
  <c r="AA46" i="47"/>
  <c r="AA49" i="47"/>
  <c r="AA50" i="47"/>
  <c r="AA57" i="47"/>
  <c r="AY49" i="47"/>
  <c r="AY51" i="47"/>
  <c r="AY57" i="47"/>
  <c r="AY50" i="47"/>
  <c r="I41" i="47"/>
  <c r="U41" i="47"/>
  <c r="AO41" i="47"/>
  <c r="BA41" i="47"/>
  <c r="BI41" i="47"/>
  <c r="BU41" i="47"/>
  <c r="CC41" i="47"/>
  <c r="BD46" i="47"/>
  <c r="N69" i="47"/>
  <c r="N76" i="47" s="1"/>
  <c r="N72" i="47"/>
  <c r="S72" i="47"/>
  <c r="G76" i="47"/>
  <c r="BV74" i="47"/>
  <c r="BD86" i="47"/>
  <c r="BI121" i="47"/>
  <c r="BD131" i="47"/>
  <c r="BD112" i="47"/>
  <c r="BI112" i="47"/>
  <c r="BD121" i="47"/>
  <c r="D76" i="47"/>
  <c r="E76" i="47"/>
  <c r="BB73" i="47"/>
  <c r="AC84" i="47"/>
  <c r="AC98" i="47"/>
  <c r="AC142" i="47"/>
  <c r="AH116" i="47"/>
  <c r="AH145" i="47"/>
  <c r="H76" i="47"/>
  <c r="I76" i="47"/>
  <c r="BG103" i="47"/>
  <c r="BG116" i="47"/>
  <c r="BG84" i="47"/>
  <c r="BG98" i="47"/>
  <c r="BG142" i="47"/>
  <c r="BG107" i="47"/>
  <c r="BB99" i="47"/>
  <c r="BB143" i="47"/>
  <c r="BB150" i="47" s="1"/>
  <c r="BB117" i="47"/>
  <c r="BB103" i="47"/>
  <c r="G103" i="47"/>
  <c r="G86" i="47"/>
  <c r="H123" i="47" s="1"/>
  <c r="G112" i="47"/>
  <c r="H112" i="47"/>
  <c r="H121" i="47"/>
  <c r="G121" i="47"/>
  <c r="N110" i="47"/>
  <c r="N119" i="47"/>
  <c r="N101" i="47"/>
  <c r="AW122" i="47"/>
  <c r="AW145" i="47"/>
  <c r="CF74" i="47"/>
  <c r="CK74" i="47"/>
  <c r="AN104" i="47"/>
  <c r="AN89" i="47"/>
  <c r="BL84" i="47"/>
  <c r="BL103" i="47"/>
  <c r="BL184" i="47" s="1"/>
  <c r="BL142" i="47"/>
  <c r="BL116" i="47"/>
  <c r="BL98" i="47"/>
  <c r="BL182" i="47" s="1"/>
  <c r="BL107" i="47"/>
  <c r="AN90" i="47"/>
  <c r="BQ145" i="47"/>
  <c r="BR132" i="47"/>
  <c r="BQ122" i="47"/>
  <c r="BR86" i="47"/>
  <c r="BS131" i="47"/>
  <c r="BR121" i="47"/>
  <c r="BV145" i="47"/>
  <c r="BV122" i="47"/>
  <c r="BW132" i="47"/>
  <c r="W89" i="47"/>
  <c r="W91" i="47"/>
  <c r="W93" i="47"/>
  <c r="W104" i="47"/>
  <c r="W90" i="47"/>
  <c r="T86" i="47"/>
  <c r="T103" i="47"/>
  <c r="Y121" i="47"/>
  <c r="U131" i="47"/>
  <c r="T112" i="47"/>
  <c r="Y112" i="47"/>
  <c r="T131" i="47"/>
  <c r="T121" i="47"/>
  <c r="AA89" i="47"/>
  <c r="AA90" i="47"/>
  <c r="AA104" i="47"/>
  <c r="AI112" i="47"/>
  <c r="BW126" i="47"/>
  <c r="AZ46" i="47"/>
  <c r="AZ50" i="47"/>
  <c r="AZ41" i="47"/>
  <c r="AZ51" i="47"/>
  <c r="BA57" i="47"/>
  <c r="BE46" i="47"/>
  <c r="AZ57" i="47"/>
  <c r="AZ112" i="47"/>
  <c r="BS41" i="47"/>
  <c r="BS51" i="47"/>
  <c r="BS57" i="47"/>
  <c r="BS50" i="47"/>
  <c r="BS49" i="47"/>
  <c r="BS46" i="47"/>
  <c r="BT57" i="47"/>
  <c r="BS152" i="47"/>
  <c r="BK41" i="47"/>
  <c r="BK51" i="47"/>
  <c r="BK46" i="47"/>
  <c r="BK50" i="47"/>
  <c r="BK49" i="47"/>
  <c r="BK57" i="47"/>
  <c r="P62" i="47"/>
  <c r="J86" i="47"/>
  <c r="J103" i="47"/>
  <c r="O112" i="47"/>
  <c r="K131" i="47"/>
  <c r="O121" i="47"/>
  <c r="AZ104" i="47"/>
  <c r="AZ89" i="47"/>
  <c r="AJ104" i="47"/>
  <c r="AJ89" i="47"/>
  <c r="AK133" i="47"/>
  <c r="AZ94" i="47"/>
  <c r="BF86" i="47"/>
  <c r="BF112" i="47"/>
  <c r="BF121" i="47"/>
  <c r="BK121" i="47"/>
  <c r="BF131" i="47"/>
  <c r="BH131" i="47"/>
  <c r="AU41" i="47"/>
  <c r="AU46" i="47"/>
  <c r="AU49" i="47"/>
  <c r="AU50" i="47"/>
  <c r="AU51" i="47"/>
  <c r="AV57" i="47"/>
  <c r="AU112" i="47"/>
  <c r="BG69" i="47"/>
  <c r="AJ46" i="47"/>
  <c r="AE41" i="47"/>
  <c r="AJ41" i="47"/>
  <c r="AE46" i="47"/>
  <c r="AE51" i="47"/>
  <c r="AE57" i="47"/>
  <c r="AE49" i="47"/>
  <c r="AE50" i="47"/>
  <c r="AF57" i="47"/>
  <c r="AJ112" i="47"/>
  <c r="R41" i="47"/>
  <c r="R46" i="47"/>
  <c r="R52" i="47"/>
  <c r="T57" i="47"/>
  <c r="R57" i="47"/>
  <c r="BG40" i="47"/>
  <c r="AZ61" i="47"/>
  <c r="AX61" i="47"/>
  <c r="BG45" i="47"/>
  <c r="AY61" i="47"/>
  <c r="BA61" i="47"/>
  <c r="CJ46" i="47"/>
  <c r="CE41" i="47"/>
  <c r="CJ41" i="47"/>
  <c r="CE46" i="47"/>
  <c r="CE51" i="47"/>
  <c r="CE49" i="47"/>
  <c r="CE50" i="47"/>
  <c r="CE57" i="47"/>
  <c r="CG57" i="47"/>
  <c r="CK40" i="47"/>
  <c r="CB41" i="47"/>
  <c r="T76" i="47"/>
  <c r="AW84" i="47"/>
  <c r="BB121" i="47" s="1"/>
  <c r="AW116" i="47"/>
  <c r="AW142" i="47"/>
  <c r="BB116" i="47"/>
  <c r="BX86" i="47"/>
  <c r="CC121" i="47"/>
  <c r="BX131" i="47"/>
  <c r="BX112" i="47"/>
  <c r="CC112" i="47"/>
  <c r="BX121" i="47"/>
  <c r="BY131" i="47"/>
  <c r="CA99" i="47"/>
  <c r="CA183" i="47" s="1"/>
  <c r="CF108" i="47"/>
  <c r="CA117" i="47"/>
  <c r="CF117" i="47"/>
  <c r="CA143" i="47"/>
  <c r="CA108" i="47"/>
  <c r="R86" i="47"/>
  <c r="W123" i="47" s="1"/>
  <c r="R103" i="47"/>
  <c r="R112" i="47"/>
  <c r="R121" i="47"/>
  <c r="W121" i="47"/>
  <c r="R131" i="47"/>
  <c r="BB145" i="47"/>
  <c r="BB122" i="47"/>
  <c r="AW69" i="47"/>
  <c r="CK84" i="47"/>
  <c r="CK103" i="47"/>
  <c r="CK184" i="47" s="1"/>
  <c r="CK98" i="47"/>
  <c r="CK182" i="47" s="1"/>
  <c r="CK107" i="47"/>
  <c r="CK116" i="47"/>
  <c r="CK142" i="47"/>
  <c r="BN86" i="47"/>
  <c r="BS112" i="47"/>
  <c r="BN131" i="47"/>
  <c r="BO131" i="47"/>
  <c r="BN112" i="47"/>
  <c r="BN121" i="47"/>
  <c r="BS121" i="47"/>
  <c r="BQ84" i="47"/>
  <c r="BR126" i="47"/>
  <c r="BQ116" i="47"/>
  <c r="BQ142" i="47"/>
  <c r="BT104" i="47"/>
  <c r="BT89" i="47"/>
  <c r="BY123" i="47"/>
  <c r="BU133" i="47"/>
  <c r="BT123" i="47"/>
  <c r="C103" i="47"/>
  <c r="D112" i="47"/>
  <c r="D121" i="47"/>
  <c r="C86" i="47"/>
  <c r="S101" i="47"/>
  <c r="S110" i="47"/>
  <c r="S119" i="47"/>
  <c r="X119" i="47"/>
  <c r="X110" i="47"/>
  <c r="BU76" i="47"/>
  <c r="AR84" i="47"/>
  <c r="BA86" i="47"/>
  <c r="BA121" i="47"/>
  <c r="BA112" i="47"/>
  <c r="BA131" i="47"/>
  <c r="BC131" i="47"/>
  <c r="CF84" i="47"/>
  <c r="CF98" i="47"/>
  <c r="CF182" i="47" s="1"/>
  <c r="CF103" i="47"/>
  <c r="CF184" i="47" s="1"/>
  <c r="CF142" i="47"/>
  <c r="CF107" i="47"/>
  <c r="CF116" i="47"/>
  <c r="AJ90" i="47"/>
  <c r="AO86" i="47"/>
  <c r="AO121" i="47"/>
  <c r="AO131" i="47"/>
  <c r="AO112" i="47"/>
  <c r="AP131" i="47"/>
  <c r="AT121" i="47"/>
  <c r="BZ86" i="47"/>
  <c r="BZ131" i="47"/>
  <c r="BZ121" i="47"/>
  <c r="CB131" i="47"/>
  <c r="BZ112" i="47"/>
  <c r="S120" i="47"/>
  <c r="S102" i="47"/>
  <c r="S111" i="47"/>
  <c r="AH99" i="47"/>
  <c r="AH103" i="47"/>
  <c r="AH143" i="47"/>
  <c r="AH117" i="47"/>
  <c r="BQ117" i="47"/>
  <c r="BV117" i="47"/>
  <c r="BR127" i="47"/>
  <c r="BQ143" i="47"/>
  <c r="W112" i="47"/>
  <c r="AA103" i="47"/>
  <c r="AI104" i="47"/>
  <c r="BK89" i="47"/>
  <c r="BK104" i="47"/>
  <c r="BK90" i="47"/>
  <c r="BX152" i="47"/>
  <c r="BX158" i="47"/>
  <c r="AY131" i="47"/>
  <c r="H94" i="47"/>
  <c r="BX46" i="47"/>
  <c r="BX41" i="47"/>
  <c r="BX57" i="47"/>
  <c r="BX51" i="47"/>
  <c r="CC46" i="47"/>
  <c r="BX50" i="47"/>
  <c r="BY57" i="47"/>
  <c r="CL152" i="47"/>
  <c r="BW152" i="47"/>
  <c r="W41" i="47"/>
  <c r="W51" i="47"/>
  <c r="W49" i="47"/>
  <c r="W46" i="47"/>
  <c r="Y57" i="47"/>
  <c r="W50" i="47"/>
  <c r="W57" i="47"/>
  <c r="E44" i="47"/>
  <c r="F44" i="47"/>
  <c r="Q86" i="47"/>
  <c r="Q121" i="47"/>
  <c r="Q103" i="47"/>
  <c r="Q112" i="47"/>
  <c r="Q131" i="47"/>
  <c r="Z86" i="47"/>
  <c r="AE112" i="47"/>
  <c r="Z131" i="47"/>
  <c r="Z103" i="47"/>
  <c r="Z112" i="47"/>
  <c r="Z121" i="47"/>
  <c r="AE121" i="47"/>
  <c r="AA131" i="47"/>
  <c r="N122" i="47"/>
  <c r="BJ86" i="47"/>
  <c r="BK133" i="47" s="1"/>
  <c r="BJ112" i="47"/>
  <c r="BJ131" i="47"/>
  <c r="BJ121" i="47"/>
  <c r="BK131" i="47"/>
  <c r="BO121" i="47"/>
  <c r="BB86" i="47"/>
  <c r="BP104" i="47"/>
  <c r="BP89" i="47"/>
  <c r="BU113" i="47"/>
  <c r="BU123" i="47"/>
  <c r="BP133" i="47"/>
  <c r="BP123" i="47"/>
  <c r="BP113" i="47"/>
  <c r="S122" i="47"/>
  <c r="X122" i="47"/>
  <c r="G45" i="47"/>
  <c r="H45" i="47"/>
  <c r="BP46" i="47"/>
  <c r="BP41" i="47"/>
  <c r="BU46" i="47"/>
  <c r="BP49" i="47"/>
  <c r="BP51" i="47"/>
  <c r="BP50" i="47"/>
  <c r="BR57" i="47"/>
  <c r="BU112" i="47"/>
  <c r="BT112" i="47"/>
  <c r="AM45" i="47"/>
  <c r="AM40" i="47"/>
  <c r="AF61" i="47"/>
  <c r="AG61" i="47"/>
  <c r="AD61" i="47"/>
  <c r="AE61" i="47"/>
  <c r="CF40" i="47"/>
  <c r="CF26" i="47"/>
  <c r="CX29" i="47" s="1"/>
  <c r="CK45" i="47"/>
  <c r="CD61" i="47"/>
  <c r="CB61" i="47"/>
  <c r="CC61" i="47"/>
  <c r="CF45" i="47"/>
  <c r="CE61" i="47"/>
  <c r="CF99" i="47"/>
  <c r="CF183" i="47" s="1"/>
  <c r="CK108" i="47"/>
  <c r="BV73" i="47"/>
  <c r="BQ73" i="47"/>
  <c r="CB46" i="47"/>
  <c r="X84" i="47"/>
  <c r="X118" i="47"/>
  <c r="X100" i="47"/>
  <c r="X109" i="47"/>
  <c r="AZ90" i="47"/>
  <c r="F86" i="47"/>
  <c r="F103" i="47"/>
  <c r="F112" i="47"/>
  <c r="F121" i="47"/>
  <c r="V86" i="47"/>
  <c r="AA113" i="47" s="1"/>
  <c r="V103" i="47"/>
  <c r="V121" i="47"/>
  <c r="AA121" i="47"/>
  <c r="V131" i="47"/>
  <c r="W131" i="47"/>
  <c r="V112" i="47"/>
  <c r="AY76" i="47"/>
  <c r="BD76" i="47"/>
  <c r="BG99" i="47"/>
  <c r="BG117" i="47"/>
  <c r="BL117" i="47"/>
  <c r="BG143" i="47"/>
  <c r="BG108" i="47"/>
  <c r="BV98" i="47"/>
  <c r="BV182" i="47" s="1"/>
  <c r="BV84" i="47"/>
  <c r="BW131" i="47" s="1"/>
  <c r="BV103" i="47"/>
  <c r="BV184" i="47" s="1"/>
  <c r="BV142" i="47"/>
  <c r="BV116" i="47"/>
  <c r="BE86" i="47"/>
  <c r="BE121" i="47"/>
  <c r="BE112" i="47"/>
  <c r="BE131" i="47"/>
  <c r="BG122" i="47"/>
  <c r="BG145" i="47"/>
  <c r="AJ76" i="47"/>
  <c r="N74" i="47"/>
  <c r="S74" i="47"/>
  <c r="AV104" i="47"/>
  <c r="AV89" i="47"/>
  <c r="AV95" i="47" s="1"/>
  <c r="AS86" i="47"/>
  <c r="AS121" i="47"/>
  <c r="AT131" i="47"/>
  <c r="AS112" i="47"/>
  <c r="AS131" i="47"/>
  <c r="BP90" i="47"/>
  <c r="CA122" i="47"/>
  <c r="CF122" i="47"/>
  <c r="CA145" i="47"/>
  <c r="AF86" i="47"/>
  <c r="AK121" i="47"/>
  <c r="AF112" i="47"/>
  <c r="AK112" i="47"/>
  <c r="AF131" i="47"/>
  <c r="AF121" i="47"/>
  <c r="AG131" i="47"/>
  <c r="AM103" i="47"/>
  <c r="AM84" i="47"/>
  <c r="AM99" i="47"/>
  <c r="AM117" i="47"/>
  <c r="AM108" i="47"/>
  <c r="AM143" i="47"/>
  <c r="BN150" i="47"/>
  <c r="BN151" i="47"/>
  <c r="BN144" i="47"/>
  <c r="BN156" i="47"/>
  <c r="BS156" i="47"/>
  <c r="W103" i="47"/>
  <c r="X101" i="47"/>
  <c r="AN112" i="47"/>
  <c r="CA84" i="47"/>
  <c r="CA103" i="47"/>
  <c r="CA184" i="47" s="1"/>
  <c r="X75" i="47"/>
  <c r="L93" i="47"/>
  <c r="BY146" i="47"/>
  <c r="CH146" i="47"/>
  <c r="CA26" i="47"/>
  <c r="CW29" i="47" s="1"/>
  <c r="CA39" i="47"/>
  <c r="CF44" i="47"/>
  <c r="CF39" i="47"/>
  <c r="BY60" i="47"/>
  <c r="CA44" i="47"/>
  <c r="BW60" i="47"/>
  <c r="BZ60" i="47"/>
  <c r="CA98" i="47"/>
  <c r="CA182" i="47" s="1"/>
  <c r="CA149" i="47"/>
  <c r="BB26" i="47"/>
  <c r="BB50" i="47" s="1"/>
  <c r="BB44" i="47"/>
  <c r="BG44" i="47"/>
  <c r="BA60" i="47"/>
  <c r="AX60" i="47"/>
  <c r="AY60" i="47"/>
  <c r="CE31" i="46"/>
  <c r="CE23" i="46"/>
  <c r="CJ31" i="46"/>
  <c r="CE44" i="46"/>
  <c r="CE38" i="46"/>
  <c r="CF48" i="46"/>
  <c r="BG21" i="46"/>
  <c r="BG52" i="46" s="1"/>
  <c r="AR21" i="46"/>
  <c r="AR53" i="46" s="1"/>
  <c r="CM53" i="46"/>
  <c r="CM54" i="46" s="1"/>
  <c r="AY39" i="46"/>
  <c r="AY40" i="46"/>
  <c r="CH39" i="46"/>
  <c r="CH38" i="46"/>
  <c r="CH23" i="46"/>
  <c r="CH35" i="46" s="1"/>
  <c r="CM21" i="46"/>
  <c r="CH33" i="46"/>
  <c r="CH52" i="46"/>
  <c r="CH40" i="46"/>
  <c r="BP39" i="46"/>
  <c r="BP38" i="46"/>
  <c r="BP40" i="46"/>
  <c r="BS31" i="46"/>
  <c r="BS23" i="46"/>
  <c r="BS44" i="46"/>
  <c r="BS38" i="46"/>
  <c r="AL23" i="46"/>
  <c r="AL35" i="46" s="1"/>
  <c r="AL32" i="46"/>
  <c r="AL39" i="46"/>
  <c r="AL49" i="46"/>
  <c r="AL48" i="46"/>
  <c r="AC21" i="46"/>
  <c r="BG10" i="46"/>
  <c r="AR15" i="46"/>
  <c r="AR45" i="46" s="1"/>
  <c r="BK32" i="46"/>
  <c r="BF23" i="46"/>
  <c r="BF32" i="46"/>
  <c r="BF39" i="46"/>
  <c r="BF48" i="46"/>
  <c r="AQ32" i="46"/>
  <c r="AQ49" i="46"/>
  <c r="AQ48" i="46"/>
  <c r="AV32" i="46"/>
  <c r="BF33" i="46"/>
  <c r="BF40" i="46"/>
  <c r="BF52" i="46"/>
  <c r="CF27" i="46"/>
  <c r="CB28" i="46"/>
  <c r="AB23" i="46"/>
  <c r="AB31" i="46"/>
  <c r="AG31" i="46"/>
  <c r="AB44" i="46"/>
  <c r="AB45" i="46"/>
  <c r="BB15" i="46"/>
  <c r="BR23" i="46"/>
  <c r="BW32" i="46"/>
  <c r="BR32" i="46"/>
  <c r="BR39" i="46"/>
  <c r="BR48" i="46"/>
  <c r="AI23" i="46"/>
  <c r="AN33" i="46"/>
  <c r="AI40" i="46"/>
  <c r="AI53" i="46"/>
  <c r="AI52" i="46"/>
  <c r="AV39" i="46"/>
  <c r="AV38" i="46"/>
  <c r="AV40" i="46"/>
  <c r="CK10" i="46"/>
  <c r="AU33" i="46"/>
  <c r="AP40" i="46"/>
  <c r="AP53" i="46"/>
  <c r="AP33" i="46"/>
  <c r="AP52" i="46"/>
  <c r="BD23" i="46"/>
  <c r="BD33" i="46"/>
  <c r="BI33" i="46"/>
  <c r="BD40" i="46"/>
  <c r="BD52" i="46"/>
  <c r="BB10" i="46"/>
  <c r="BT39" i="46"/>
  <c r="BT38" i="46"/>
  <c r="AY31" i="46"/>
  <c r="AY23" i="46"/>
  <c r="AY44" i="46"/>
  <c r="BD31" i="46"/>
  <c r="AY38" i="46"/>
  <c r="AJ31" i="46"/>
  <c r="AO31" i="46"/>
  <c r="AJ38" i="46"/>
  <c r="AJ23" i="46"/>
  <c r="AJ44" i="46"/>
  <c r="AJ45" i="46"/>
  <c r="BS32" i="46"/>
  <c r="BN23" i="46"/>
  <c r="BN39" i="46"/>
  <c r="BN32" i="46"/>
  <c r="BN48" i="46"/>
  <c r="AJ39" i="46"/>
  <c r="AJ40" i="46"/>
  <c r="BS39" i="46"/>
  <c r="BS40" i="46"/>
  <c r="AM49" i="46"/>
  <c r="AF39" i="46"/>
  <c r="AF38" i="46"/>
  <c r="AF40" i="46"/>
  <c r="BG44" i="46"/>
  <c r="BO31" i="46"/>
  <c r="BO23" i="46"/>
  <c r="BO44" i="46"/>
  <c r="BO38" i="46"/>
  <c r="BT31" i="46"/>
  <c r="AR18" i="46"/>
  <c r="AR48" i="46" s="1"/>
  <c r="CD33" i="46"/>
  <c r="CD40" i="46"/>
  <c r="CD52" i="46"/>
  <c r="AE31" i="46"/>
  <c r="AE38" i="46"/>
  <c r="AE44" i="46"/>
  <c r="AE23" i="46"/>
  <c r="AE45" i="46"/>
  <c r="CN15" i="46"/>
  <c r="CI31" i="46"/>
  <c r="CI23" i="46"/>
  <c r="CI44" i="46"/>
  <c r="CI38" i="46"/>
  <c r="AH52" i="46"/>
  <c r="BW33" i="46"/>
  <c r="BR33" i="46"/>
  <c r="BR40" i="46"/>
  <c r="BR52" i="46"/>
  <c r="BR28" i="46"/>
  <c r="AC15" i="46"/>
  <c r="AC45" i="46" s="1"/>
  <c r="CA26" i="46"/>
  <c r="BX28" i="46"/>
  <c r="AY32" i="46"/>
  <c r="AT23" i="46"/>
  <c r="AT32" i="46"/>
  <c r="AT48" i="46"/>
  <c r="AT49" i="46"/>
  <c r="F35" i="46"/>
  <c r="G35" i="46"/>
  <c r="BG26" i="46"/>
  <c r="BG28" i="46" s="1"/>
  <c r="BX53" i="46"/>
  <c r="BX54" i="46" s="1"/>
  <c r="CI33" i="46"/>
  <c r="AI28" i="46"/>
  <c r="AM27" i="46"/>
  <c r="AQ33" i="46"/>
  <c r="AV33" i="46"/>
  <c r="AQ53" i="46"/>
  <c r="AQ52" i="46"/>
  <c r="AA23" i="46"/>
  <c r="AA31" i="46"/>
  <c r="AF31" i="46"/>
  <c r="AA44" i="46"/>
  <c r="AA45" i="46"/>
  <c r="AU32" i="46"/>
  <c r="AP23" i="46"/>
  <c r="AP39" i="46"/>
  <c r="AP49" i="46"/>
  <c r="AP48" i="46"/>
  <c r="AP32" i="46"/>
  <c r="BN40" i="46"/>
  <c r="BN33" i="46"/>
  <c r="BN52" i="46"/>
  <c r="BD39" i="46"/>
  <c r="BD38" i="46"/>
  <c r="AQ23" i="46"/>
  <c r="AQ31" i="46"/>
  <c r="AV31" i="46"/>
  <c r="AQ44" i="46"/>
  <c r="AQ45" i="46"/>
  <c r="BQ18" i="46"/>
  <c r="BK31" i="46"/>
  <c r="BP31" i="46"/>
  <c r="BK44" i="46"/>
  <c r="BK23" i="46"/>
  <c r="BK38" i="46"/>
  <c r="CB23" i="46"/>
  <c r="CB33" i="46"/>
  <c r="CG33" i="46"/>
  <c r="CB52" i="46"/>
  <c r="CB40" i="46"/>
  <c r="CA15" i="46"/>
  <c r="CI40" i="46"/>
  <c r="BB26" i="46"/>
  <c r="BV10" i="46"/>
  <c r="BJ40" i="46"/>
  <c r="BJ38" i="46"/>
  <c r="AM10" i="46"/>
  <c r="AU39" i="46"/>
  <c r="AU40" i="46"/>
  <c r="AU31" i="46"/>
  <c r="AU38" i="46"/>
  <c r="AU44" i="46"/>
  <c r="AU23" i="46"/>
  <c r="AC18" i="46"/>
  <c r="AC49" i="46" s="1"/>
  <c r="BJ23" i="46"/>
  <c r="BJ35" i="46" s="1"/>
  <c r="BJ39" i="46"/>
  <c r="BJ32" i="46"/>
  <c r="BJ48" i="46"/>
  <c r="AH10" i="46"/>
  <c r="CJ38" i="46"/>
  <c r="CK44" i="46"/>
  <c r="AE32" i="46"/>
  <c r="Z23" i="46"/>
  <c r="Z35" i="46" s="1"/>
  <c r="Z32" i="46"/>
  <c r="Z49" i="46"/>
  <c r="Z48" i="46"/>
  <c r="CI32" i="46"/>
  <c r="CD23" i="46"/>
  <c r="CD39" i="46"/>
  <c r="CD32" i="46"/>
  <c r="CD48" i="46"/>
  <c r="CL38" i="46"/>
  <c r="CL39" i="46"/>
  <c r="CL40" i="46"/>
  <c r="BO32" i="46"/>
  <c r="BT32" i="46"/>
  <c r="BO48" i="46"/>
  <c r="AL33" i="46"/>
  <c r="AL40" i="46"/>
  <c r="AL53" i="46"/>
  <c r="AL52" i="46"/>
  <c r="AE33" i="46"/>
  <c r="AE40" i="46"/>
  <c r="AJ33" i="46"/>
  <c r="AE53" i="46"/>
  <c r="AE52" i="46"/>
  <c r="BZ40" i="46"/>
  <c r="BZ33" i="46"/>
  <c r="BZ52" i="46"/>
  <c r="BB21" i="46"/>
  <c r="BE31" i="46"/>
  <c r="AZ38" i="46"/>
  <c r="AZ31" i="46"/>
  <c r="AZ23" i="46"/>
  <c r="AZ44" i="46"/>
  <c r="BX23" i="46"/>
  <c r="BX38" i="46"/>
  <c r="BX44" i="46"/>
  <c r="BX31" i="46"/>
  <c r="CC31" i="46"/>
  <c r="CE32" i="46"/>
  <c r="BZ23" i="46"/>
  <c r="BZ35" i="46" s="1"/>
  <c r="BZ39" i="46"/>
  <c r="BZ32" i="46"/>
  <c r="BZ48" i="46"/>
  <c r="N35" i="46"/>
  <c r="S35" i="46"/>
  <c r="V35" i="46"/>
  <c r="BT23" i="46"/>
  <c r="BT33" i="46"/>
  <c r="BY33" i="46"/>
  <c r="BT52" i="46"/>
  <c r="BT40" i="46"/>
  <c r="CE40" i="46"/>
  <c r="CM44" i="46"/>
  <c r="CN45" i="46"/>
  <c r="CN46" i="46"/>
  <c r="AZ39" i="46"/>
  <c r="AZ40" i="46"/>
  <c r="AR27" i="46"/>
  <c r="BK40" i="46"/>
  <c r="CA10" i="46"/>
  <c r="CK52" i="45"/>
  <c r="CZ101" i="45"/>
  <c r="DQ75" i="45" s="1"/>
  <c r="DQ76" i="45" s="1"/>
  <c r="CK60" i="45"/>
  <c r="CZ102" i="45"/>
  <c r="CZ100" i="45"/>
  <c r="CK53" i="45"/>
  <c r="CK69" i="44"/>
  <c r="CI12" i="45"/>
  <c r="CI51" i="45"/>
  <c r="AA12" i="45"/>
  <c r="AA51" i="45"/>
  <c r="V12" i="45"/>
  <c r="X8" i="45"/>
  <c r="X51" i="45" s="1"/>
  <c r="V51" i="45"/>
  <c r="AR23" i="45"/>
  <c r="BL27" i="45"/>
  <c r="BL54" i="44"/>
  <c r="K12" i="45"/>
  <c r="K51" i="45"/>
  <c r="CL12" i="45"/>
  <c r="CL51" i="45"/>
  <c r="AM52" i="45"/>
  <c r="AM60" i="45"/>
  <c r="AM69" i="44"/>
  <c r="CK8" i="45"/>
  <c r="CK51" i="45" s="1"/>
  <c r="CH12" i="45"/>
  <c r="CH51" i="45"/>
  <c r="AH60" i="45"/>
  <c r="AC52" i="45"/>
  <c r="AC53" i="45"/>
  <c r="AC60" i="45"/>
  <c r="AC69" i="44"/>
  <c r="BG52" i="45"/>
  <c r="BG60" i="45"/>
  <c r="BG69" i="44"/>
  <c r="M78" i="44"/>
  <c r="X52" i="45"/>
  <c r="X60" i="45"/>
  <c r="X69" i="44"/>
  <c r="BZ12" i="45"/>
  <c r="BZ51" i="45"/>
  <c r="W12" i="45"/>
  <c r="W51" i="45"/>
  <c r="BS12" i="45"/>
  <c r="BS51" i="45"/>
  <c r="AG15" i="45"/>
  <c r="AG46" i="45"/>
  <c r="AG78" i="44"/>
  <c r="BQ23" i="45"/>
  <c r="BQ27" i="45"/>
  <c r="X53" i="45"/>
  <c r="F12" i="45"/>
  <c r="F51" i="45"/>
  <c r="N60" i="45"/>
  <c r="N52" i="45"/>
  <c r="N69" i="44"/>
  <c r="N70" i="44"/>
  <c r="N71" i="44"/>
  <c r="N72" i="44" s="1"/>
  <c r="AR70" i="44"/>
  <c r="AR71" i="44"/>
  <c r="AR72" i="44" s="1"/>
  <c r="S52" i="45"/>
  <c r="S60" i="45"/>
  <c r="S69" i="44"/>
  <c r="AL12" i="45"/>
  <c r="AL51" i="45"/>
  <c r="BB27" i="45"/>
  <c r="BB23" i="45"/>
  <c r="BO73" i="44"/>
  <c r="BJ12" i="45"/>
  <c r="BJ51" i="45"/>
  <c r="AE12" i="45"/>
  <c r="AE51" i="45"/>
  <c r="BK12" i="45"/>
  <c r="BK51" i="45"/>
  <c r="AC8" i="45"/>
  <c r="AC51" i="45" s="1"/>
  <c r="Z12" i="45"/>
  <c r="Z51" i="45"/>
  <c r="CD12" i="45"/>
  <c r="CF8" i="45"/>
  <c r="CF51" i="45" s="1"/>
  <c r="CD51" i="45"/>
  <c r="AY12" i="45"/>
  <c r="AY51" i="45"/>
  <c r="CE12" i="45"/>
  <c r="CE51" i="45"/>
  <c r="BB60" i="45"/>
  <c r="AW52" i="45"/>
  <c r="AW60" i="45"/>
  <c r="AW53" i="45"/>
  <c r="AW69" i="44"/>
  <c r="CA52" i="45"/>
  <c r="CA60" i="45"/>
  <c r="CA69" i="44"/>
  <c r="AS18" i="45"/>
  <c r="AS56" i="45"/>
  <c r="BY46" i="45"/>
  <c r="CN41" i="45"/>
  <c r="BL41" i="45"/>
  <c r="X41" i="45"/>
  <c r="AM8" i="45"/>
  <c r="AM51" i="45" s="1"/>
  <c r="CA41" i="45"/>
  <c r="Q46" i="45"/>
  <c r="BF12" i="45"/>
  <c r="BF51" i="45"/>
  <c r="N23" i="45"/>
  <c r="N27" i="45"/>
  <c r="X27" i="45"/>
  <c r="BA15" i="45"/>
  <c r="BA46" i="45"/>
  <c r="BA78" i="44"/>
  <c r="AM27" i="45"/>
  <c r="AM23" i="45"/>
  <c r="AR52" i="45"/>
  <c r="AR60" i="45"/>
  <c r="AT67" i="45"/>
  <c r="AR69" i="44"/>
  <c r="AQ51" i="45"/>
  <c r="R12" i="45"/>
  <c r="R51" i="45"/>
  <c r="BQ8" i="45"/>
  <c r="BQ51" i="45" s="1"/>
  <c r="BN12" i="45"/>
  <c r="BN51" i="45"/>
  <c r="X71" i="44"/>
  <c r="X72" i="44" s="1"/>
  <c r="AH8" i="45"/>
  <c r="AH51" i="45" s="1"/>
  <c r="BL52" i="45"/>
  <c r="BL60" i="45"/>
  <c r="BL69" i="44"/>
  <c r="AR53" i="45"/>
  <c r="BB8" i="45"/>
  <c r="BB51" i="45" s="1"/>
  <c r="CF52" i="45"/>
  <c r="CF60" i="45"/>
  <c r="CF69" i="44"/>
  <c r="CF70" i="44"/>
  <c r="CF71" i="44"/>
  <c r="CF72" i="44" s="1"/>
  <c r="AK78" i="44"/>
  <c r="AW8" i="45"/>
  <c r="AW51" i="45" s="1"/>
  <c r="AT12" i="45"/>
  <c r="AT51" i="45"/>
  <c r="S8" i="45"/>
  <c r="S51" i="45" s="1"/>
  <c r="AU12" i="45"/>
  <c r="AU51" i="45"/>
  <c r="CA53" i="45"/>
  <c r="AP12" i="45"/>
  <c r="AP51" i="45"/>
  <c r="AI15" i="45"/>
  <c r="AI46" i="45"/>
  <c r="AI78" i="44"/>
  <c r="N8" i="45"/>
  <c r="N51" i="45" s="1"/>
  <c r="J12" i="45"/>
  <c r="J51" i="45"/>
  <c r="BV60" i="45"/>
  <c r="BQ52" i="45"/>
  <c r="BQ53" i="45"/>
  <c r="BQ60" i="45"/>
  <c r="BQ69" i="44"/>
  <c r="BO12" i="45"/>
  <c r="BO51" i="45"/>
  <c r="N19" i="44"/>
  <c r="N68" i="44"/>
  <c r="N77" i="44"/>
  <c r="AW19" i="44"/>
  <c r="AH19" i="44"/>
  <c r="BV19" i="44"/>
  <c r="BV68" i="44"/>
  <c r="BV77" i="44"/>
  <c r="BB19" i="44"/>
  <c r="BB68" i="44"/>
  <c r="BB77" i="44"/>
  <c r="AM12" i="44"/>
  <c r="AM53" i="44"/>
  <c r="BA19" i="44"/>
  <c r="BA68" i="44"/>
  <c r="BA77" i="44"/>
  <c r="BY34" i="44"/>
  <c r="BY42" i="44" s="1"/>
  <c r="BY68" i="44"/>
  <c r="BY77" i="44"/>
  <c r="AY34" i="44"/>
  <c r="AY42" i="44" s="1"/>
  <c r="AY68" i="44"/>
  <c r="AY77" i="44"/>
  <c r="E42" i="44"/>
  <c r="E55" i="44"/>
  <c r="E61" i="44" s="1"/>
  <c r="BY55" i="44"/>
  <c r="BY58" i="44" s="1"/>
  <c r="BL42" i="44"/>
  <c r="BL55" i="44"/>
  <c r="H59" i="44"/>
  <c r="H58" i="44"/>
  <c r="H61" i="44"/>
  <c r="CJ50" i="44"/>
  <c r="CI61" i="44"/>
  <c r="CF64" i="44"/>
  <c r="CF65" i="44"/>
  <c r="BJ19" i="44"/>
  <c r="BJ68" i="44"/>
  <c r="BJ77" i="44"/>
  <c r="BZ19" i="44"/>
  <c r="BZ68" i="44"/>
  <c r="BZ77" i="44"/>
  <c r="AC19" i="44"/>
  <c r="AP19" i="44"/>
  <c r="AP68" i="44"/>
  <c r="AP77" i="44"/>
  <c r="BF19" i="44"/>
  <c r="BF68" i="44"/>
  <c r="BF77" i="44"/>
  <c r="CJ19" i="44"/>
  <c r="CJ68" i="44"/>
  <c r="CJ77" i="44"/>
  <c r="BU19" i="44"/>
  <c r="BU68" i="44"/>
  <c r="BU77" i="44"/>
  <c r="AD19" i="44"/>
  <c r="AD68" i="44"/>
  <c r="AD77" i="44"/>
  <c r="CH19" i="44"/>
  <c r="CH68" i="44"/>
  <c r="CH77" i="44"/>
  <c r="CG34" i="44"/>
  <c r="CG42" i="44" s="1"/>
  <c r="CG68" i="44"/>
  <c r="CG77" i="44"/>
  <c r="U42" i="44"/>
  <c r="U55" i="44"/>
  <c r="AK42" i="44"/>
  <c r="AK55" i="44"/>
  <c r="BZ42" i="44"/>
  <c r="BZ55" i="44"/>
  <c r="I55" i="44"/>
  <c r="I59" i="44" s="1"/>
  <c r="BM42" i="44"/>
  <c r="BM55" i="44"/>
  <c r="BM59" i="44" s="1"/>
  <c r="I34" i="44"/>
  <c r="I42" i="44" s="1"/>
  <c r="I68" i="44"/>
  <c r="I77" i="44"/>
  <c r="CN26" i="44"/>
  <c r="C42" i="44"/>
  <c r="C55" i="44"/>
  <c r="BW59" i="44"/>
  <c r="BG55" i="44"/>
  <c r="AP61" i="44"/>
  <c r="AP58" i="44"/>
  <c r="AB50" i="44"/>
  <c r="AB61" i="44" s="1"/>
  <c r="AX58" i="44"/>
  <c r="BP19" i="44"/>
  <c r="BP68" i="44"/>
  <c r="BP77" i="44"/>
  <c r="CD19" i="44"/>
  <c r="CD68" i="44"/>
  <c r="CD77" i="44"/>
  <c r="BD19" i="44"/>
  <c r="BD68" i="44"/>
  <c r="BD77" i="44"/>
  <c r="BP73" i="44"/>
  <c r="AE49" i="44"/>
  <c r="AD62" i="44"/>
  <c r="CD50" i="44"/>
  <c r="CE19" i="44"/>
  <c r="CE68" i="44"/>
  <c r="CE77" i="44"/>
  <c r="BK34" i="44"/>
  <c r="BK42" i="44" s="1"/>
  <c r="BK68" i="44"/>
  <c r="BK77" i="44"/>
  <c r="BE55" i="44"/>
  <c r="BF42" i="44"/>
  <c r="BF55" i="44"/>
  <c r="J19" i="44"/>
  <c r="J68" i="44"/>
  <c r="J77" i="44"/>
  <c r="CN50" i="44"/>
  <c r="BN19" i="44"/>
  <c r="BN77" i="44"/>
  <c r="BN68" i="44"/>
  <c r="CA53" i="44"/>
  <c r="CA12" i="44"/>
  <c r="CA222" i="43"/>
  <c r="BL19" i="44"/>
  <c r="BL68" i="44"/>
  <c r="BL77" i="44"/>
  <c r="AT19" i="44"/>
  <c r="AT77" i="44"/>
  <c r="AT68" i="44"/>
  <c r="BG12" i="44"/>
  <c r="BG53" i="44"/>
  <c r="BG222" i="43"/>
  <c r="CK71" i="44"/>
  <c r="CK72" i="44" s="1"/>
  <c r="CL71" i="44"/>
  <c r="CL72" i="44" s="1"/>
  <c r="CL73" i="44" s="1"/>
  <c r="CL19" i="44"/>
  <c r="CL68" i="44"/>
  <c r="CL77" i="44"/>
  <c r="CK12" i="44"/>
  <c r="M19" i="44"/>
  <c r="M68" i="44"/>
  <c r="M77" i="44"/>
  <c r="CI34" i="44"/>
  <c r="CI42" i="44" s="1"/>
  <c r="CI68" i="44"/>
  <c r="CI77" i="44"/>
  <c r="Y42" i="44"/>
  <c r="Y55" i="44"/>
  <c r="CC42" i="44"/>
  <c r="CC55" i="44"/>
  <c r="CC61" i="44" s="1"/>
  <c r="CE55" i="44"/>
  <c r="CE42" i="44"/>
  <c r="J49" i="44"/>
  <c r="I62" i="44"/>
  <c r="M42" i="44"/>
  <c r="M55" i="44"/>
  <c r="BQ42" i="44"/>
  <c r="BQ55" i="44"/>
  <c r="AW55" i="44"/>
  <c r="AW59" i="44" s="1"/>
  <c r="S55" i="44"/>
  <c r="X55" i="44"/>
  <c r="K59" i="44"/>
  <c r="CK42" i="44"/>
  <c r="CK55" i="44"/>
  <c r="CK59" i="44" s="1"/>
  <c r="DE110" i="44" s="1"/>
  <c r="AV42" i="44"/>
  <c r="AV55" i="44"/>
  <c r="M57" i="44"/>
  <c r="CC57" i="44"/>
  <c r="BZ50" i="44"/>
  <c r="AI58" i="44"/>
  <c r="AI61" i="44"/>
  <c r="AH58" i="44"/>
  <c r="BR59" i="44"/>
  <c r="AB19" i="44"/>
  <c r="AB68" i="44"/>
  <c r="AB77" i="44"/>
  <c r="BR71" i="44"/>
  <c r="BR72" i="44" s="1"/>
  <c r="BR73" i="44" s="1"/>
  <c r="BV71" i="44"/>
  <c r="BV72" i="44" s="1"/>
  <c r="P50" i="44"/>
  <c r="AB73" i="44"/>
  <c r="BQ71" i="44"/>
  <c r="BQ72" i="44" s="1"/>
  <c r="AP59" i="44"/>
  <c r="R54" i="44"/>
  <c r="R57" i="44"/>
  <c r="T19" i="44"/>
  <c r="T68" i="44"/>
  <c r="T77" i="44"/>
  <c r="BJ61" i="44"/>
  <c r="X19" i="44"/>
  <c r="AW71" i="44"/>
  <c r="AW72" i="44" s="1"/>
  <c r="AX71" i="44"/>
  <c r="AX72" i="44" s="1"/>
  <c r="BB71" i="44"/>
  <c r="BB72" i="44" s="1"/>
  <c r="Z19" i="44"/>
  <c r="Z68" i="44"/>
  <c r="Z77" i="44"/>
  <c r="AG42" i="44"/>
  <c r="AG55" i="44"/>
  <c r="BI55" i="44"/>
  <c r="BI42" i="44"/>
  <c r="CA55" i="44"/>
  <c r="L58" i="44"/>
  <c r="L59" i="44"/>
  <c r="CD54" i="44"/>
  <c r="CD57" i="44"/>
  <c r="AA19" i="44"/>
  <c r="AA68" i="44"/>
  <c r="AA77" i="44"/>
  <c r="BT50" i="44"/>
  <c r="BS61" i="44"/>
  <c r="S12" i="44"/>
  <c r="S53" i="44"/>
  <c r="BR19" i="44"/>
  <c r="BR68" i="44"/>
  <c r="BR77" i="44"/>
  <c r="CF19" i="44"/>
  <c r="CF68" i="44"/>
  <c r="CF77" i="44"/>
  <c r="BQ19" i="44"/>
  <c r="BQ68" i="44"/>
  <c r="BQ77" i="44"/>
  <c r="AX19" i="44"/>
  <c r="AX68" i="44"/>
  <c r="AX77" i="44"/>
  <c r="AV19" i="44"/>
  <c r="AV68" i="44"/>
  <c r="AV77" i="44"/>
  <c r="AG19" i="44"/>
  <c r="AG77" i="44"/>
  <c r="AG68" i="44"/>
  <c r="V19" i="44"/>
  <c r="V77" i="44"/>
  <c r="V68" i="44"/>
  <c r="AL19" i="44"/>
  <c r="AL68" i="44"/>
  <c r="AL77" i="44"/>
  <c r="D34" i="44"/>
  <c r="D42" i="44" s="1"/>
  <c r="D68" i="44"/>
  <c r="D77" i="44"/>
  <c r="AH29" i="44"/>
  <c r="AH34" i="44" s="1"/>
  <c r="AH42" i="44" s="1"/>
  <c r="AH70" i="44"/>
  <c r="AI70" i="44"/>
  <c r="AI73" i="44" s="1"/>
  <c r="AM70" i="44"/>
  <c r="AU34" i="44"/>
  <c r="AU42" i="44" s="1"/>
  <c r="AU68" i="44"/>
  <c r="AU77" i="44"/>
  <c r="AC55" i="44"/>
  <c r="AC59" i="44" s="1"/>
  <c r="CG55" i="44"/>
  <c r="CJ42" i="44"/>
  <c r="CJ55" i="44"/>
  <c r="Q55" i="44"/>
  <c r="Q58" i="44" s="1"/>
  <c r="BU42" i="44"/>
  <c r="BU55" i="44"/>
  <c r="BA42" i="44"/>
  <c r="BA55" i="44"/>
  <c r="BB55" i="44"/>
  <c r="BK55" i="44"/>
  <c r="BK61" i="44" s="1"/>
  <c r="AT61" i="44"/>
  <c r="AT58" i="44"/>
  <c r="BJ59" i="44"/>
  <c r="BD50" i="44"/>
  <c r="BC61" i="44"/>
  <c r="E57" i="44"/>
  <c r="N58" i="44"/>
  <c r="N57" i="44"/>
  <c r="N62" i="44"/>
  <c r="CR32" i="44"/>
  <c r="CQ49" i="44"/>
  <c r="BV61" i="44"/>
  <c r="BV58" i="44"/>
  <c r="DB109" i="44" s="1"/>
  <c r="CH61" i="44"/>
  <c r="BV59" i="44"/>
  <c r="DB110" i="44" s="1"/>
  <c r="AD61" i="44"/>
  <c r="AD58" i="44"/>
  <c r="BT59" i="44"/>
  <c r="BT58" i="44"/>
  <c r="J54" i="44"/>
  <c r="J57" i="44"/>
  <c r="AD71" i="44"/>
  <c r="AD72" i="44" s="1"/>
  <c r="AD73" i="44" s="1"/>
  <c r="AH71" i="44"/>
  <c r="AH72" i="44" s="1"/>
  <c r="F19" i="44"/>
  <c r="F68" i="44"/>
  <c r="F77" i="44"/>
  <c r="P19" i="44"/>
  <c r="P68" i="44"/>
  <c r="P77" i="44"/>
  <c r="BR61" i="44"/>
  <c r="BX58" i="44"/>
  <c r="BX59" i="44"/>
  <c r="R19" i="44"/>
  <c r="R68" i="44"/>
  <c r="R77" i="44"/>
  <c r="BO19" i="44"/>
  <c r="BO68" i="44"/>
  <c r="BO77" i="44"/>
  <c r="BH19" i="44"/>
  <c r="BH68" i="44"/>
  <c r="BH77" i="44"/>
  <c r="BT27" i="42"/>
  <c r="BU27" i="42" s="1"/>
  <c r="BV27" i="42" s="1"/>
  <c r="BS54" i="42"/>
  <c r="BK46" i="42"/>
  <c r="BL46" i="42" s="1"/>
  <c r="BA219" i="43"/>
  <c r="BB219" i="43" s="1"/>
  <c r="CP10" i="42"/>
  <c r="CP47" i="45" s="1"/>
  <c r="CG24" i="43"/>
  <c r="CG27" i="43"/>
  <c r="Y24" i="43"/>
  <c r="Y27" i="43"/>
  <c r="CC24" i="43"/>
  <c r="CC27" i="43"/>
  <c r="BQ93" i="43"/>
  <c r="BP99" i="43"/>
  <c r="CK99" i="43"/>
  <c r="CJ122" i="43"/>
  <c r="BI24" i="43"/>
  <c r="BI27" i="43"/>
  <c r="BC54" i="42"/>
  <c r="BS10" i="42"/>
  <c r="BS47" i="45" s="1"/>
  <c r="AY10" i="42"/>
  <c r="AY47" i="45" s="1"/>
  <c r="K10" i="42"/>
  <c r="K47" i="45" s="1"/>
  <c r="AK24" i="43"/>
  <c r="AK27" i="43"/>
  <c r="X24" i="43"/>
  <c r="X27" i="43"/>
  <c r="D24" i="43"/>
  <c r="D27" i="43"/>
  <c r="AZ27" i="43"/>
  <c r="AZ24" i="43"/>
  <c r="H24" i="43"/>
  <c r="H27" i="43"/>
  <c r="AG50" i="43"/>
  <c r="AH73" i="43"/>
  <c r="AQ122" i="43"/>
  <c r="CB24" i="43"/>
  <c r="CB27" i="43"/>
  <c r="M50" i="43"/>
  <c r="S122" i="43"/>
  <c r="AB147" i="43"/>
  <c r="AB85" i="47" s="1"/>
  <c r="AB86" i="47" s="1"/>
  <c r="CQ211" i="43"/>
  <c r="AW177" i="43"/>
  <c r="CP176" i="43"/>
  <c r="CK305" i="43"/>
  <c r="CK277" i="43"/>
  <c r="CP173" i="43"/>
  <c r="CF24" i="43"/>
  <c r="CF27" i="43"/>
  <c r="Q24" i="43"/>
  <c r="Q27" i="43"/>
  <c r="BE24" i="43"/>
  <c r="BE27" i="43"/>
  <c r="Y20" i="42"/>
  <c r="Y26" i="42" s="1"/>
  <c r="BT24" i="43"/>
  <c r="BT27" i="43"/>
  <c r="BU24" i="43"/>
  <c r="BU27" i="43"/>
  <c r="AF27" i="43"/>
  <c r="AF24" i="43"/>
  <c r="AV65" i="43"/>
  <c r="AW72" i="43"/>
  <c r="AV72" i="43" s="1"/>
  <c r="AN24" i="43"/>
  <c r="AN27" i="43"/>
  <c r="CK310" i="43"/>
  <c r="CF311" i="43"/>
  <c r="CK308" i="43"/>
  <c r="CF309" i="43"/>
  <c r="BK193" i="43"/>
  <c r="BL193" i="43" s="1"/>
  <c r="BM190" i="43" s="1"/>
  <c r="BM193" i="43" s="1"/>
  <c r="BN190" i="43" s="1"/>
  <c r="BN193" i="43" s="1"/>
  <c r="BO190" i="43" s="1"/>
  <c r="BO193" i="43" s="1"/>
  <c r="BP190" i="43" s="1"/>
  <c r="BL190" i="43"/>
  <c r="CK20" i="43"/>
  <c r="CK22" i="43"/>
  <c r="CK25" i="43"/>
  <c r="AS24" i="43"/>
  <c r="AS27" i="43"/>
  <c r="BR54" i="42"/>
  <c r="CG45" i="42"/>
  <c r="CA46" i="42"/>
  <c r="I45" i="42"/>
  <c r="R12" i="43"/>
  <c r="R149" i="43" s="1"/>
  <c r="P15" i="43"/>
  <c r="P149" i="43"/>
  <c r="AB15" i="43"/>
  <c r="AM24" i="43"/>
  <c r="AM27" i="43"/>
  <c r="AR24" i="43"/>
  <c r="AR27" i="43"/>
  <c r="BM24" i="43"/>
  <c r="BM27" i="43"/>
  <c r="BY24" i="43"/>
  <c r="BY27" i="43"/>
  <c r="CJ24" i="43"/>
  <c r="CJ27" i="43"/>
  <c r="BX24" i="43"/>
  <c r="BX27" i="43"/>
  <c r="BH24" i="43"/>
  <c r="BH27" i="43"/>
  <c r="W65" i="43"/>
  <c r="X72" i="43"/>
  <c r="BP27" i="43"/>
  <c r="BP24" i="43"/>
  <c r="CA99" i="43"/>
  <c r="BZ122" i="43"/>
  <c r="BQ258" i="43"/>
  <c r="BQ177" i="43"/>
  <c r="BQ224" i="43"/>
  <c r="BQ223" i="43" s="1"/>
  <c r="BQ222" i="43"/>
  <c r="CP175" i="43"/>
  <c r="CK267" i="43"/>
  <c r="CK258" i="43"/>
  <c r="CK222" i="43"/>
  <c r="CK224" i="43"/>
  <c r="CK223" i="43" s="1"/>
  <c r="CP169" i="43"/>
  <c r="CK177" i="43"/>
  <c r="BL27" i="43"/>
  <c r="BL24" i="43"/>
  <c r="I24" i="43"/>
  <c r="I27" i="43"/>
  <c r="BA24" i="43"/>
  <c r="BA27" i="43"/>
  <c r="X122" i="43"/>
  <c r="BD10" i="42"/>
  <c r="BD47" i="45" s="1"/>
  <c r="AE15" i="43"/>
  <c r="AG12" i="43"/>
  <c r="AG149" i="43" s="1"/>
  <c r="AE149" i="43"/>
  <c r="T24" i="43"/>
  <c r="T27" i="43"/>
  <c r="BQ20" i="43"/>
  <c r="BQ22" i="43"/>
  <c r="BQ25" i="43"/>
  <c r="CP172" i="43"/>
  <c r="CK269" i="43"/>
  <c r="CF46" i="42"/>
  <c r="BB46" i="42"/>
  <c r="BA38" i="42"/>
  <c r="BB38" i="42" s="1"/>
  <c r="BC35" i="42"/>
  <c r="AM24" i="42"/>
  <c r="BQ16" i="42"/>
  <c r="CA14" i="42"/>
  <c r="CS55" i="42"/>
  <c r="BW54" i="42"/>
  <c r="BH54" i="42"/>
  <c r="CR55" i="42"/>
  <c r="BD43" i="42"/>
  <c r="BE43" i="42" s="1"/>
  <c r="BF43" i="42" s="1"/>
  <c r="U36" i="42"/>
  <c r="V36" i="42" s="1"/>
  <c r="W36" i="42" s="1"/>
  <c r="O20" i="42"/>
  <c r="O26" i="42" s="1"/>
  <c r="BX10" i="42"/>
  <c r="BX47" i="45" s="1"/>
  <c r="AE10" i="42"/>
  <c r="AE47" i="45" s="1"/>
  <c r="P10" i="42"/>
  <c r="P47" i="45" s="1"/>
  <c r="AM9" i="42"/>
  <c r="AM8" i="42"/>
  <c r="BQ7" i="42"/>
  <c r="AC7" i="42"/>
  <c r="AO20" i="43"/>
  <c r="AO22" i="43"/>
  <c r="AO25" i="43"/>
  <c r="M12" i="43"/>
  <c r="M149" i="43" s="1"/>
  <c r="L15" i="43"/>
  <c r="L149" i="43"/>
  <c r="W22" i="43"/>
  <c r="W32" i="43" s="1"/>
  <c r="W25" i="43"/>
  <c r="AJ27" i="43"/>
  <c r="AJ24" i="43"/>
  <c r="BD24" i="43"/>
  <c r="BD27" i="43"/>
  <c r="M118" i="43"/>
  <c r="N122" i="43"/>
  <c r="U20" i="43"/>
  <c r="U22" i="43"/>
  <c r="U32" i="43" s="1"/>
  <c r="U25" i="43"/>
  <c r="AV27" i="43"/>
  <c r="AV24" i="43"/>
  <c r="BK122" i="43"/>
  <c r="BB122" i="43"/>
  <c r="AD165" i="43"/>
  <c r="BQ280" i="43"/>
  <c r="BQ234" i="43"/>
  <c r="BQ233" i="43" s="1"/>
  <c r="CK270" i="43"/>
  <c r="CP174" i="43"/>
  <c r="CP170" i="43"/>
  <c r="CK234" i="43"/>
  <c r="CK233" i="43" s="1"/>
  <c r="CK280" i="43"/>
  <c r="E20" i="43"/>
  <c r="E22" i="43"/>
  <c r="E32" i="43" s="1"/>
  <c r="E25" i="43"/>
  <c r="AW27" i="43"/>
  <c r="BU47" i="42"/>
  <c r="BV47" i="42" s="1"/>
  <c r="BK47" i="42"/>
  <c r="BL47" i="42" s="1"/>
  <c r="BQ46" i="42"/>
  <c r="BR45" i="42"/>
  <c r="Z44" i="42"/>
  <c r="AA44" i="42" s="1"/>
  <c r="AB44" i="42" s="1"/>
  <c r="Y45" i="42"/>
  <c r="BX43" i="42"/>
  <c r="BY43" i="42" s="1"/>
  <c r="BZ43" i="42" s="1"/>
  <c r="BI36" i="42"/>
  <c r="AS45" i="42"/>
  <c r="Z34" i="42"/>
  <c r="AA34" i="42" s="1"/>
  <c r="AB34" i="42" s="1"/>
  <c r="AY33" i="42"/>
  <c r="AZ33" i="42" s="1"/>
  <c r="BA33" i="42" s="1"/>
  <c r="M12" i="42"/>
  <c r="N12" i="42" s="1"/>
  <c r="AT7" i="42"/>
  <c r="AU7" i="42" s="1"/>
  <c r="AV7" i="42" s="1"/>
  <c r="CM25" i="42"/>
  <c r="CN25" i="42"/>
  <c r="AP48" i="42"/>
  <c r="AQ48" i="42" s="1"/>
  <c r="BZ47" i="42"/>
  <c r="CA47" i="42" s="1"/>
  <c r="BP47" i="42"/>
  <c r="BQ47" i="42" s="1"/>
  <c r="BV46" i="42"/>
  <c r="CD44" i="42"/>
  <c r="CE44" i="42" s="1"/>
  <c r="BS38" i="42"/>
  <c r="BT38" i="42" s="1"/>
  <c r="BU38" i="42" s="1"/>
  <c r="CD30" i="42"/>
  <c r="CE30" i="42" s="1"/>
  <c r="BN27" i="42"/>
  <c r="BN54" i="42" s="1"/>
  <c r="BM54" i="42"/>
  <c r="AZ47" i="42"/>
  <c r="BA47" i="42" s="1"/>
  <c r="L42" i="42"/>
  <c r="M42" i="42" s="1"/>
  <c r="CD40" i="42"/>
  <c r="CE40" i="42" s="1"/>
  <c r="P31" i="42"/>
  <c r="Q31" i="42" s="1"/>
  <c r="R31" i="42" s="1"/>
  <c r="O35" i="42"/>
  <c r="AR47" i="42"/>
  <c r="N44" i="42"/>
  <c r="BV40" i="42"/>
  <c r="AK39" i="42"/>
  <c r="AL39" i="42" s="1"/>
  <c r="AC39" i="42"/>
  <c r="AO37" i="42"/>
  <c r="AP37" i="42" s="1"/>
  <c r="AQ37" i="42" s="1"/>
  <c r="AO36" i="42"/>
  <c r="AP36" i="42" s="1"/>
  <c r="AQ36" i="42" s="1"/>
  <c r="AR36" i="42" s="1"/>
  <c r="BL30" i="42"/>
  <c r="AC28" i="42"/>
  <c r="AG27" i="42"/>
  <c r="AG54" i="42" s="1"/>
  <c r="BJ23" i="42"/>
  <c r="BK23" i="42" s="1"/>
  <c r="AJ20" i="42"/>
  <c r="CP18" i="42"/>
  <c r="BA18" i="42"/>
  <c r="BB18" i="42" s="1"/>
  <c r="CK16" i="42"/>
  <c r="AT16" i="42"/>
  <c r="AU16" i="42" s="1"/>
  <c r="AV16" i="42" s="1"/>
  <c r="AJ15" i="42"/>
  <c r="AK15" i="42" s="1"/>
  <c r="AL15" i="42" s="1"/>
  <c r="AT14" i="42"/>
  <c r="AU14" i="42" s="1"/>
  <c r="AV14" i="42" s="1"/>
  <c r="BD9" i="42"/>
  <c r="BE9" i="42" s="1"/>
  <c r="BF9" i="42" s="1"/>
  <c r="CN23" i="42"/>
  <c r="AR46" i="42"/>
  <c r="AE44" i="42"/>
  <c r="AF44" i="42" s="1"/>
  <c r="AG44" i="42" s="1"/>
  <c r="BE41" i="42"/>
  <c r="BF41" i="42" s="1"/>
  <c r="BJ38" i="42"/>
  <c r="BK38" i="42" s="1"/>
  <c r="BL38" i="42" s="1"/>
  <c r="CC31" i="42"/>
  <c r="CD31" i="42" s="1"/>
  <c r="CE31" i="42" s="1"/>
  <c r="BD31" i="42"/>
  <c r="BE31" i="42" s="1"/>
  <c r="BF31" i="42" s="1"/>
  <c r="I20" i="42"/>
  <c r="I26" i="42" s="1"/>
  <c r="I53" i="42" s="1"/>
  <c r="I55" i="42" s="1"/>
  <c r="I57" i="42" s="1"/>
  <c r="Z17" i="42"/>
  <c r="AA17" i="42" s="1"/>
  <c r="AB17" i="42" s="1"/>
  <c r="Z16" i="42"/>
  <c r="AA16" i="42" s="1"/>
  <c r="AB16" i="42" s="1"/>
  <c r="AC16" i="42" s="1"/>
  <c r="CQ55" i="42"/>
  <c r="CC45" i="42"/>
  <c r="AM44" i="42"/>
  <c r="AW41" i="42"/>
  <c r="CF36" i="42"/>
  <c r="AO27" i="42"/>
  <c r="AO54" i="42" s="1"/>
  <c r="AN54" i="42"/>
  <c r="K27" i="42"/>
  <c r="J54" i="42"/>
  <c r="BI18" i="42"/>
  <c r="BI219" i="43" s="1"/>
  <c r="BD14" i="42"/>
  <c r="BE14" i="42" s="1"/>
  <c r="BF14" i="42" s="1"/>
  <c r="CF37" i="42"/>
  <c r="AM37" i="42"/>
  <c r="H35" i="42"/>
  <c r="D35" i="42"/>
  <c r="AW33" i="42"/>
  <c r="CA31" i="42"/>
  <c r="C35" i="42"/>
  <c r="AR30" i="42"/>
  <c r="X30" i="42"/>
  <c r="CF25" i="42"/>
  <c r="BV23" i="42"/>
  <c r="CG20" i="42"/>
  <c r="CG26" i="42" s="1"/>
  <c r="CG53" i="42" s="1"/>
  <c r="CG55" i="42" s="1"/>
  <c r="CG57" i="42" s="1"/>
  <c r="P21" i="42"/>
  <c r="Q21" i="42" s="1"/>
  <c r="R21" i="42" s="1"/>
  <c r="H20" i="42"/>
  <c r="H26" i="42" s="1"/>
  <c r="H53" i="42" s="1"/>
  <c r="H55" i="42" s="1"/>
  <c r="D20" i="42"/>
  <c r="D26" i="42" s="1"/>
  <c r="D53" i="42" s="1"/>
  <c r="D55" i="42" s="1"/>
  <c r="BD19" i="42"/>
  <c r="BE19" i="42" s="1"/>
  <c r="BF19" i="42" s="1"/>
  <c r="AY19" i="42"/>
  <c r="AZ19" i="42" s="1"/>
  <c r="BA19" i="42" s="1"/>
  <c r="AJ19" i="42"/>
  <c r="AK19" i="42" s="1"/>
  <c r="AL19" i="42" s="1"/>
  <c r="AE19" i="42"/>
  <c r="AF19" i="42" s="1"/>
  <c r="AG19" i="42" s="1"/>
  <c r="N19" i="42"/>
  <c r="CC18" i="42"/>
  <c r="CC219" i="43" s="1"/>
  <c r="BS18" i="42"/>
  <c r="BS219" i="43" s="1"/>
  <c r="BN18" i="42"/>
  <c r="BN219" i="43" s="1"/>
  <c r="X17" i="42"/>
  <c r="BB14" i="42"/>
  <c r="BG11" i="42"/>
  <c r="C20" i="42"/>
  <c r="C26" i="42" s="1"/>
  <c r="C53" i="42" s="1"/>
  <c r="C55" i="42" s="1"/>
  <c r="AC40" i="42"/>
  <c r="X40" i="42"/>
  <c r="BB39" i="42"/>
  <c r="BL37" i="42"/>
  <c r="X37" i="42"/>
  <c r="BH35" i="42"/>
  <c r="AW34" i="42"/>
  <c r="AH33" i="42"/>
  <c r="N33" i="42"/>
  <c r="BL31" i="42"/>
  <c r="AC25" i="42"/>
  <c r="BL24" i="42"/>
  <c r="BG24" i="42"/>
  <c r="S23" i="42"/>
  <c r="N23" i="42"/>
  <c r="CB20" i="42"/>
  <c r="CB26" i="42" s="1"/>
  <c r="CB53" i="42" s="1"/>
  <c r="CB55" i="42" s="1"/>
  <c r="AR19" i="42"/>
  <c r="CH18" i="42"/>
  <c r="CH219" i="43" s="1"/>
  <c r="BG15" i="42"/>
  <c r="S13" i="42"/>
  <c r="BG8" i="42"/>
  <c r="CM57" i="42"/>
  <c r="CM42" i="42"/>
  <c r="CM37" i="44" s="1"/>
  <c r="BT48" i="42"/>
  <c r="AU48" i="42"/>
  <c r="AU47" i="42"/>
  <c r="AV47" i="42" s="1"/>
  <c r="CI44" i="42"/>
  <c r="CJ44" i="42" s="1"/>
  <c r="BX42" i="42"/>
  <c r="BY42" i="42" s="1"/>
  <c r="BZ42" i="42" s="1"/>
  <c r="AN45" i="42"/>
  <c r="AO40" i="42"/>
  <c r="CE39" i="42"/>
  <c r="BJ28" i="42"/>
  <c r="BK28" i="42" s="1"/>
  <c r="AE13" i="42"/>
  <c r="AF13" i="42" s="1"/>
  <c r="AG13" i="42" s="1"/>
  <c r="BX11" i="42"/>
  <c r="V7" i="42"/>
  <c r="W7" i="42" s="1"/>
  <c r="AJ48" i="42"/>
  <c r="AJ46" i="42"/>
  <c r="AK46" i="42" s="1"/>
  <c r="AL46" i="42" s="1"/>
  <c r="BX44" i="42"/>
  <c r="BY44" i="42" s="1"/>
  <c r="BZ44" i="42" s="1"/>
  <c r="BT42" i="42"/>
  <c r="BU42" i="42" s="1"/>
  <c r="K38" i="42"/>
  <c r="L38" i="42" s="1"/>
  <c r="M38" i="42" s="1"/>
  <c r="J45" i="42"/>
  <c r="BT30" i="42"/>
  <c r="BU30" i="42" s="1"/>
  <c r="CJ48" i="42"/>
  <c r="BP48" i="42"/>
  <c r="BQ48" i="42" s="1"/>
  <c r="AF48" i="42"/>
  <c r="AF47" i="42"/>
  <c r="AG47" i="42" s="1"/>
  <c r="AF46" i="42"/>
  <c r="AG46" i="42" s="1"/>
  <c r="BT44" i="42"/>
  <c r="BU44" i="42" s="1"/>
  <c r="AZ43" i="42"/>
  <c r="BA43" i="42" s="1"/>
  <c r="CF42" i="42"/>
  <c r="AY42" i="42"/>
  <c r="AZ42" i="42" s="1"/>
  <c r="BA42" i="42" s="1"/>
  <c r="AX45" i="42"/>
  <c r="AH42" i="42"/>
  <c r="CA41" i="42"/>
  <c r="AO41" i="42"/>
  <c r="AP41" i="42" s="1"/>
  <c r="AQ41" i="42" s="1"/>
  <c r="BN40" i="42"/>
  <c r="BO40" i="42" s="1"/>
  <c r="BP40" i="42" s="1"/>
  <c r="CP39" i="42"/>
  <c r="CL45" i="42"/>
  <c r="S39" i="42"/>
  <c r="AQ38" i="42"/>
  <c r="U38" i="42"/>
  <c r="T45" i="42"/>
  <c r="AF37" i="42"/>
  <c r="AG37" i="42" s="1"/>
  <c r="BU36" i="42"/>
  <c r="BV36" i="42" s="1"/>
  <c r="AZ36" i="42"/>
  <c r="AG36" i="42"/>
  <c r="CI33" i="42"/>
  <c r="CJ33" i="42" s="1"/>
  <c r="BY33" i="42"/>
  <c r="BZ33" i="42" s="1"/>
  <c r="AP33" i="42"/>
  <c r="AQ33" i="42" s="1"/>
  <c r="CH30" i="42"/>
  <c r="CI30" i="42" s="1"/>
  <c r="CJ30" i="42" s="1"/>
  <c r="CG35" i="42"/>
  <c r="CH29" i="42"/>
  <c r="CI29" i="42" s="1"/>
  <c r="CJ29" i="42" s="1"/>
  <c r="AU27" i="42"/>
  <c r="AT54" i="42"/>
  <c r="CD48" i="42"/>
  <c r="AU46" i="42"/>
  <c r="AV46" i="42" s="1"/>
  <c r="AK43" i="42"/>
  <c r="AL43" i="42" s="1"/>
  <c r="P41" i="42"/>
  <c r="Q41" i="42" s="1"/>
  <c r="R41" i="42" s="1"/>
  <c r="BN39" i="42"/>
  <c r="BO39" i="42" s="1"/>
  <c r="BP39" i="42" s="1"/>
  <c r="K39" i="42"/>
  <c r="L39" i="42" s="1"/>
  <c r="M39" i="42" s="1"/>
  <c r="BO38" i="42"/>
  <c r="BP38" i="42" s="1"/>
  <c r="BY36" i="42"/>
  <c r="R36" i="42"/>
  <c r="AJ32" i="42"/>
  <c r="AK32" i="42" s="1"/>
  <c r="AL32" i="42" s="1"/>
  <c r="CI31" i="42"/>
  <c r="CJ31" i="42" s="1"/>
  <c r="AZ31" i="42"/>
  <c r="BA31" i="42" s="1"/>
  <c r="BT28" i="42"/>
  <c r="BU28" i="42" s="1"/>
  <c r="BA11" i="42"/>
  <c r="BB11" i="42" s="1"/>
  <c r="K7" i="42"/>
  <c r="L7" i="42" s="1"/>
  <c r="M7" i="42" s="1"/>
  <c r="AJ47" i="42"/>
  <c r="AK47" i="42" s="1"/>
  <c r="AL47" i="42" s="1"/>
  <c r="AW43" i="42"/>
  <c r="P43" i="42"/>
  <c r="Q43" i="42" s="1"/>
  <c r="R43" i="42" s="1"/>
  <c r="AZ41" i="42"/>
  <c r="BA41" i="42" s="1"/>
  <c r="BY40" i="42"/>
  <c r="BZ40" i="42" s="1"/>
  <c r="BD38" i="42"/>
  <c r="BE38" i="42" s="1"/>
  <c r="BF38" i="42" s="1"/>
  <c r="BC45" i="42"/>
  <c r="F45" i="42"/>
  <c r="AY32" i="42"/>
  <c r="AZ32" i="42" s="1"/>
  <c r="BA32" i="42" s="1"/>
  <c r="BS29" i="42"/>
  <c r="BT29" i="42" s="1"/>
  <c r="BU29" i="42" s="1"/>
  <c r="AB48" i="42"/>
  <c r="AC48" i="42" s="1"/>
  <c r="K48" i="42"/>
  <c r="K47" i="42"/>
  <c r="L47" i="42" s="1"/>
  <c r="M47" i="42" s="1"/>
  <c r="K46" i="42"/>
  <c r="L46" i="42" s="1"/>
  <c r="M46" i="42" s="1"/>
  <c r="AY44" i="42"/>
  <c r="AZ44" i="42" s="1"/>
  <c r="BA44" i="42" s="1"/>
  <c r="AO43" i="42"/>
  <c r="AP43" i="42" s="1"/>
  <c r="AQ43" i="42" s="1"/>
  <c r="CI42" i="42"/>
  <c r="CJ42" i="42" s="1"/>
  <c r="AK41" i="42"/>
  <c r="AL41" i="42" s="1"/>
  <c r="BJ40" i="42"/>
  <c r="CI39" i="42"/>
  <c r="CJ39" i="42" s="1"/>
  <c r="AU39" i="42"/>
  <c r="AV39" i="42" s="1"/>
  <c r="V39" i="42"/>
  <c r="W39" i="42" s="1"/>
  <c r="AE38" i="42"/>
  <c r="AF38" i="42" s="1"/>
  <c r="AG38" i="42" s="1"/>
  <c r="AD45" i="42"/>
  <c r="BT37" i="42"/>
  <c r="BU37" i="42" s="1"/>
  <c r="BN36" i="42"/>
  <c r="BM45" i="42"/>
  <c r="BF36" i="42"/>
  <c r="BG36" i="42" s="1"/>
  <c r="U34" i="42"/>
  <c r="V34" i="42" s="1"/>
  <c r="W34" i="42" s="1"/>
  <c r="T35" i="42"/>
  <c r="Q30" i="42"/>
  <c r="R30" i="42" s="1"/>
  <c r="W21" i="42"/>
  <c r="BX48" i="42"/>
  <c r="AZ48" i="42"/>
  <c r="X48" i="42"/>
  <c r="P48" i="42"/>
  <c r="CJ47" i="42"/>
  <c r="CK47" i="42" s="1"/>
  <c r="AC47" i="42"/>
  <c r="X47" i="42"/>
  <c r="CJ46" i="42"/>
  <c r="CK46" i="42" s="1"/>
  <c r="AC46" i="42"/>
  <c r="X46" i="42"/>
  <c r="BQ44" i="42"/>
  <c r="BL44" i="42"/>
  <c r="AH43" i="42"/>
  <c r="AC43" i="42"/>
  <c r="BQ42" i="42"/>
  <c r="BL42" i="42"/>
  <c r="AH41" i="42"/>
  <c r="AC41" i="42"/>
  <c r="BG40" i="42"/>
  <c r="BB40" i="42"/>
  <c r="CA39" i="42"/>
  <c r="AH39" i="42"/>
  <c r="AW38" i="42"/>
  <c r="AJ38" i="42"/>
  <c r="AJ45" i="42" s="1"/>
  <c r="AI45" i="42"/>
  <c r="AA38" i="42"/>
  <c r="AB38" i="42" s="1"/>
  <c r="AU37" i="42"/>
  <c r="AV37" i="42" s="1"/>
  <c r="L37" i="42"/>
  <c r="M37" i="42" s="1"/>
  <c r="G45" i="42"/>
  <c r="C45" i="42"/>
  <c r="AT36" i="42"/>
  <c r="M36" i="42"/>
  <c r="AR34" i="42"/>
  <c r="AN35" i="42"/>
  <c r="BE33" i="42"/>
  <c r="BF33" i="42" s="1"/>
  <c r="V33" i="42"/>
  <c r="W33" i="42" s="1"/>
  <c r="AE32" i="42"/>
  <c r="AF32" i="42" s="1"/>
  <c r="AG32" i="42" s="1"/>
  <c r="P32" i="42"/>
  <c r="Q32" i="42" s="1"/>
  <c r="R32" i="42" s="1"/>
  <c r="BO31" i="42"/>
  <c r="BP31" i="42" s="1"/>
  <c r="AF31" i="42"/>
  <c r="AG31" i="42" s="1"/>
  <c r="CA30" i="42"/>
  <c r="BN30" i="42"/>
  <c r="BO30" i="42" s="1"/>
  <c r="BP30" i="42" s="1"/>
  <c r="BB30" i="42"/>
  <c r="BM35" i="42"/>
  <c r="BN29" i="42"/>
  <c r="BO29" i="42" s="1"/>
  <c r="BP29" i="42" s="1"/>
  <c r="AY29" i="42"/>
  <c r="AZ29" i="42" s="1"/>
  <c r="BA29" i="42" s="1"/>
  <c r="CI28" i="42"/>
  <c r="CJ28" i="42" s="1"/>
  <c r="AZ28" i="42"/>
  <c r="V28" i="42"/>
  <c r="W28" i="42" s="1"/>
  <c r="J35" i="42"/>
  <c r="F35" i="42"/>
  <c r="CP35" i="42"/>
  <c r="CC27" i="42"/>
  <c r="CB35" i="42"/>
  <c r="U27" i="42"/>
  <c r="BO21" i="42"/>
  <c r="AT20" i="42"/>
  <c r="AU21" i="42"/>
  <c r="AJ18" i="42"/>
  <c r="AK18" i="42" s="1"/>
  <c r="AL18" i="42" s="1"/>
  <c r="BJ17" i="42"/>
  <c r="BK17" i="42" s="1"/>
  <c r="AZ17" i="42"/>
  <c r="BA17" i="42" s="1"/>
  <c r="Q17" i="42"/>
  <c r="R17" i="42" s="1"/>
  <c r="AK16" i="42"/>
  <c r="AL16" i="42" s="1"/>
  <c r="V14" i="42"/>
  <c r="W14" i="42" s="1"/>
  <c r="AY13" i="42"/>
  <c r="AK12" i="42"/>
  <c r="AW44" i="42"/>
  <c r="AR44" i="42"/>
  <c r="CK43" i="42"/>
  <c r="N43" i="42"/>
  <c r="AW42" i="42"/>
  <c r="AR42" i="42"/>
  <c r="CK41" i="42"/>
  <c r="N41" i="42"/>
  <c r="CB45" i="42"/>
  <c r="AM40" i="42"/>
  <c r="AH40" i="42"/>
  <c r="H45" i="42"/>
  <c r="D45" i="42"/>
  <c r="BL39" i="42"/>
  <c r="BG39" i="42"/>
  <c r="O45" i="42"/>
  <c r="S38" i="42"/>
  <c r="CA37" i="42"/>
  <c r="BG37" i="42"/>
  <c r="AA37" i="42"/>
  <c r="AB37" i="42" s="1"/>
  <c r="S37" i="42"/>
  <c r="AM36" i="42"/>
  <c r="Z36" i="42"/>
  <c r="BL34" i="42"/>
  <c r="CD33" i="42"/>
  <c r="CE33" i="42" s="1"/>
  <c r="AK33" i="42"/>
  <c r="AL33" i="42" s="1"/>
  <c r="AC33" i="42"/>
  <c r="BX32" i="42"/>
  <c r="BW35" i="42"/>
  <c r="K32" i="42"/>
  <c r="L32" i="42" s="1"/>
  <c r="M32" i="42" s="1"/>
  <c r="AU31" i="42"/>
  <c r="AV31" i="42" s="1"/>
  <c r="AM31" i="42"/>
  <c r="L31" i="42"/>
  <c r="M31" i="42" s="1"/>
  <c r="BG30" i="42"/>
  <c r="AT30" i="42"/>
  <c r="AU30" i="42" s="1"/>
  <c r="AV30" i="42" s="1"/>
  <c r="AH30" i="42"/>
  <c r="AS35" i="42"/>
  <c r="AT29" i="42"/>
  <c r="AU29" i="42" s="1"/>
  <c r="AV29" i="42" s="1"/>
  <c r="AE29" i="42"/>
  <c r="BO28" i="42"/>
  <c r="BP28" i="42" s="1"/>
  <c r="AK27" i="42"/>
  <c r="Q27" i="42"/>
  <c r="BY25" i="42"/>
  <c r="BZ25" i="42" s="1"/>
  <c r="CA25" i="42" s="1"/>
  <c r="AF24" i="42"/>
  <c r="AG24" i="42" s="1"/>
  <c r="AZ23" i="42"/>
  <c r="BA23" i="42" s="1"/>
  <c r="BL48" i="42"/>
  <c r="BD48" i="42"/>
  <c r="S47" i="42"/>
  <c r="S46" i="42"/>
  <c r="BG44" i="42"/>
  <c r="X44" i="42"/>
  <c r="BV43" i="42"/>
  <c r="BQ43" i="42"/>
  <c r="X43" i="42"/>
  <c r="BG42" i="42"/>
  <c r="AC42" i="42"/>
  <c r="X42" i="42"/>
  <c r="BV41" i="42"/>
  <c r="BQ41" i="42"/>
  <c r="X41" i="42"/>
  <c r="BH45" i="42"/>
  <c r="AW40" i="42"/>
  <c r="S40" i="42"/>
  <c r="N40" i="42"/>
  <c r="BV39" i="42"/>
  <c r="AR39" i="42"/>
  <c r="CK38" i="42"/>
  <c r="CF38" i="42"/>
  <c r="BX38" i="42"/>
  <c r="BY38" i="42" s="1"/>
  <c r="BZ38" i="42" s="1"/>
  <c r="BW45" i="42"/>
  <c r="AZ37" i="42"/>
  <c r="BA37" i="42" s="1"/>
  <c r="CH36" i="42"/>
  <c r="CF34" i="42"/>
  <c r="BJ33" i="42"/>
  <c r="BK33" i="42" s="1"/>
  <c r="Q33" i="42"/>
  <c r="R33" i="42" s="1"/>
  <c r="BS32" i="42"/>
  <c r="BT32" i="42" s="1"/>
  <c r="BU32" i="42" s="1"/>
  <c r="BD32" i="42"/>
  <c r="BE32" i="42" s="1"/>
  <c r="BF32" i="42" s="1"/>
  <c r="BT31" i="42"/>
  <c r="BU31" i="42" s="1"/>
  <c r="BV31" i="42" s="1"/>
  <c r="AA31" i="42"/>
  <c r="AB31" i="42" s="1"/>
  <c r="AM30" i="42"/>
  <c r="Z30" i="42"/>
  <c r="AA30" i="42" s="1"/>
  <c r="AB30" i="42" s="1"/>
  <c r="N30" i="42"/>
  <c r="Y35" i="42"/>
  <c r="Z29" i="42"/>
  <c r="AA29" i="42" s="1"/>
  <c r="AB29" i="42" s="1"/>
  <c r="K29" i="42"/>
  <c r="CD28" i="42"/>
  <c r="CE28" i="42" s="1"/>
  <c r="AU28" i="42"/>
  <c r="AV28" i="42" s="1"/>
  <c r="AJ28" i="42"/>
  <c r="AI35" i="42"/>
  <c r="BN25" i="42"/>
  <c r="BO25" i="42" s="1"/>
  <c r="BP25" i="42" s="1"/>
  <c r="BX24" i="42"/>
  <c r="BY24" i="42" s="1"/>
  <c r="BZ24" i="42" s="1"/>
  <c r="U24" i="42"/>
  <c r="V24" i="42" s="1"/>
  <c r="W24" i="42" s="1"/>
  <c r="T20" i="42"/>
  <c r="T26" i="42" s="1"/>
  <c r="AE23" i="42"/>
  <c r="AF23" i="42" s="1"/>
  <c r="AG23" i="42" s="1"/>
  <c r="CI22" i="42"/>
  <c r="CJ22" i="42" s="1"/>
  <c r="CD20" i="42"/>
  <c r="CE21" i="42"/>
  <c r="CE20" i="42" s="1"/>
  <c r="CK32" i="42"/>
  <c r="CF32" i="42"/>
  <c r="BQ32" i="42"/>
  <c r="BL32" i="42"/>
  <c r="AW32" i="42"/>
  <c r="AR32" i="42"/>
  <c r="AC32" i="42"/>
  <c r="X32" i="42"/>
  <c r="CF29" i="42"/>
  <c r="CA29" i="42"/>
  <c r="BL29" i="42"/>
  <c r="BG29" i="42"/>
  <c r="AR29" i="42"/>
  <c r="AM29" i="42"/>
  <c r="X29" i="42"/>
  <c r="S29" i="42"/>
  <c r="I35" i="42"/>
  <c r="E35" i="42"/>
  <c r="CL35" i="42"/>
  <c r="BR35" i="42"/>
  <c r="AX35" i="42"/>
  <c r="AF28" i="42"/>
  <c r="BY27" i="42"/>
  <c r="BI35" i="42"/>
  <c r="BJ27" i="42"/>
  <c r="AA27" i="42"/>
  <c r="BJ25" i="42"/>
  <c r="BK25" i="42" s="1"/>
  <c r="Q24" i="42"/>
  <c r="R24" i="42" s="1"/>
  <c r="BO23" i="42"/>
  <c r="BP23" i="42" s="1"/>
  <c r="BN22" i="42"/>
  <c r="BO22" i="42" s="1"/>
  <c r="BP22" i="42" s="1"/>
  <c r="AW22" i="42"/>
  <c r="BI20" i="42"/>
  <c r="Z20" i="42"/>
  <c r="AA21" i="42"/>
  <c r="BE18" i="42"/>
  <c r="BE219" i="43" s="1"/>
  <c r="AY16" i="42"/>
  <c r="AZ16" i="42" s="1"/>
  <c r="BA16" i="42" s="1"/>
  <c r="AE15" i="42"/>
  <c r="AF15" i="42" s="1"/>
  <c r="AG15" i="42" s="1"/>
  <c r="BK14" i="42"/>
  <c r="BL14" i="42" s="1"/>
  <c r="AE14" i="42"/>
  <c r="AF14" i="42" s="1"/>
  <c r="AG14" i="42" s="1"/>
  <c r="CI12" i="42"/>
  <c r="CJ12" i="42" s="1"/>
  <c r="CK37" i="42"/>
  <c r="BQ37" i="42"/>
  <c r="CA34" i="42"/>
  <c r="BV34" i="42"/>
  <c r="BG34" i="42"/>
  <c r="BB34" i="42"/>
  <c r="AM34" i="42"/>
  <c r="AH34" i="42"/>
  <c r="S34" i="42"/>
  <c r="N34" i="42"/>
  <c r="AP28" i="42"/>
  <c r="AQ28" i="42" s="1"/>
  <c r="AD35" i="42"/>
  <c r="L28" i="42"/>
  <c r="CI27" i="42"/>
  <c r="BE27" i="42"/>
  <c r="BV25" i="42"/>
  <c r="AO25" i="42"/>
  <c r="AP25" i="42" s="1"/>
  <c r="AQ25" i="42" s="1"/>
  <c r="X25" i="42"/>
  <c r="AC24" i="42"/>
  <c r="BD23" i="42"/>
  <c r="CH20" i="42"/>
  <c r="CI21" i="42"/>
  <c r="BJ16" i="42"/>
  <c r="BK16" i="42" s="1"/>
  <c r="BT14" i="42"/>
  <c r="L13" i="42"/>
  <c r="M13" i="42" s="1"/>
  <c r="AO11" i="42"/>
  <c r="AP11" i="42" s="1"/>
  <c r="AQ11" i="42" s="1"/>
  <c r="BG25" i="42"/>
  <c r="BB25" i="42"/>
  <c r="CK24" i="42"/>
  <c r="N24" i="42"/>
  <c r="AW23" i="42"/>
  <c r="AR23" i="42"/>
  <c r="CF22" i="42"/>
  <c r="CA22" i="42"/>
  <c r="AK20" i="42"/>
  <c r="AL21" i="42"/>
  <c r="AL20" i="42" s="1"/>
  <c r="AS20" i="42"/>
  <c r="AI20" i="42"/>
  <c r="AI26" i="42" s="1"/>
  <c r="X19" i="42"/>
  <c r="BY17" i="42"/>
  <c r="BZ17" i="42" s="1"/>
  <c r="AF17" i="42"/>
  <c r="AG17" i="42" s="1"/>
  <c r="AR16" i="42"/>
  <c r="AE16" i="42"/>
  <c r="AF16" i="42" s="1"/>
  <c r="AG16" i="42" s="1"/>
  <c r="S16" i="42"/>
  <c r="BB15" i="42"/>
  <c r="AR14" i="42"/>
  <c r="BE12" i="42"/>
  <c r="AC12" i="42"/>
  <c r="AP7" i="42"/>
  <c r="AQ7" i="42" s="1"/>
  <c r="AE7" i="42"/>
  <c r="AF7" i="42" s="1"/>
  <c r="AG7" i="42" s="1"/>
  <c r="AM25" i="42"/>
  <c r="AH25" i="42"/>
  <c r="BV24" i="42"/>
  <c r="BQ24" i="42"/>
  <c r="AC23" i="42"/>
  <c r="X23" i="42"/>
  <c r="BW20" i="42"/>
  <c r="BW26" i="42" s="1"/>
  <c r="BL22" i="42"/>
  <c r="BG22" i="42"/>
  <c r="CA21" i="42"/>
  <c r="BJ21" i="42"/>
  <c r="BG21" i="42"/>
  <c r="AP21" i="42"/>
  <c r="AC19" i="42"/>
  <c r="P19" i="42"/>
  <c r="Q19" i="42" s="1"/>
  <c r="R19" i="42" s="1"/>
  <c r="CF17" i="42"/>
  <c r="BE17" i="42"/>
  <c r="BF17" i="42" s="1"/>
  <c r="L17" i="42"/>
  <c r="M17" i="42" s="1"/>
  <c r="CA16" i="42"/>
  <c r="X16" i="42"/>
  <c r="K16" i="42"/>
  <c r="L16" i="42" s="1"/>
  <c r="M16" i="42" s="1"/>
  <c r="BV15" i="42"/>
  <c r="CK14" i="42"/>
  <c r="Q14" i="42"/>
  <c r="R14" i="42" s="1"/>
  <c r="BY12" i="42"/>
  <c r="BZ12" i="42" s="1"/>
  <c r="AW12" i="42"/>
  <c r="AF11" i="42"/>
  <c r="CH10" i="42"/>
  <c r="CH47" i="45" s="1"/>
  <c r="AB9" i="42"/>
  <c r="AC9" i="42" s="1"/>
  <c r="Q9" i="42"/>
  <c r="AW25" i="42"/>
  <c r="S25" i="42"/>
  <c r="N25" i="42"/>
  <c r="CF24" i="42"/>
  <c r="BB24" i="42"/>
  <c r="AW24" i="42"/>
  <c r="CK23" i="42"/>
  <c r="CF23" i="42"/>
  <c r="AM23" i="42"/>
  <c r="BV22" i="42"/>
  <c r="BC20" i="42"/>
  <c r="AR22" i="42"/>
  <c r="AM22" i="42"/>
  <c r="G20" i="42"/>
  <c r="G26" i="42" s="1"/>
  <c r="G53" i="42" s="1"/>
  <c r="G55" i="42" s="1"/>
  <c r="CC20" i="42"/>
  <c r="E20" i="42"/>
  <c r="E26" i="42" s="1"/>
  <c r="E53" i="42" s="1"/>
  <c r="E55" i="42" s="1"/>
  <c r="AN20" i="42"/>
  <c r="S18" i="42"/>
  <c r="BT17" i="42"/>
  <c r="BU17" i="42" s="1"/>
  <c r="AK17" i="42"/>
  <c r="AL17" i="42" s="1"/>
  <c r="AM17" i="42" s="1"/>
  <c r="CF16" i="42"/>
  <c r="BS16" i="42"/>
  <c r="BT16" i="42" s="1"/>
  <c r="BU16" i="42" s="1"/>
  <c r="BG16" i="42"/>
  <c r="N15" i="42"/>
  <c r="CC14" i="42"/>
  <c r="CD14" i="42" s="1"/>
  <c r="CE14" i="42" s="1"/>
  <c r="BQ14" i="42"/>
  <c r="AK14" i="42"/>
  <c r="AL14" i="42" s="1"/>
  <c r="K14" i="42"/>
  <c r="L14" i="42" s="1"/>
  <c r="M14" i="42" s="1"/>
  <c r="BQ12" i="42"/>
  <c r="M11" i="42"/>
  <c r="CC10" i="42"/>
  <c r="CC47" i="45" s="1"/>
  <c r="BN10" i="42"/>
  <c r="BN47" i="45" s="1"/>
  <c r="U10" i="42"/>
  <c r="U47" i="45" s="1"/>
  <c r="X22" i="42"/>
  <c r="CL20" i="42"/>
  <c r="CL26" i="42" s="1"/>
  <c r="BR20" i="42"/>
  <c r="BR26" i="42" s="1"/>
  <c r="BS21" i="42"/>
  <c r="AX20" i="42"/>
  <c r="AY21" i="42"/>
  <c r="AD20" i="42"/>
  <c r="AD26" i="42" s="1"/>
  <c r="AE21" i="42"/>
  <c r="J20" i="42"/>
  <c r="K21" i="42"/>
  <c r="F20" i="42"/>
  <c r="F26" i="42" s="1"/>
  <c r="F53" i="42" s="1"/>
  <c r="F55" i="42" s="1"/>
  <c r="BM20" i="42"/>
  <c r="BM26" i="42" s="1"/>
  <c r="BH20" i="42"/>
  <c r="BH26" i="42" s="1"/>
  <c r="AW19" i="42"/>
  <c r="CC12" i="42"/>
  <c r="CD12" i="42" s="1"/>
  <c r="CE12" i="42" s="1"/>
  <c r="BV12" i="42"/>
  <c r="BI12" i="42"/>
  <c r="BJ12" i="42" s="1"/>
  <c r="BK12" i="42" s="1"/>
  <c r="BB12" i="42"/>
  <c r="AO12" i="42"/>
  <c r="AP12" i="42" s="1"/>
  <c r="AQ12" i="42" s="1"/>
  <c r="AH12" i="42"/>
  <c r="W12" i="42"/>
  <c r="X12" i="42" s="1"/>
  <c r="BI11" i="42"/>
  <c r="BJ11" i="42" s="1"/>
  <c r="BK11" i="42" s="1"/>
  <c r="AA11" i="42"/>
  <c r="AB11" i="42" s="1"/>
  <c r="BJ7" i="42"/>
  <c r="BK7" i="42" s="1"/>
  <c r="AY7" i="42"/>
  <c r="AZ7" i="42" s="1"/>
  <c r="BA7" i="42" s="1"/>
  <c r="AW18" i="42"/>
  <c r="AH18" i="42"/>
  <c r="AC18" i="42"/>
  <c r="N18" i="42"/>
  <c r="CK15" i="42"/>
  <c r="CF15" i="42"/>
  <c r="BQ15" i="42"/>
  <c r="BL15" i="42"/>
  <c r="AW15" i="42"/>
  <c r="AR15" i="42"/>
  <c r="AC15" i="42"/>
  <c r="X15" i="42"/>
  <c r="BV13" i="42"/>
  <c r="U11" i="42"/>
  <c r="V11" i="42" s="1"/>
  <c r="W11" i="42" s="1"/>
  <c r="BB8" i="42"/>
  <c r="CD7" i="42"/>
  <c r="CE7" i="42" s="1"/>
  <c r="BS7" i="42"/>
  <c r="BT7" i="42" s="1"/>
  <c r="BU7" i="42" s="1"/>
  <c r="CF11" i="42"/>
  <c r="AW11" i="42"/>
  <c r="AM11" i="42"/>
  <c r="S11" i="42"/>
  <c r="BI10" i="42"/>
  <c r="BI47" i="45" s="1"/>
  <c r="AT10" i="42"/>
  <c r="AT47" i="45" s="1"/>
  <c r="AW9" i="42"/>
  <c r="AH8" i="42"/>
  <c r="CK13" i="42"/>
  <c r="CF13" i="42"/>
  <c r="BQ13" i="42"/>
  <c r="BL13" i="42"/>
  <c r="AW13" i="42"/>
  <c r="AR13" i="42"/>
  <c r="AC13" i="42"/>
  <c r="X13" i="42"/>
  <c r="AO10" i="42"/>
  <c r="AO47" i="45" s="1"/>
  <c r="Z10" i="42"/>
  <c r="Z47" i="45" s="1"/>
  <c r="AO9" i="42"/>
  <c r="AH9" i="42"/>
  <c r="U9" i="42"/>
  <c r="N9" i="42"/>
  <c r="N8" i="42"/>
  <c r="CA7" i="42"/>
  <c r="BG7" i="42"/>
  <c r="AM7" i="42"/>
  <c r="S7" i="42"/>
  <c r="BV11" i="42"/>
  <c r="AW8" i="42"/>
  <c r="AR8" i="42"/>
  <c r="AC8" i="42"/>
  <c r="X8" i="42"/>
  <c r="CA8" i="42"/>
  <c r="CF8" i="42"/>
  <c r="BQ8" i="42"/>
  <c r="BV8" i="42"/>
  <c r="O78" i="44" l="1"/>
  <c r="AM40" i="46"/>
  <c r="BB28" i="46"/>
  <c r="S52" i="47"/>
  <c r="CH157" i="47"/>
  <c r="AQ152" i="47"/>
  <c r="R62" i="47"/>
  <c r="O62" i="47"/>
  <c r="AY104" i="47"/>
  <c r="AC39" i="47"/>
  <c r="BD15" i="45"/>
  <c r="AP76" i="47"/>
  <c r="BQ10" i="46"/>
  <c r="X68" i="44"/>
  <c r="CN19" i="46"/>
  <c r="L62" i="47"/>
  <c r="CJ157" i="47"/>
  <c r="E122" i="47"/>
  <c r="CB158" i="47"/>
  <c r="BL72" i="47"/>
  <c r="AG73" i="43"/>
  <c r="AR77" i="44"/>
  <c r="BE15" i="45"/>
  <c r="AK15" i="45"/>
  <c r="AK18" i="45" s="1"/>
  <c r="L91" i="47"/>
  <c r="BG50" i="47"/>
  <c r="AB78" i="44"/>
  <c r="AZ78" i="44"/>
  <c r="BC35" i="46"/>
  <c r="BH35" i="46"/>
  <c r="BG27" i="43"/>
  <c r="BG31" i="46"/>
  <c r="L92" i="47"/>
  <c r="T151" i="47"/>
  <c r="AC117" i="47"/>
  <c r="BX41" i="46"/>
  <c r="BG38" i="46"/>
  <c r="CA33" i="46"/>
  <c r="L133" i="47"/>
  <c r="L104" i="47"/>
  <c r="BQ31" i="46"/>
  <c r="BL40" i="46"/>
  <c r="CC76" i="47"/>
  <c r="AQ112" i="47"/>
  <c r="AV46" i="45"/>
  <c r="AV55" i="45" s="1"/>
  <c r="AQ51" i="47"/>
  <c r="BB108" i="47"/>
  <c r="AU61" i="47"/>
  <c r="CK72" i="47"/>
  <c r="BY18" i="42"/>
  <c r="BY219" i="43" s="1"/>
  <c r="BZ219" i="43" s="1"/>
  <c r="AB72" i="43"/>
  <c r="AB73" i="43" s="1"/>
  <c r="AQ25" i="43"/>
  <c r="CH62" i="44"/>
  <c r="CH63" i="44" s="1"/>
  <c r="CH65" i="44" s="1"/>
  <c r="M61" i="44"/>
  <c r="Q15" i="45"/>
  <c r="BY15" i="45"/>
  <c r="BY18" i="45" s="1"/>
  <c r="BQ44" i="46"/>
  <c r="BQ45" i="46" s="1"/>
  <c r="BQ46" i="46" s="1"/>
  <c r="BL23" i="46"/>
  <c r="AV133" i="47"/>
  <c r="BO50" i="47"/>
  <c r="AQ61" i="47"/>
  <c r="AV15" i="45"/>
  <c r="BU35" i="46"/>
  <c r="BA41" i="46"/>
  <c r="BQ33" i="46"/>
  <c r="X45" i="47"/>
  <c r="D125" i="43"/>
  <c r="C46" i="45"/>
  <c r="C48" i="45" s="1"/>
  <c r="BX56" i="45"/>
  <c r="BB39" i="46"/>
  <c r="BO41" i="47"/>
  <c r="BT113" i="47"/>
  <c r="BX78" i="44"/>
  <c r="T15" i="45"/>
  <c r="AN52" i="47"/>
  <c r="AH73" i="47"/>
  <c r="AH165" i="43"/>
  <c r="AX73" i="44"/>
  <c r="BL39" i="46"/>
  <c r="BX46" i="45"/>
  <c r="BX48" i="45" s="1"/>
  <c r="AM52" i="46"/>
  <c r="AM54" i="46" s="1"/>
  <c r="AG95" i="47"/>
  <c r="AQ73" i="44"/>
  <c r="AQ12" i="45"/>
  <c r="AR12" i="45" s="1"/>
  <c r="AR78" i="44" s="1"/>
  <c r="O46" i="45"/>
  <c r="U78" i="44"/>
  <c r="AT39" i="46"/>
  <c r="CF28" i="46"/>
  <c r="CJ133" i="47"/>
  <c r="Y46" i="45"/>
  <c r="R35" i="46"/>
  <c r="AB28" i="46"/>
  <c r="BA35" i="46"/>
  <c r="E58" i="44"/>
  <c r="L61" i="44"/>
  <c r="AR27" i="45"/>
  <c r="AT38" i="46"/>
  <c r="BN35" i="46"/>
  <c r="BQ40" i="47"/>
  <c r="BM157" i="47"/>
  <c r="AI57" i="47"/>
  <c r="AN60" i="47"/>
  <c r="CD133" i="47"/>
  <c r="CL52" i="47"/>
  <c r="AE50" i="46"/>
  <c r="T60" i="47"/>
  <c r="BT54" i="42"/>
  <c r="AK10" i="42"/>
  <c r="AK47" i="45" s="1"/>
  <c r="AK48" i="45" s="1"/>
  <c r="CL64" i="44"/>
  <c r="X77" i="44"/>
  <c r="AR41" i="45"/>
  <c r="CC78" i="44"/>
  <c r="AW107" i="47"/>
  <c r="V62" i="47"/>
  <c r="AL41" i="47"/>
  <c r="BT78" i="44"/>
  <c r="AR107" i="47"/>
  <c r="AG62" i="47"/>
  <c r="AD38" i="46"/>
  <c r="AW23" i="46"/>
  <c r="AS35" i="46"/>
  <c r="AW10" i="46"/>
  <c r="BE46" i="45"/>
  <c r="BE55" i="45" s="1"/>
  <c r="BI78" i="44"/>
  <c r="M46" i="45"/>
  <c r="M55" i="45" s="1"/>
  <c r="U46" i="45"/>
  <c r="CA40" i="46"/>
  <c r="AQ38" i="46"/>
  <c r="BQ52" i="46"/>
  <c r="BQ53" i="46" s="1"/>
  <c r="BQ54" i="46" s="1"/>
  <c r="AM45" i="46"/>
  <c r="AE76" i="47"/>
  <c r="CJ89" i="47"/>
  <c r="BY113" i="47"/>
  <c r="BD62" i="47"/>
  <c r="BE62" i="47"/>
  <c r="AS57" i="47"/>
  <c r="AQ49" i="47"/>
  <c r="AN113" i="47"/>
  <c r="P123" i="47"/>
  <c r="AB46" i="45"/>
  <c r="AG62" i="45" s="1"/>
  <c r="CH123" i="47"/>
  <c r="BV39" i="47"/>
  <c r="CC104" i="47"/>
  <c r="BN60" i="47"/>
  <c r="AV41" i="47"/>
  <c r="BQ74" i="47"/>
  <c r="AR72" i="47"/>
  <c r="BY94" i="47"/>
  <c r="X39" i="47"/>
  <c r="W60" i="47"/>
  <c r="V60" i="47"/>
  <c r="CG158" i="47"/>
  <c r="BH46" i="45"/>
  <c r="BH48" i="45" s="1"/>
  <c r="S27" i="45"/>
  <c r="AB56" i="45"/>
  <c r="BI46" i="45"/>
  <c r="BI55" i="45" s="1"/>
  <c r="L56" i="45"/>
  <c r="CA48" i="46"/>
  <c r="AP35" i="46"/>
  <c r="BV31" i="46"/>
  <c r="CL158" i="47"/>
  <c r="CJ104" i="47"/>
  <c r="AV46" i="47"/>
  <c r="BC62" i="47"/>
  <c r="BG51" i="47"/>
  <c r="BG52" i="47" s="1"/>
  <c r="AQ50" i="47"/>
  <c r="AQ41" i="47"/>
  <c r="L78" i="44"/>
  <c r="CH113" i="47"/>
  <c r="CC89" i="47"/>
  <c r="AC107" i="47"/>
  <c r="BY89" i="47"/>
  <c r="X44" i="47"/>
  <c r="BW46" i="45"/>
  <c r="AW27" i="46"/>
  <c r="AW28" i="46" s="1"/>
  <c r="BF35" i="46"/>
  <c r="AH33" i="46"/>
  <c r="CL133" i="47"/>
  <c r="CJ90" i="47"/>
  <c r="BF62" i="47"/>
  <c r="AV112" i="47"/>
  <c r="AC44" i="47"/>
  <c r="L46" i="45"/>
  <c r="Q62" i="45" s="1"/>
  <c r="CC90" i="47"/>
  <c r="BU41" i="46"/>
  <c r="CD113" i="47"/>
  <c r="CG157" i="47"/>
  <c r="BY90" i="47"/>
  <c r="AW38" i="46"/>
  <c r="AW44" i="46"/>
  <c r="CH62" i="47"/>
  <c r="AZ46" i="45"/>
  <c r="BA69" i="45" s="1"/>
  <c r="CB15" i="45"/>
  <c r="CB18" i="45" s="1"/>
  <c r="AR44" i="47"/>
  <c r="AG51" i="47"/>
  <c r="AR149" i="47"/>
  <c r="AL112" i="47"/>
  <c r="AQ76" i="47"/>
  <c r="AL46" i="47"/>
  <c r="AR73" i="47"/>
  <c r="AG49" i="47"/>
  <c r="AI76" i="47"/>
  <c r="AI46" i="46"/>
  <c r="BY95" i="47"/>
  <c r="AO78" i="44"/>
  <c r="AI41" i="46"/>
  <c r="CK49" i="47"/>
  <c r="AG104" i="47"/>
  <c r="AP60" i="47"/>
  <c r="AG57" i="47"/>
  <c r="AR103" i="47"/>
  <c r="AG54" i="46"/>
  <c r="CC146" i="47"/>
  <c r="CC158" i="47" s="1"/>
  <c r="AO60" i="47"/>
  <c r="AR98" i="47"/>
  <c r="AW68" i="44"/>
  <c r="CL65" i="44"/>
  <c r="AZ35" i="46"/>
  <c r="Y52" i="47"/>
  <c r="S103" i="47"/>
  <c r="CB52" i="47"/>
  <c r="S41" i="47"/>
  <c r="Y46" i="46"/>
  <c r="D91" i="47"/>
  <c r="D92" i="47"/>
  <c r="AW32" i="46"/>
  <c r="BB39" i="47"/>
  <c r="M62" i="47"/>
  <c r="N41" i="47"/>
  <c r="S46" i="47"/>
  <c r="CJ158" i="47"/>
  <c r="Y15" i="45"/>
  <c r="Y18" i="45" s="1"/>
  <c r="Y83" i="44" s="1"/>
  <c r="CO30" i="44"/>
  <c r="CO56" i="44" s="1"/>
  <c r="CO62" i="44" s="1"/>
  <c r="AU60" i="47"/>
  <c r="AW44" i="47"/>
  <c r="G27" i="43"/>
  <c r="AN50" i="46"/>
  <c r="D122" i="47"/>
  <c r="K95" i="47"/>
  <c r="CA28" i="46"/>
  <c r="N52" i="47"/>
  <c r="CK156" i="47"/>
  <c r="Y61" i="47"/>
  <c r="AT60" i="47"/>
  <c r="BB27" i="43"/>
  <c r="AW39" i="47"/>
  <c r="AG76" i="47"/>
  <c r="AI31" i="46"/>
  <c r="CL157" i="47"/>
  <c r="BZ61" i="44"/>
  <c r="AT112" i="47"/>
  <c r="AW98" i="47"/>
  <c r="AW103" i="47"/>
  <c r="K62" i="47"/>
  <c r="N46" i="47"/>
  <c r="AA61" i="47"/>
  <c r="AS46" i="45"/>
  <c r="AS55" i="45" s="1"/>
  <c r="AV60" i="47"/>
  <c r="AU76" i="47"/>
  <c r="AS41" i="46"/>
  <c r="BV28" i="46"/>
  <c r="AK76" i="47"/>
  <c r="BT52" i="47"/>
  <c r="AH15" i="46"/>
  <c r="AH44" i="46" s="1"/>
  <c r="AH24" i="43"/>
  <c r="X46" i="47"/>
  <c r="BL38" i="46"/>
  <c r="BL41" i="46" s="1"/>
  <c r="AG46" i="47"/>
  <c r="CK38" i="46"/>
  <c r="BB32" i="46"/>
  <c r="AR68" i="44"/>
  <c r="AC77" i="44"/>
  <c r="C15" i="45"/>
  <c r="C18" i="45" s="1"/>
  <c r="CC46" i="45"/>
  <c r="CK31" i="46"/>
  <c r="CA32" i="46"/>
  <c r="BQ23" i="46"/>
  <c r="BQ35" i="46" s="1"/>
  <c r="AQ40" i="46"/>
  <c r="BV33" i="46"/>
  <c r="BL44" i="46"/>
  <c r="BL45" i="46" s="1"/>
  <c r="BL46" i="46" s="1"/>
  <c r="BY157" i="47"/>
  <c r="BO104" i="47"/>
  <c r="BO51" i="47"/>
  <c r="BT46" i="47"/>
  <c r="BP57" i="47"/>
  <c r="CG62" i="47"/>
  <c r="CK51" i="47"/>
  <c r="BR157" i="47"/>
  <c r="AI89" i="47"/>
  <c r="AY94" i="47"/>
  <c r="BQ98" i="47"/>
  <c r="BQ182" i="47" s="1"/>
  <c r="T62" i="47"/>
  <c r="AN123" i="47"/>
  <c r="AK62" i="47"/>
  <c r="BV69" i="47"/>
  <c r="BT62" i="47"/>
  <c r="AB103" i="47"/>
  <c r="BM41" i="47"/>
  <c r="D78" i="44"/>
  <c r="CJ15" i="45"/>
  <c r="CJ18" i="45" s="1"/>
  <c r="CJ83" i="44" s="1"/>
  <c r="H78" i="44"/>
  <c r="V61" i="47"/>
  <c r="BQ44" i="47"/>
  <c r="W68" i="44"/>
  <c r="CL35" i="46"/>
  <c r="AK41" i="46"/>
  <c r="U52" i="47"/>
  <c r="CL95" i="47"/>
  <c r="AC68" i="44"/>
  <c r="E64" i="44"/>
  <c r="AW77" i="44"/>
  <c r="AH54" i="44"/>
  <c r="BC46" i="45"/>
  <c r="BC55" i="45" s="1"/>
  <c r="AR28" i="46"/>
  <c r="BB48" i="46"/>
  <c r="BL31" i="46"/>
  <c r="CF38" i="46"/>
  <c r="X49" i="47"/>
  <c r="CB113" i="47"/>
  <c r="BV107" i="47"/>
  <c r="BO57" i="47"/>
  <c r="BO46" i="47"/>
  <c r="BO112" i="47"/>
  <c r="W62" i="47"/>
  <c r="CJ62" i="47"/>
  <c r="CI62" i="47"/>
  <c r="AI133" i="47"/>
  <c r="X41" i="47"/>
  <c r="AJ133" i="47"/>
  <c r="BM57" i="47"/>
  <c r="BS62" i="47"/>
  <c r="T144" i="47"/>
  <c r="T146" i="47" s="1"/>
  <c r="T152" i="47" s="1"/>
  <c r="X51" i="47"/>
  <c r="BV45" i="47"/>
  <c r="BR62" i="47"/>
  <c r="BV49" i="47"/>
  <c r="D46" i="45"/>
  <c r="D55" i="45" s="1"/>
  <c r="H46" i="45"/>
  <c r="E78" i="44"/>
  <c r="W61" i="47"/>
  <c r="BP60" i="47"/>
  <c r="X99" i="47"/>
  <c r="BV44" i="47"/>
  <c r="CV29" i="47"/>
  <c r="CW31" i="47" s="1"/>
  <c r="BR46" i="47"/>
  <c r="W77" i="44"/>
  <c r="BG32" i="46"/>
  <c r="BA52" i="47"/>
  <c r="CG41" i="46"/>
  <c r="BQ39" i="47"/>
  <c r="BM35" i="46"/>
  <c r="BR65" i="44"/>
  <c r="AA59" i="44"/>
  <c r="AH27" i="45"/>
  <c r="BG12" i="45"/>
  <c r="BG46" i="45" s="1"/>
  <c r="AE54" i="46"/>
  <c r="CB41" i="46"/>
  <c r="AM28" i="46"/>
  <c r="BQ40" i="46"/>
  <c r="CB104" i="47"/>
  <c r="BO152" i="47"/>
  <c r="BO49" i="47"/>
  <c r="BM61" i="47"/>
  <c r="CK69" i="47"/>
  <c r="CK50" i="47"/>
  <c r="BZ157" i="47"/>
  <c r="AI90" i="47"/>
  <c r="BQ99" i="47"/>
  <c r="BQ183" i="47" s="1"/>
  <c r="CF72" i="47"/>
  <c r="BQ107" i="47"/>
  <c r="BR112" i="47"/>
  <c r="BV50" i="47"/>
  <c r="BO60" i="47"/>
  <c r="BE41" i="46"/>
  <c r="AK35" i="46"/>
  <c r="BS76" i="47"/>
  <c r="BN52" i="47"/>
  <c r="AG152" i="47"/>
  <c r="W76" i="47"/>
  <c r="AG112" i="47"/>
  <c r="BL23" i="42"/>
  <c r="AR69" i="47"/>
  <c r="AC69" i="47"/>
  <c r="BC95" i="47"/>
  <c r="BP158" i="47"/>
  <c r="BK152" i="47"/>
  <c r="AH69" i="47"/>
  <c r="AH76" i="47" s="1"/>
  <c r="CE124" i="43"/>
  <c r="CF124" i="43" s="1"/>
  <c r="CG123" i="43" s="1"/>
  <c r="CG124" i="43" s="1"/>
  <c r="BT56" i="45"/>
  <c r="BH15" i="45"/>
  <c r="AO46" i="45"/>
  <c r="AO55" i="45" s="1"/>
  <c r="BW15" i="45"/>
  <c r="BW18" i="45" s="1"/>
  <c r="AM23" i="46"/>
  <c r="CF33" i="46"/>
  <c r="CF23" i="46"/>
  <c r="D94" i="47"/>
  <c r="CB152" i="47"/>
  <c r="BQ72" i="47"/>
  <c r="D104" i="47"/>
  <c r="D113" i="47"/>
  <c r="AC72" i="47"/>
  <c r="AJ113" i="47"/>
  <c r="AG41" i="47"/>
  <c r="AY46" i="47"/>
  <c r="AY41" i="47"/>
  <c r="AL62" i="47"/>
  <c r="AM51" i="47"/>
  <c r="AO61" i="47"/>
  <c r="AR40" i="47"/>
  <c r="BU157" i="47"/>
  <c r="AB57" i="47"/>
  <c r="AB41" i="47"/>
  <c r="AB112" i="47"/>
  <c r="AR108" i="47"/>
  <c r="AH74" i="47"/>
  <c r="BT46" i="45"/>
  <c r="BT55" i="45" s="1"/>
  <c r="CG46" i="45"/>
  <c r="CG62" i="45" s="1"/>
  <c r="I78" i="44"/>
  <c r="BM48" i="45"/>
  <c r="BM84" i="44" s="1"/>
  <c r="CD95" i="47"/>
  <c r="BQ9" i="42"/>
  <c r="AZ54" i="42"/>
  <c r="AX64" i="44"/>
  <c r="BG73" i="44"/>
  <c r="CF39" i="46"/>
  <c r="BV23" i="46"/>
  <c r="AY112" i="47"/>
  <c r="X69" i="47"/>
  <c r="D93" i="47"/>
  <c r="BG72" i="47"/>
  <c r="BT95" i="47"/>
  <c r="AU57" i="47"/>
  <c r="N112" i="47"/>
  <c r="AJ62" i="47"/>
  <c r="AM49" i="47"/>
  <c r="AN61" i="47"/>
  <c r="AR26" i="47"/>
  <c r="AQ62" i="47" s="1"/>
  <c r="AD57" i="47"/>
  <c r="AB50" i="47"/>
  <c r="AR99" i="47"/>
  <c r="AT41" i="47"/>
  <c r="CG15" i="45"/>
  <c r="CG56" i="45" s="1"/>
  <c r="I15" i="45"/>
  <c r="I56" i="45" s="1"/>
  <c r="E113" i="47"/>
  <c r="BY52" i="47"/>
  <c r="Z46" i="46"/>
  <c r="R76" i="47"/>
  <c r="AA50" i="46"/>
  <c r="AK95" i="47"/>
  <c r="BL28" i="46"/>
  <c r="CG52" i="47"/>
  <c r="AM15" i="42"/>
  <c r="BB73" i="44"/>
  <c r="BO39" i="46"/>
  <c r="CJ39" i="46"/>
  <c r="CJ41" i="46" s="1"/>
  <c r="AB49" i="47"/>
  <c r="AW72" i="47"/>
  <c r="AP61" i="47"/>
  <c r="AB51" i="47"/>
  <c r="AB46" i="47"/>
  <c r="BP157" i="47"/>
  <c r="AT104" i="47"/>
  <c r="AC10" i="46"/>
  <c r="AM33" i="46"/>
  <c r="AV52" i="47"/>
  <c r="AY113" i="47"/>
  <c r="AC23" i="45"/>
  <c r="AC27" i="45"/>
  <c r="BR152" i="47"/>
  <c r="BW158" i="47"/>
  <c r="AH72" i="47"/>
  <c r="AQ104" i="47"/>
  <c r="AZ133" i="47"/>
  <c r="AY123" i="47"/>
  <c r="AY89" i="47"/>
  <c r="I123" i="47"/>
  <c r="E15" i="45"/>
  <c r="E18" i="45" s="1"/>
  <c r="E85" i="44" s="1"/>
  <c r="U61" i="47"/>
  <c r="M133" i="47"/>
  <c r="AI123" i="47"/>
  <c r="Z27" i="43"/>
  <c r="AM72" i="47"/>
  <c r="AO41" i="46"/>
  <c r="BX157" i="47"/>
  <c r="CI95" i="47"/>
  <c r="AC74" i="47"/>
  <c r="I49" i="42"/>
  <c r="AV113" i="47"/>
  <c r="BH133" i="47"/>
  <c r="AH51" i="47"/>
  <c r="BI133" i="47"/>
  <c r="BM123" i="47"/>
  <c r="X108" i="47"/>
  <c r="CK26" i="46"/>
  <c r="CK28" i="46" s="1"/>
  <c r="AD76" i="47"/>
  <c r="X50" i="47"/>
  <c r="AF52" i="47"/>
  <c r="BA45" i="46"/>
  <c r="BA46" i="46" s="1"/>
  <c r="AH27" i="42"/>
  <c r="AH54" i="42" s="1"/>
  <c r="BO27" i="42"/>
  <c r="BO35" i="42" s="1"/>
  <c r="AC44" i="42"/>
  <c r="CG49" i="42"/>
  <c r="AL41" i="46"/>
  <c r="CD35" i="46"/>
  <c r="AI33" i="46"/>
  <c r="D123" i="47"/>
  <c r="AW76" i="47"/>
  <c r="AE62" i="47"/>
  <c r="BM113" i="47"/>
  <c r="AY133" i="47"/>
  <c r="T61" i="47"/>
  <c r="BZ52" i="47"/>
  <c r="BC52" i="47"/>
  <c r="X143" i="47"/>
  <c r="X150" i="47" s="1"/>
  <c r="AD53" i="46"/>
  <c r="AD54" i="46" s="1"/>
  <c r="Y50" i="46"/>
  <c r="BW41" i="46"/>
  <c r="AF76" i="47"/>
  <c r="AF54" i="46"/>
  <c r="AB50" i="46"/>
  <c r="AK54" i="46"/>
  <c r="BN35" i="42"/>
  <c r="AH46" i="42"/>
  <c r="BQ38" i="46"/>
  <c r="AJ46" i="46"/>
  <c r="BI52" i="47"/>
  <c r="AB23" i="45"/>
  <c r="AB27" i="45"/>
  <c r="BA53" i="46"/>
  <c r="BA54" i="46" s="1"/>
  <c r="M58" i="44"/>
  <c r="AL54" i="46"/>
  <c r="BJ41" i="46"/>
  <c r="BQ48" i="46"/>
  <c r="BQ49" i="46" s="1"/>
  <c r="BQ50" i="46" s="1"/>
  <c r="BD41" i="46"/>
  <c r="AP50" i="46"/>
  <c r="AN41" i="46"/>
  <c r="AK52" i="47"/>
  <c r="BK49" i="46"/>
  <c r="BK50" i="46" s="1"/>
  <c r="BY76" i="47"/>
  <c r="AP52" i="47"/>
  <c r="AF50" i="46"/>
  <c r="BU95" i="47"/>
  <c r="BS45" i="42"/>
  <c r="K45" i="42"/>
  <c r="CE45" i="42"/>
  <c r="AW39" i="46"/>
  <c r="AF41" i="46"/>
  <c r="CB78" i="44"/>
  <c r="CJ52" i="47"/>
  <c r="CN17" i="46"/>
  <c r="CN16" i="46"/>
  <c r="CD45" i="46"/>
  <c r="CD46" i="46" s="1"/>
  <c r="AD45" i="46"/>
  <c r="AD44" i="46"/>
  <c r="U89" i="47"/>
  <c r="U92" i="47"/>
  <c r="U93" i="47"/>
  <c r="U94" i="47"/>
  <c r="U91" i="47"/>
  <c r="U90" i="47"/>
  <c r="AP41" i="46"/>
  <c r="CD157" i="47"/>
  <c r="AB54" i="46"/>
  <c r="AU49" i="46"/>
  <c r="AU50" i="46" s="1"/>
  <c r="CH49" i="46"/>
  <c r="CH50" i="46" s="1"/>
  <c r="P20" i="42"/>
  <c r="P26" i="42" s="1"/>
  <c r="P53" i="42" s="1"/>
  <c r="P55" i="42" s="1"/>
  <c r="P57" i="42" s="1"/>
  <c r="N73" i="43"/>
  <c r="AA61" i="44"/>
  <c r="BC15" i="45"/>
  <c r="BC18" i="45" s="1"/>
  <c r="BC31" i="45" s="1"/>
  <c r="AX35" i="46"/>
  <c r="AM32" i="46"/>
  <c r="CG123" i="47"/>
  <c r="CB90" i="47"/>
  <c r="AH50" i="47"/>
  <c r="AH45" i="47"/>
  <c r="E123" i="47"/>
  <c r="BK123" i="47"/>
  <c r="AH108" i="47"/>
  <c r="AH90" i="47"/>
  <c r="AJ123" i="47"/>
  <c r="AF62" i="47"/>
  <c r="BT158" i="47"/>
  <c r="BH123" i="47"/>
  <c r="BH89" i="47"/>
  <c r="P104" i="47"/>
  <c r="N121" i="47"/>
  <c r="AC45" i="47"/>
  <c r="AC40" i="47"/>
  <c r="AM46" i="47"/>
  <c r="AC26" i="47"/>
  <c r="AA62" i="47" s="1"/>
  <c r="CB123" i="47"/>
  <c r="AC150" i="47"/>
  <c r="AS52" i="47"/>
  <c r="CC52" i="47"/>
  <c r="BR52" i="47"/>
  <c r="AD52" i="47"/>
  <c r="S112" i="47"/>
  <c r="AO46" i="46"/>
  <c r="BH41" i="46"/>
  <c r="CG45" i="46"/>
  <c r="CG46" i="46" s="1"/>
  <c r="BM45" i="46"/>
  <c r="BM46" i="46" s="1"/>
  <c r="BE52" i="47"/>
  <c r="CI146" i="47"/>
  <c r="CI157" i="47"/>
  <c r="BM78" i="44"/>
  <c r="BM15" i="45"/>
  <c r="R72" i="43"/>
  <c r="R73" i="43" s="1"/>
  <c r="S73" i="43"/>
  <c r="BH45" i="46"/>
  <c r="BH46" i="46" s="1"/>
  <c r="AH98" i="47"/>
  <c r="AM39" i="47"/>
  <c r="AH16" i="42"/>
  <c r="AH17" i="42"/>
  <c r="CF40" i="42"/>
  <c r="AW7" i="42"/>
  <c r="M73" i="43"/>
  <c r="E65" i="44"/>
  <c r="BV40" i="46"/>
  <c r="BG23" i="46"/>
  <c r="BG249" i="43" s="1"/>
  <c r="BG248" i="43" s="1"/>
  <c r="BF41" i="46"/>
  <c r="CG113" i="47"/>
  <c r="AH39" i="47"/>
  <c r="BK113" i="47"/>
  <c r="CB133" i="47"/>
  <c r="CE52" i="47"/>
  <c r="BB40" i="47"/>
  <c r="BK62" i="47"/>
  <c r="AD62" i="47"/>
  <c r="AH49" i="47"/>
  <c r="BH113" i="47"/>
  <c r="AH107" i="47"/>
  <c r="N103" i="47"/>
  <c r="AC103" i="47"/>
  <c r="AC108" i="47"/>
  <c r="AB61" i="47"/>
  <c r="AM41" i="47"/>
  <c r="AH44" i="47"/>
  <c r="CH95" i="47"/>
  <c r="BS104" i="47"/>
  <c r="AG60" i="47"/>
  <c r="AF60" i="47"/>
  <c r="AS46" i="46"/>
  <c r="BR41" i="47"/>
  <c r="AS50" i="46"/>
  <c r="K27" i="43"/>
  <c r="K24" i="43"/>
  <c r="BM49" i="46"/>
  <c r="BM50" i="46" s="1"/>
  <c r="BT157" i="47"/>
  <c r="CC41" i="46"/>
  <c r="CM17" i="46"/>
  <c r="CM16" i="46"/>
  <c r="BA49" i="46"/>
  <c r="BA50" i="46" s="1"/>
  <c r="X116" i="47"/>
  <c r="X142" i="47"/>
  <c r="X107" i="47"/>
  <c r="X98" i="47"/>
  <c r="CH35" i="42"/>
  <c r="R45" i="42"/>
  <c r="AM46" i="42"/>
  <c r="CD41" i="46"/>
  <c r="AH49" i="46"/>
  <c r="AH50" i="46" s="1"/>
  <c r="BL33" i="46"/>
  <c r="AT35" i="46"/>
  <c r="AC44" i="46"/>
  <c r="AC46" i="46" s="1"/>
  <c r="CC133" i="47"/>
  <c r="CB89" i="47"/>
  <c r="CB95" i="47" s="1"/>
  <c r="AH40" i="47"/>
  <c r="AQ113" i="47"/>
  <c r="AC116" i="47"/>
  <c r="AC99" i="47"/>
  <c r="Z52" i="47"/>
  <c r="AH149" i="47"/>
  <c r="AM107" i="47"/>
  <c r="AD60" i="47"/>
  <c r="CE158" i="47"/>
  <c r="BY41" i="46"/>
  <c r="BC41" i="46"/>
  <c r="BI41" i="46"/>
  <c r="Z54" i="46"/>
  <c r="BI49" i="46"/>
  <c r="BI50" i="46" s="1"/>
  <c r="BF52" i="47"/>
  <c r="AT46" i="46"/>
  <c r="BJ146" i="47"/>
  <c r="BO157" i="47"/>
  <c r="CC49" i="46"/>
  <c r="CC50" i="46" s="1"/>
  <c r="BC49" i="46"/>
  <c r="BC50" i="46" s="1"/>
  <c r="BC76" i="47"/>
  <c r="CJ49" i="46"/>
  <c r="CJ50" i="46" s="1"/>
  <c r="AD24" i="43"/>
  <c r="AD27" i="43"/>
  <c r="CL53" i="46"/>
  <c r="CL54" i="46" s="1"/>
  <c r="Q49" i="44"/>
  <c r="P62" i="44"/>
  <c r="P63" i="44" s="1"/>
  <c r="BM38" i="46"/>
  <c r="BM39" i="46"/>
  <c r="BM40" i="46"/>
  <c r="AD32" i="46"/>
  <c r="AD39" i="46"/>
  <c r="AD48" i="46"/>
  <c r="CF53" i="46"/>
  <c r="CF54" i="46" s="1"/>
  <c r="BY20" i="42"/>
  <c r="AP27" i="42"/>
  <c r="AP35" i="42" s="1"/>
  <c r="AW29" i="42"/>
  <c r="AW30" i="42"/>
  <c r="BQ31" i="42"/>
  <c r="AE45" i="42"/>
  <c r="CK30" i="42"/>
  <c r="CN42" i="42"/>
  <c r="CN45" i="42" s="1"/>
  <c r="CN49" i="42" s="1"/>
  <c r="Q59" i="44"/>
  <c r="BY61" i="44"/>
  <c r="AH64" i="44"/>
  <c r="CN34" i="45"/>
  <c r="CN23" i="45" s="1"/>
  <c r="AZ41" i="46"/>
  <c r="Z50" i="46"/>
  <c r="CA39" i="46"/>
  <c r="AQ54" i="46"/>
  <c r="AE46" i="46"/>
  <c r="BG48" i="46"/>
  <c r="BG49" i="46" s="1"/>
  <c r="BG50" i="46" s="1"/>
  <c r="BV39" i="46"/>
  <c r="BO35" i="46"/>
  <c r="CK39" i="46"/>
  <c r="W35" i="46"/>
  <c r="AR49" i="46"/>
  <c r="AR50" i="46" s="1"/>
  <c r="BQ26" i="47"/>
  <c r="BQ51" i="47" s="1"/>
  <c r="BP61" i="47"/>
  <c r="N94" i="47"/>
  <c r="BV108" i="47"/>
  <c r="BQ103" i="47"/>
  <c r="BQ184" i="47" s="1"/>
  <c r="BB45" i="47"/>
  <c r="AZ123" i="47"/>
  <c r="P113" i="47"/>
  <c r="U123" i="47"/>
  <c r="S121" i="47"/>
  <c r="S69" i="47"/>
  <c r="S76" i="47" s="1"/>
  <c r="AW150" i="47"/>
  <c r="AJ49" i="44"/>
  <c r="AI62" i="44"/>
  <c r="AI63" i="44" s="1"/>
  <c r="AI65" i="44" s="1"/>
  <c r="AA54" i="46"/>
  <c r="CK48" i="46"/>
  <c r="BW76" i="47"/>
  <c r="O95" i="47"/>
  <c r="N22" i="43"/>
  <c r="N32" i="43" s="1"/>
  <c r="N25" i="43"/>
  <c r="N20" i="43"/>
  <c r="AZ53" i="46"/>
  <c r="AZ54" i="46" s="1"/>
  <c r="BN49" i="44"/>
  <c r="BM62" i="44"/>
  <c r="BM63" i="44" s="1"/>
  <c r="AH26" i="46"/>
  <c r="AH28" i="46" s="1"/>
  <c r="W151" i="47"/>
  <c r="AX45" i="46"/>
  <c r="AX46" i="46" s="1"/>
  <c r="AT76" i="47"/>
  <c r="AW99" i="47"/>
  <c r="AW26" i="47"/>
  <c r="AW50" i="47" s="1"/>
  <c r="AW40" i="47"/>
  <c r="CB62" i="44"/>
  <c r="CC49" i="44"/>
  <c r="AO35" i="42"/>
  <c r="BV37" i="42"/>
  <c r="N46" i="42"/>
  <c r="S43" i="42"/>
  <c r="R20" i="42"/>
  <c r="CA27" i="43"/>
  <c r="AB145" i="47"/>
  <c r="AB146" i="47" s="1"/>
  <c r="AB152" i="47" s="1"/>
  <c r="AB122" i="47"/>
  <c r="AB132" i="47"/>
  <c r="AG122" i="47"/>
  <c r="AD132" i="47"/>
  <c r="AC85" i="47"/>
  <c r="AC86" i="47" s="1"/>
  <c r="CC58" i="44"/>
  <c r="CO35" i="45"/>
  <c r="CP35" i="45" s="1"/>
  <c r="CP27" i="45" s="1"/>
  <c r="CA73" i="44"/>
  <c r="AQ41" i="46"/>
  <c r="BG39" i="46"/>
  <c r="BN41" i="46"/>
  <c r="AY35" i="46"/>
  <c r="AP54" i="46"/>
  <c r="BS35" i="46"/>
  <c r="AM38" i="46"/>
  <c r="CH41" i="46"/>
  <c r="BL32" i="46"/>
  <c r="BQ45" i="47"/>
  <c r="BX52" i="47"/>
  <c r="AI113" i="47"/>
  <c r="AU52" i="47"/>
  <c r="AZ52" i="47"/>
  <c r="P91" i="47"/>
  <c r="U113" i="47"/>
  <c r="AB76" i="47"/>
  <c r="S86" i="47"/>
  <c r="AM73" i="47"/>
  <c r="AS61" i="47"/>
  <c r="AS62" i="44"/>
  <c r="AS63" i="44" s="1"/>
  <c r="AT49" i="44"/>
  <c r="X73" i="47"/>
  <c r="CO18" i="46"/>
  <c r="CJ32" i="46"/>
  <c r="CJ23" i="46"/>
  <c r="AT51" i="47"/>
  <c r="AT152" i="47"/>
  <c r="AT49" i="47"/>
  <c r="AT46" i="47"/>
  <c r="AT57" i="47"/>
  <c r="BM46" i="47"/>
  <c r="BM51" i="47"/>
  <c r="BN57" i="47"/>
  <c r="AD23" i="46"/>
  <c r="AD35" i="46" s="1"/>
  <c r="BJ53" i="46"/>
  <c r="BJ54" i="46" s="1"/>
  <c r="BW49" i="46"/>
  <c r="BW50" i="46" s="1"/>
  <c r="CO21" i="46"/>
  <c r="CJ33" i="46"/>
  <c r="CJ52" i="46"/>
  <c r="BI49" i="44"/>
  <c r="BH62" i="44"/>
  <c r="BT49" i="46"/>
  <c r="BT50" i="46" s="1"/>
  <c r="BK76" i="47"/>
  <c r="BM50" i="47"/>
  <c r="AD49" i="46"/>
  <c r="AD28" i="46"/>
  <c r="BT49" i="44"/>
  <c r="BS62" i="44"/>
  <c r="BS63" i="44" s="1"/>
  <c r="BS65" i="44" s="1"/>
  <c r="AH19" i="42"/>
  <c r="AG38" i="46"/>
  <c r="AG39" i="46"/>
  <c r="AG40" i="46"/>
  <c r="BP45" i="46"/>
  <c r="BP46" i="46" s="1"/>
  <c r="BB16" i="42"/>
  <c r="E49" i="42"/>
  <c r="BZ20" i="42"/>
  <c r="N32" i="42"/>
  <c r="S31" i="42"/>
  <c r="CK33" i="42"/>
  <c r="BV44" i="42"/>
  <c r="CB57" i="42"/>
  <c r="AH44" i="42"/>
  <c r="AC34" i="42"/>
  <c r="BY59" i="44"/>
  <c r="BL73" i="44"/>
  <c r="BZ41" i="46"/>
  <c r="CK23" i="46"/>
  <c r="AH39" i="46"/>
  <c r="AI54" i="46"/>
  <c r="AL50" i="46"/>
  <c r="BB49" i="47"/>
  <c r="AU113" i="47"/>
  <c r="BP52" i="47"/>
  <c r="BN61" i="47"/>
  <c r="BO61" i="47"/>
  <c r="BQ108" i="47"/>
  <c r="P94" i="47"/>
  <c r="P133" i="47"/>
  <c r="P93" i="47"/>
  <c r="AW45" i="47"/>
  <c r="AW108" i="47"/>
  <c r="AJ52" i="47"/>
  <c r="BO95" i="47"/>
  <c r="AT61" i="47"/>
  <c r="BO53" i="46"/>
  <c r="BO54" i="46" s="1"/>
  <c r="BH94" i="47"/>
  <c r="BH90" i="47"/>
  <c r="S20" i="43"/>
  <c r="S22" i="43"/>
  <c r="S32" i="43" s="1"/>
  <c r="S25" i="43"/>
  <c r="Z49" i="44"/>
  <c r="Y62" i="44"/>
  <c r="Y63" i="44" s="1"/>
  <c r="BE49" i="46"/>
  <c r="BE50" i="46" s="1"/>
  <c r="BM112" i="47"/>
  <c r="BM28" i="46"/>
  <c r="BQ26" i="46"/>
  <c r="BQ28" i="46" s="1"/>
  <c r="BX49" i="44"/>
  <c r="BW62" i="44"/>
  <c r="AD33" i="46"/>
  <c r="AD40" i="46"/>
  <c r="T62" i="44"/>
  <c r="U49" i="44"/>
  <c r="W144" i="47"/>
  <c r="W146" i="47" s="1"/>
  <c r="W152" i="47" s="1"/>
  <c r="BV24" i="43"/>
  <c r="BV27" i="43"/>
  <c r="BD49" i="44"/>
  <c r="BC62" i="44"/>
  <c r="BC63" i="44" s="1"/>
  <c r="AX41" i="46"/>
  <c r="AX53" i="46"/>
  <c r="AX54" i="46" s="1"/>
  <c r="BV73" i="44"/>
  <c r="AM73" i="44"/>
  <c r="CY31" i="47"/>
  <c r="CX31" i="47"/>
  <c r="W113" i="47"/>
  <c r="AY52" i="47"/>
  <c r="AA52" i="47"/>
  <c r="Y94" i="47"/>
  <c r="Y90" i="47"/>
  <c r="Y104" i="47"/>
  <c r="Y89" i="47"/>
  <c r="E104" i="47"/>
  <c r="E94" i="47"/>
  <c r="E93" i="47"/>
  <c r="E91" i="47"/>
  <c r="E92" i="47"/>
  <c r="CE157" i="47"/>
  <c r="W95" i="47"/>
  <c r="AQ89" i="47"/>
  <c r="AQ123" i="47"/>
  <c r="AQ133" i="47"/>
  <c r="AQ90" i="47"/>
  <c r="AQ94" i="47"/>
  <c r="CG104" i="47"/>
  <c r="CG89" i="47"/>
  <c r="CG90" i="47"/>
  <c r="CG94" i="47"/>
  <c r="CL113" i="47"/>
  <c r="CL123" i="47"/>
  <c r="BG46" i="47"/>
  <c r="BK52" i="47"/>
  <c r="AE89" i="47"/>
  <c r="AE133" i="47"/>
  <c r="AE94" i="47"/>
  <c r="AE90" i="47"/>
  <c r="BU52" i="47"/>
  <c r="BI95" i="47"/>
  <c r="BJ52" i="47"/>
  <c r="CH52" i="47"/>
  <c r="BM94" i="47"/>
  <c r="BM104" i="47"/>
  <c r="BM89" i="47"/>
  <c r="BM90" i="47"/>
  <c r="CC95" i="47"/>
  <c r="M91" i="47"/>
  <c r="M94" i="47"/>
  <c r="M104" i="47"/>
  <c r="M93" i="47"/>
  <c r="M92" i="47"/>
  <c r="AD89" i="47"/>
  <c r="AD90" i="47"/>
  <c r="AD104" i="47"/>
  <c r="AD94" i="47"/>
  <c r="AD113" i="47"/>
  <c r="AD123" i="47"/>
  <c r="AU123" i="47"/>
  <c r="AU133" i="47"/>
  <c r="AU104" i="47"/>
  <c r="AU94" i="47"/>
  <c r="AU89" i="47"/>
  <c r="AU90" i="47"/>
  <c r="AT95" i="47"/>
  <c r="CD52" i="47"/>
  <c r="AL89" i="47"/>
  <c r="AL90" i="47"/>
  <c r="AL123" i="47"/>
  <c r="AL133" i="47"/>
  <c r="AL104" i="47"/>
  <c r="AL113" i="47"/>
  <c r="AL94" i="47"/>
  <c r="AL52" i="47"/>
  <c r="BS90" i="47"/>
  <c r="BS89" i="47"/>
  <c r="BS94" i="47"/>
  <c r="L95" i="47"/>
  <c r="AN95" i="47"/>
  <c r="H95" i="47"/>
  <c r="AP89" i="47"/>
  <c r="AP104" i="47"/>
  <c r="AP113" i="47"/>
  <c r="AP90" i="47"/>
  <c r="AP123" i="47"/>
  <c r="AP94" i="47"/>
  <c r="CI52" i="47"/>
  <c r="O133" i="47"/>
  <c r="I91" i="47"/>
  <c r="I94" i="47"/>
  <c r="I93" i="47"/>
  <c r="I92" i="47"/>
  <c r="I104" i="47"/>
  <c r="AX52" i="47"/>
  <c r="AL67" i="47"/>
  <c r="AL76" i="47"/>
  <c r="AZ49" i="44"/>
  <c r="AY62" i="44"/>
  <c r="D65" i="44"/>
  <c r="D64" i="44"/>
  <c r="O58" i="44"/>
  <c r="O59" i="44"/>
  <c r="AN63" i="44"/>
  <c r="AO59" i="44"/>
  <c r="AO61" i="44"/>
  <c r="AO58" i="44"/>
  <c r="AR64" i="44"/>
  <c r="AR65" i="44"/>
  <c r="AE61" i="44"/>
  <c r="AE58" i="44"/>
  <c r="AE59" i="44"/>
  <c r="AS61" i="44"/>
  <c r="AS58" i="44"/>
  <c r="AP49" i="44"/>
  <c r="AO62" i="44"/>
  <c r="CP30" i="44"/>
  <c r="BO61" i="44"/>
  <c r="BO58" i="44"/>
  <c r="BO59" i="44"/>
  <c r="AN58" i="44"/>
  <c r="AN61" i="44"/>
  <c r="AN64" i="44" s="1"/>
  <c r="AJ61" i="44"/>
  <c r="AJ58" i="44"/>
  <c r="AJ59" i="44"/>
  <c r="AW73" i="44"/>
  <c r="BU78" i="44"/>
  <c r="BL12" i="45"/>
  <c r="BL78" i="44" s="1"/>
  <c r="CZ112" i="44" s="1"/>
  <c r="BU15" i="45"/>
  <c r="BU18" i="45" s="1"/>
  <c r="BU83" i="44" s="1"/>
  <c r="AC73" i="44"/>
  <c r="AH73" i="44"/>
  <c r="CK73" i="44"/>
  <c r="X73" i="44"/>
  <c r="S73" i="44"/>
  <c r="AB55" i="45"/>
  <c r="DM76" i="45"/>
  <c r="DM79" i="45"/>
  <c r="CG18" i="45"/>
  <c r="CG83" i="44" s="1"/>
  <c r="T18" i="45"/>
  <c r="T56" i="45"/>
  <c r="L55" i="45"/>
  <c r="AF18" i="45"/>
  <c r="AF56" i="45"/>
  <c r="I55" i="45"/>
  <c r="I48" i="45"/>
  <c r="I62" i="45"/>
  <c r="H55" i="45"/>
  <c r="H48" i="45"/>
  <c r="AZ56" i="45"/>
  <c r="AZ18" i="45"/>
  <c r="Y55" i="45"/>
  <c r="Y48" i="45"/>
  <c r="Y62" i="45"/>
  <c r="BD48" i="45"/>
  <c r="BD55" i="45"/>
  <c r="AF55" i="45"/>
  <c r="BR46" i="45"/>
  <c r="BW62" i="45" s="1"/>
  <c r="BR78" i="44"/>
  <c r="BR15" i="45"/>
  <c r="AX46" i="45"/>
  <c r="AX78" i="44"/>
  <c r="AX15" i="45"/>
  <c r="H18" i="45"/>
  <c r="H85" i="44" s="1"/>
  <c r="H56" i="45"/>
  <c r="T55" i="45"/>
  <c r="T48" i="45"/>
  <c r="D56" i="45"/>
  <c r="D18" i="45"/>
  <c r="AN46" i="45"/>
  <c r="AN78" i="44"/>
  <c r="AN15" i="45"/>
  <c r="AJ46" i="45"/>
  <c r="AJ69" i="45" s="1"/>
  <c r="AJ15" i="45"/>
  <c r="AJ78" i="44"/>
  <c r="BP46" i="45"/>
  <c r="BU62" i="45" s="1"/>
  <c r="BP78" i="44"/>
  <c r="BP15" i="45"/>
  <c r="AV56" i="45"/>
  <c r="AV18" i="45"/>
  <c r="AV83" i="44" s="1"/>
  <c r="P46" i="45"/>
  <c r="U62" i="45" s="1"/>
  <c r="P15" i="45"/>
  <c r="P78" i="44"/>
  <c r="G46" i="45"/>
  <c r="G78" i="44"/>
  <c r="G15" i="45"/>
  <c r="BD56" i="45"/>
  <c r="BD18" i="45"/>
  <c r="BD31" i="45" s="1"/>
  <c r="CJ55" i="45"/>
  <c r="CB48" i="45"/>
  <c r="CB59" i="42" s="1"/>
  <c r="CB55" i="45"/>
  <c r="AD46" i="45"/>
  <c r="AI62" i="45" s="1"/>
  <c r="AD78" i="44"/>
  <c r="AD15" i="45"/>
  <c r="E55" i="45"/>
  <c r="E48" i="45"/>
  <c r="E80" i="44" s="1"/>
  <c r="Y133" i="48"/>
  <c r="W52" i="47"/>
  <c r="F91" i="47"/>
  <c r="F113" i="47"/>
  <c r="F92" i="47"/>
  <c r="F104" i="47"/>
  <c r="F123" i="47"/>
  <c r="F94" i="47"/>
  <c r="F93" i="47"/>
  <c r="CF46" i="47"/>
  <c r="CF41" i="47"/>
  <c r="CD62" i="47"/>
  <c r="CF51" i="47"/>
  <c r="CB62" i="47"/>
  <c r="CC62" i="47"/>
  <c r="CF49" i="47"/>
  <c r="CF69" i="47"/>
  <c r="CK76" i="47" s="1"/>
  <c r="Z90" i="47"/>
  <c r="Z113" i="47"/>
  <c r="Z104" i="47"/>
  <c r="AE113" i="47"/>
  <c r="Z94" i="47"/>
  <c r="Z123" i="47"/>
  <c r="AE123" i="47"/>
  <c r="Z133" i="47"/>
  <c r="Z89" i="47"/>
  <c r="Z95" i="47" s="1"/>
  <c r="W133" i="47"/>
  <c r="CE133" i="47"/>
  <c r="CE90" i="47"/>
  <c r="CE104" i="47"/>
  <c r="CE113" i="47"/>
  <c r="CG133" i="47"/>
  <c r="CE123" i="47"/>
  <c r="CE94" i="47"/>
  <c r="CE89" i="47"/>
  <c r="BA62" i="47"/>
  <c r="AX62" i="47"/>
  <c r="BB51" i="47"/>
  <c r="BB69" i="47"/>
  <c r="BB76" i="47" s="1"/>
  <c r="BY152" i="47"/>
  <c r="BY158" i="47"/>
  <c r="CD158" i="47"/>
  <c r="AM150" i="47"/>
  <c r="AM151" i="47"/>
  <c r="AM144" i="47"/>
  <c r="AM146" i="47" s="1"/>
  <c r="AM152" i="47" s="1"/>
  <c r="AS94" i="47"/>
  <c r="AS104" i="47"/>
  <c r="AS113" i="47"/>
  <c r="AS123" i="47"/>
  <c r="AS133" i="47"/>
  <c r="AT133" i="47"/>
  <c r="AS89" i="47"/>
  <c r="AS90" i="47"/>
  <c r="CF50" i="47"/>
  <c r="BP95" i="47"/>
  <c r="BB104" i="47"/>
  <c r="BB89" i="47"/>
  <c r="Q91" i="47"/>
  <c r="Q92" i="47"/>
  <c r="Q94" i="47"/>
  <c r="Q113" i="47"/>
  <c r="Q123" i="47"/>
  <c r="Q104" i="47"/>
  <c r="Q133" i="47"/>
  <c r="Q93" i="47"/>
  <c r="BM152" i="47"/>
  <c r="BM158" i="47"/>
  <c r="BR158" i="47"/>
  <c r="AO94" i="47"/>
  <c r="AO113" i="47"/>
  <c r="AO123" i="47"/>
  <c r="AO104" i="47"/>
  <c r="AT113" i="47"/>
  <c r="AO89" i="47"/>
  <c r="AO133" i="47"/>
  <c r="AP133" i="47"/>
  <c r="AT123" i="47"/>
  <c r="AO90" i="47"/>
  <c r="CF144" i="47"/>
  <c r="CF149" i="47"/>
  <c r="CF151" i="47"/>
  <c r="CF155" i="47"/>
  <c r="CF86" i="47"/>
  <c r="CF112" i="47"/>
  <c r="CF121" i="47"/>
  <c r="BA94" i="47"/>
  <c r="BA113" i="47"/>
  <c r="BA123" i="47"/>
  <c r="BA133" i="47"/>
  <c r="BA89" i="47"/>
  <c r="BA104" i="47"/>
  <c r="BC133" i="47"/>
  <c r="BA90" i="47"/>
  <c r="BN104" i="47"/>
  <c r="BN94" i="47"/>
  <c r="BN113" i="47"/>
  <c r="BN133" i="47"/>
  <c r="BN123" i="47"/>
  <c r="BO133" i="47"/>
  <c r="BS113" i="47"/>
  <c r="BS123" i="47"/>
  <c r="BN90" i="47"/>
  <c r="BN89" i="47"/>
  <c r="BB94" i="47"/>
  <c r="CA150" i="47"/>
  <c r="CA151" i="47"/>
  <c r="CA144" i="47"/>
  <c r="CA156" i="47"/>
  <c r="CF156" i="47"/>
  <c r="BX104" i="47"/>
  <c r="BX89" i="47"/>
  <c r="CC113" i="47"/>
  <c r="CC123" i="47"/>
  <c r="BY133" i="47"/>
  <c r="BX113" i="47"/>
  <c r="BX123" i="47"/>
  <c r="BX133" i="47"/>
  <c r="BX94" i="47"/>
  <c r="BX90" i="47"/>
  <c r="AW86" i="47"/>
  <c r="AW121" i="47"/>
  <c r="AJ95" i="47"/>
  <c r="BS52" i="47"/>
  <c r="BG144" i="47"/>
  <c r="BG146" i="47" s="1"/>
  <c r="BG152" i="47" s="1"/>
  <c r="BG151" i="47"/>
  <c r="BG149" i="47"/>
  <c r="N91" i="47"/>
  <c r="N104" i="47"/>
  <c r="N113" i="47"/>
  <c r="N123" i="47"/>
  <c r="N93" i="47"/>
  <c r="AC121" i="47"/>
  <c r="AR41" i="47"/>
  <c r="AN62" i="47"/>
  <c r="AY95" i="47"/>
  <c r="AC46" i="47"/>
  <c r="S104" i="47"/>
  <c r="S113" i="47"/>
  <c r="S123" i="47"/>
  <c r="S91" i="47"/>
  <c r="AR144" i="47"/>
  <c r="AR146" i="47" s="1"/>
  <c r="AR152" i="47" s="1"/>
  <c r="AR150" i="47"/>
  <c r="AR151" i="47"/>
  <c r="AH104" i="47"/>
  <c r="AH89" i="47"/>
  <c r="AH95" i="47" s="1"/>
  <c r="CA112" i="47"/>
  <c r="CA86" i="47"/>
  <c r="CA121" i="47"/>
  <c r="J91" i="47"/>
  <c r="J92" i="47"/>
  <c r="J94" i="47"/>
  <c r="J104" i="47"/>
  <c r="O113" i="47"/>
  <c r="O123" i="47"/>
  <c r="K133" i="47"/>
  <c r="J93" i="47"/>
  <c r="G91" i="47"/>
  <c r="G93" i="47"/>
  <c r="G104" i="47"/>
  <c r="G113" i="47"/>
  <c r="G123" i="47"/>
  <c r="G94" i="47"/>
  <c r="G92" i="47"/>
  <c r="AF104" i="47"/>
  <c r="AF89" i="47"/>
  <c r="AK113" i="47"/>
  <c r="AK123" i="47"/>
  <c r="AG133" i="47"/>
  <c r="AF113" i="47"/>
  <c r="AF123" i="47"/>
  <c r="AF133" i="47"/>
  <c r="AF90" i="47"/>
  <c r="AF94" i="47"/>
  <c r="BE94" i="47"/>
  <c r="BE113" i="47"/>
  <c r="BE123" i="47"/>
  <c r="BE104" i="47"/>
  <c r="BE89" i="47"/>
  <c r="BE133" i="47"/>
  <c r="BE90" i="47"/>
  <c r="BV86" i="47"/>
  <c r="BV121" i="47"/>
  <c r="CK41" i="47"/>
  <c r="CK46" i="47"/>
  <c r="BK95" i="47"/>
  <c r="AH150" i="47"/>
  <c r="AH144" i="47"/>
  <c r="AH146" i="47" s="1"/>
  <c r="AH152" i="47" s="1"/>
  <c r="AH151" i="47"/>
  <c r="BZ133" i="47"/>
  <c r="BZ104" i="47"/>
  <c r="BZ113" i="47"/>
  <c r="BZ94" i="47"/>
  <c r="BZ123" i="47"/>
  <c r="BZ90" i="47"/>
  <c r="BZ89" i="47"/>
  <c r="AR86" i="47"/>
  <c r="AR121" i="47"/>
  <c r="CJ123" i="47"/>
  <c r="BQ86" i="47"/>
  <c r="BR133" i="47" s="1"/>
  <c r="BQ121" i="47"/>
  <c r="CK149" i="47"/>
  <c r="CK144" i="47"/>
  <c r="CK151" i="47"/>
  <c r="CK155" i="47"/>
  <c r="CE62" i="47"/>
  <c r="AZ95" i="47"/>
  <c r="AA123" i="47"/>
  <c r="BR131" i="47"/>
  <c r="BR113" i="47"/>
  <c r="BR94" i="47"/>
  <c r="BR123" i="47"/>
  <c r="BR104" i="47"/>
  <c r="BS133" i="47"/>
  <c r="BR89" i="47"/>
  <c r="BR90" i="47"/>
  <c r="BL86" i="47"/>
  <c r="BL112" i="47"/>
  <c r="BL121" i="47"/>
  <c r="BB90" i="47"/>
  <c r="BD104" i="47"/>
  <c r="BD89" i="47"/>
  <c r="BI113" i="47"/>
  <c r="BI123" i="47"/>
  <c r="BD113" i="47"/>
  <c r="BD133" i="47"/>
  <c r="BD123" i="47"/>
  <c r="BD94" i="47"/>
  <c r="BD90" i="47"/>
  <c r="BL46" i="47"/>
  <c r="BL41" i="47"/>
  <c r="BL49" i="47"/>
  <c r="BJ62" i="47"/>
  <c r="BL51" i="47"/>
  <c r="BH62" i="47"/>
  <c r="BI62" i="47"/>
  <c r="BL69" i="47"/>
  <c r="BL76" i="47" s="1"/>
  <c r="BB151" i="47"/>
  <c r="H113" i="47"/>
  <c r="AX90" i="47"/>
  <c r="AX104" i="47"/>
  <c r="AX113" i="47"/>
  <c r="BC113" i="47"/>
  <c r="AX123" i="47"/>
  <c r="BC123" i="47"/>
  <c r="AX94" i="47"/>
  <c r="AX133" i="47"/>
  <c r="AX89" i="47"/>
  <c r="CA41" i="47"/>
  <c r="CA51" i="47"/>
  <c r="BY62" i="47"/>
  <c r="CA46" i="47"/>
  <c r="CA50" i="47"/>
  <c r="CA69" i="47"/>
  <c r="BZ62" i="47"/>
  <c r="BV151" i="47"/>
  <c r="BV155" i="47"/>
  <c r="CA155" i="47"/>
  <c r="BV149" i="47"/>
  <c r="BV144" i="47"/>
  <c r="V91" i="47"/>
  <c r="V90" i="47"/>
  <c r="V92" i="47"/>
  <c r="V94" i="47"/>
  <c r="V113" i="47"/>
  <c r="V123" i="47"/>
  <c r="V133" i="47"/>
  <c r="V104" i="47"/>
  <c r="V93" i="47"/>
  <c r="V89" i="47"/>
  <c r="BJ104" i="47"/>
  <c r="BJ113" i="47"/>
  <c r="BO113" i="47"/>
  <c r="BJ94" i="47"/>
  <c r="BJ133" i="47"/>
  <c r="BO123" i="47"/>
  <c r="BJ123" i="47"/>
  <c r="BJ89" i="47"/>
  <c r="BJ90" i="47"/>
  <c r="BQ156" i="47"/>
  <c r="BV156" i="47"/>
  <c r="BQ150" i="47"/>
  <c r="CK86" i="47"/>
  <c r="CK121" i="47"/>
  <c r="CK112" i="47"/>
  <c r="AW149" i="47"/>
  <c r="AW144" i="47"/>
  <c r="AW146" i="47" s="1"/>
  <c r="AW151" i="47"/>
  <c r="AA133" i="47"/>
  <c r="AB104" i="47"/>
  <c r="AG113" i="47"/>
  <c r="AG123" i="47"/>
  <c r="AB133" i="47"/>
  <c r="AD133" i="47"/>
  <c r="AB113" i="47"/>
  <c r="AB123" i="47"/>
  <c r="AB89" i="47"/>
  <c r="AB90" i="47"/>
  <c r="AB94" i="47"/>
  <c r="BW62" i="47"/>
  <c r="BN157" i="47"/>
  <c r="BN146" i="47"/>
  <c r="BS157" i="47"/>
  <c r="AM112" i="47"/>
  <c r="AM86" i="47"/>
  <c r="AM121" i="47"/>
  <c r="CA49" i="47"/>
  <c r="CH152" i="47"/>
  <c r="BG150" i="47"/>
  <c r="BL156" i="47"/>
  <c r="X86" i="47"/>
  <c r="X112" i="47"/>
  <c r="X103" i="47"/>
  <c r="X121" i="47"/>
  <c r="BX62" i="47"/>
  <c r="CJ113" i="47"/>
  <c r="C91" i="47"/>
  <c r="C93" i="47"/>
  <c r="C104" i="47"/>
  <c r="C94" i="47"/>
  <c r="C92" i="47"/>
  <c r="BQ149" i="47"/>
  <c r="BQ155" i="47"/>
  <c r="BQ144" i="47"/>
  <c r="BQ151" i="47"/>
  <c r="R91" i="47"/>
  <c r="R94" i="47"/>
  <c r="R104" i="47"/>
  <c r="R133" i="47"/>
  <c r="R113" i="47"/>
  <c r="R92" i="47"/>
  <c r="R123" i="47"/>
  <c r="R93" i="47"/>
  <c r="AE52" i="47"/>
  <c r="BG76" i="47"/>
  <c r="BG41" i="47"/>
  <c r="BF90" i="47"/>
  <c r="BF133" i="47"/>
  <c r="BF94" i="47"/>
  <c r="BF113" i="47"/>
  <c r="BF104" i="47"/>
  <c r="BF123" i="47"/>
  <c r="BF89" i="47"/>
  <c r="AZ62" i="47"/>
  <c r="AA95" i="47"/>
  <c r="T104" i="47"/>
  <c r="T91" i="47"/>
  <c r="Y113" i="47"/>
  <c r="Y123" i="47"/>
  <c r="T93" i="47"/>
  <c r="T113" i="47"/>
  <c r="T123" i="47"/>
  <c r="U133" i="47"/>
  <c r="T133" i="47"/>
  <c r="T94" i="47"/>
  <c r="T90" i="47"/>
  <c r="T92" i="47"/>
  <c r="T89" i="47"/>
  <c r="BL144" i="47"/>
  <c r="BL151" i="47"/>
  <c r="BL155" i="47"/>
  <c r="BL149" i="47"/>
  <c r="BG112" i="47"/>
  <c r="BG86" i="47"/>
  <c r="BG121" i="47"/>
  <c r="AC149" i="47"/>
  <c r="AC144" i="47"/>
  <c r="AC151" i="47"/>
  <c r="AY62" i="47"/>
  <c r="V52" i="47"/>
  <c r="AI52" i="47"/>
  <c r="BU152" i="47"/>
  <c r="BU158" i="47"/>
  <c r="BZ158" i="47"/>
  <c r="BB144" i="47"/>
  <c r="BB146" i="47" s="1"/>
  <c r="BB152" i="47" s="1"/>
  <c r="BW90" i="47"/>
  <c r="BW113" i="47"/>
  <c r="BW104" i="47"/>
  <c r="BW123" i="47"/>
  <c r="BW89" i="47"/>
  <c r="BW94" i="47"/>
  <c r="AH121" i="47"/>
  <c r="BW52" i="47"/>
  <c r="BT35" i="46"/>
  <c r="BY35" i="46"/>
  <c r="BX35" i="46"/>
  <c r="CC35" i="46"/>
  <c r="CA49" i="46"/>
  <c r="CA50" i="46" s="1"/>
  <c r="BG45" i="46"/>
  <c r="BG46" i="46" s="1"/>
  <c r="BI35" i="46"/>
  <c r="BD35" i="46"/>
  <c r="CA53" i="46"/>
  <c r="CA54" i="46" s="1"/>
  <c r="BT53" i="46"/>
  <c r="BT54" i="46" s="1"/>
  <c r="AW49" i="46"/>
  <c r="AW50" i="46" s="1"/>
  <c r="AZ45" i="46"/>
  <c r="AZ46" i="46" s="1"/>
  <c r="BO49" i="46"/>
  <c r="BO50" i="46" s="1"/>
  <c r="CD49" i="46"/>
  <c r="CD50" i="46" s="1"/>
  <c r="AU35" i="46"/>
  <c r="BL53" i="46"/>
  <c r="BL54" i="46" s="1"/>
  <c r="CB35" i="46"/>
  <c r="CG35" i="46"/>
  <c r="BK45" i="46"/>
  <c r="BK46" i="46" s="1"/>
  <c r="BQ32" i="46"/>
  <c r="BQ39" i="46"/>
  <c r="BN53" i="46"/>
  <c r="BN54" i="46" s="1"/>
  <c r="BR53" i="46"/>
  <c r="BR54" i="46" s="1"/>
  <c r="CI41" i="46"/>
  <c r="CN14" i="46"/>
  <c r="CN13" i="46"/>
  <c r="CN23" i="46"/>
  <c r="CN35" i="46" s="1"/>
  <c r="AE41" i="46"/>
  <c r="BV32" i="46"/>
  <c r="AJ35" i="46"/>
  <c r="AO35" i="46"/>
  <c r="AY41" i="46"/>
  <c r="AV41" i="46"/>
  <c r="AN35" i="46"/>
  <c r="BR41" i="46"/>
  <c r="AB35" i="46"/>
  <c r="AG35" i="46"/>
  <c r="AR23" i="46"/>
  <c r="AR31" i="46"/>
  <c r="AR38" i="46"/>
  <c r="AR44" i="46"/>
  <c r="AR46" i="46" s="1"/>
  <c r="BP41" i="46"/>
  <c r="AR33" i="46"/>
  <c r="AR52" i="46"/>
  <c r="AR54" i="46" s="1"/>
  <c r="AR40" i="46"/>
  <c r="AW53" i="46"/>
  <c r="AW54" i="46" s="1"/>
  <c r="AW31" i="46"/>
  <c r="BV45" i="46"/>
  <c r="BV46" i="46" s="1"/>
  <c r="AC32" i="46"/>
  <c r="AC39" i="46"/>
  <c r="AC48" i="46"/>
  <c r="AC50" i="46" s="1"/>
  <c r="CA31" i="46"/>
  <c r="CA23" i="46"/>
  <c r="CA38" i="46"/>
  <c r="BO45" i="46"/>
  <c r="BO46" i="46" s="1"/>
  <c r="CF45" i="46"/>
  <c r="CF46" i="46" s="1"/>
  <c r="CM45" i="46"/>
  <c r="CM14" i="46" s="1"/>
  <c r="CM13" i="46"/>
  <c r="BX45" i="46"/>
  <c r="BX46" i="46" s="1"/>
  <c r="BZ53" i="46"/>
  <c r="BZ54" i="46" s="1"/>
  <c r="AU45" i="46"/>
  <c r="AU46" i="46" s="1"/>
  <c r="CB53" i="46"/>
  <c r="CB54" i="46" s="1"/>
  <c r="BB49" i="46"/>
  <c r="BB50" i="46" s="1"/>
  <c r="AA35" i="46"/>
  <c r="AF35" i="46"/>
  <c r="BV53" i="46"/>
  <c r="BV54" i="46" s="1"/>
  <c r="AH54" i="46"/>
  <c r="CI45" i="46"/>
  <c r="CI46" i="46" s="1"/>
  <c r="BN49" i="46"/>
  <c r="BN50" i="46" s="1"/>
  <c r="AJ41" i="46"/>
  <c r="BT41" i="46"/>
  <c r="AM50" i="46"/>
  <c r="AB46" i="46"/>
  <c r="BF53" i="46"/>
  <c r="BF54" i="46" s="1"/>
  <c r="AQ50" i="46"/>
  <c r="BS41" i="46"/>
  <c r="CM19" i="46"/>
  <c r="CM23" i="46"/>
  <c r="CM35" i="46" s="1"/>
  <c r="CM20" i="46"/>
  <c r="BG53" i="46"/>
  <c r="BG54" i="46" s="1"/>
  <c r="AW40" i="46"/>
  <c r="CF49" i="46"/>
  <c r="CF50" i="46" s="1"/>
  <c r="CE35" i="46"/>
  <c r="CF31" i="46"/>
  <c r="BV38" i="46"/>
  <c r="BZ49" i="46"/>
  <c r="BZ50" i="46" s="1"/>
  <c r="BB33" i="46"/>
  <c r="BB40" i="46"/>
  <c r="CK40" i="46"/>
  <c r="CK33" i="46"/>
  <c r="BJ49" i="46"/>
  <c r="BJ50" i="46" s="1"/>
  <c r="BK35" i="46"/>
  <c r="BP35" i="46"/>
  <c r="BD53" i="46"/>
  <c r="BD54" i="46" s="1"/>
  <c r="BR49" i="46"/>
  <c r="BR50" i="46" s="1"/>
  <c r="BR35" i="46"/>
  <c r="BW35" i="46"/>
  <c r="BB23" i="46"/>
  <c r="BB35" i="46" s="1"/>
  <c r="BB31" i="46"/>
  <c r="BB38" i="46"/>
  <c r="AC33" i="46"/>
  <c r="AC40" i="46"/>
  <c r="AC53" i="46"/>
  <c r="CH53" i="46"/>
  <c r="CH54" i="46" s="1"/>
  <c r="BL49" i="46"/>
  <c r="BL50" i="46" s="1"/>
  <c r="CE45" i="46"/>
  <c r="CE46" i="46" s="1"/>
  <c r="AW45" i="46"/>
  <c r="AW46" i="46" s="1"/>
  <c r="BL249" i="43"/>
  <c r="BL248" i="43" s="1"/>
  <c r="BB52" i="46"/>
  <c r="CK52" i="46"/>
  <c r="CL41" i="46"/>
  <c r="CK45" i="46"/>
  <c r="CK46" i="46" s="1"/>
  <c r="AU41" i="46"/>
  <c r="AH32" i="46"/>
  <c r="CA44" i="46"/>
  <c r="BK41" i="46"/>
  <c r="AQ46" i="46"/>
  <c r="AQ35" i="46"/>
  <c r="AV35" i="46"/>
  <c r="AA46" i="46"/>
  <c r="AT50" i="46"/>
  <c r="AC23" i="46"/>
  <c r="AC35" i="46" s="1"/>
  <c r="AC38" i="46"/>
  <c r="AC31" i="46"/>
  <c r="AH40" i="46"/>
  <c r="CI35" i="46"/>
  <c r="AE35" i="46"/>
  <c r="CD53" i="46"/>
  <c r="CD54" i="46" s="1"/>
  <c r="AR39" i="46"/>
  <c r="AR32" i="46"/>
  <c r="BV49" i="46"/>
  <c r="BV50" i="46" s="1"/>
  <c r="BO41" i="46"/>
  <c r="AY45" i="46"/>
  <c r="AY46" i="46" s="1"/>
  <c r="BE35" i="46"/>
  <c r="AM39" i="46"/>
  <c r="CJ35" i="46"/>
  <c r="BB44" i="46"/>
  <c r="BF49" i="46"/>
  <c r="BF50" i="46" s="1"/>
  <c r="AC52" i="46"/>
  <c r="BS45" i="46"/>
  <c r="BS46" i="46" s="1"/>
  <c r="AM46" i="46"/>
  <c r="BG33" i="46"/>
  <c r="BG40" i="46"/>
  <c r="AW33" i="46"/>
  <c r="CE41" i="46"/>
  <c r="AI55" i="45"/>
  <c r="AI69" i="45"/>
  <c r="AI48" i="45"/>
  <c r="R15" i="45"/>
  <c r="R46" i="45"/>
  <c r="R78" i="44"/>
  <c r="AL15" i="45"/>
  <c r="AL46" i="45"/>
  <c r="AL78" i="44"/>
  <c r="AG18" i="45"/>
  <c r="AG56" i="45"/>
  <c r="DA102" i="45"/>
  <c r="CZ107" i="45"/>
  <c r="AI18" i="45"/>
  <c r="AI83" i="44" s="1"/>
  <c r="AI56" i="45"/>
  <c r="AK56" i="45"/>
  <c r="CF73" i="44"/>
  <c r="BN15" i="45"/>
  <c r="BN46" i="45"/>
  <c r="BN78" i="44"/>
  <c r="BQ12" i="45"/>
  <c r="BA18" i="45"/>
  <c r="BA83" i="44" s="1"/>
  <c r="BA56" i="45"/>
  <c r="BX22" i="45"/>
  <c r="BX20" i="45"/>
  <c r="BX57" i="45"/>
  <c r="BX26" i="45"/>
  <c r="BX31" i="45"/>
  <c r="BX83" i="44"/>
  <c r="BX86" i="44"/>
  <c r="S12" i="45"/>
  <c r="S78" i="44" s="1"/>
  <c r="Q55" i="45"/>
  <c r="CP41" i="45"/>
  <c r="AY15" i="45"/>
  <c r="AY46" i="45"/>
  <c r="AY78" i="44"/>
  <c r="BB12" i="45"/>
  <c r="BB78" i="44" s="1"/>
  <c r="N73" i="44"/>
  <c r="F15" i="45"/>
  <c r="F46" i="45"/>
  <c r="F78" i="44"/>
  <c r="CC18" i="45"/>
  <c r="CC56" i="45"/>
  <c r="BW55" i="45"/>
  <c r="CB62" i="45"/>
  <c r="BW69" i="45"/>
  <c r="BW48" i="45"/>
  <c r="BU55" i="45"/>
  <c r="BC56" i="45"/>
  <c r="BO15" i="45"/>
  <c r="BO46" i="45"/>
  <c r="BO78" i="44"/>
  <c r="C55" i="45"/>
  <c r="BE69" i="45"/>
  <c r="BY56" i="45"/>
  <c r="CD15" i="45"/>
  <c r="CD46" i="45"/>
  <c r="CD78" i="44"/>
  <c r="CC55" i="45"/>
  <c r="CC69" i="45"/>
  <c r="CC48" i="45"/>
  <c r="CC80" i="44" s="1"/>
  <c r="AA15" i="45"/>
  <c r="AA46" i="45"/>
  <c r="AA78" i="44"/>
  <c r="AM12" i="45"/>
  <c r="AM78" i="44" s="1"/>
  <c r="AT15" i="45"/>
  <c r="AT46" i="45"/>
  <c r="AT78" i="44"/>
  <c r="AW12" i="45"/>
  <c r="AW78" i="44" s="1"/>
  <c r="AK62" i="45"/>
  <c r="AK55" i="45"/>
  <c r="CF12" i="45"/>
  <c r="CF78" i="44" s="1"/>
  <c r="DD112" i="44" s="1"/>
  <c r="AQ15" i="45"/>
  <c r="Q18" i="45"/>
  <c r="Q83" i="44" s="1"/>
  <c r="Q56" i="45"/>
  <c r="AS20" i="45"/>
  <c r="AS22" i="45"/>
  <c r="AS26" i="45"/>
  <c r="AS57" i="45"/>
  <c r="AS86" i="44"/>
  <c r="Z15" i="45"/>
  <c r="Z46" i="45"/>
  <c r="Z78" i="44"/>
  <c r="AC12" i="45"/>
  <c r="AC78" i="44" s="1"/>
  <c r="AO18" i="45"/>
  <c r="AO56" i="45"/>
  <c r="AE15" i="45"/>
  <c r="AE46" i="45"/>
  <c r="AE78" i="44"/>
  <c r="AH12" i="45"/>
  <c r="AH78" i="44" s="1"/>
  <c r="AB22" i="45"/>
  <c r="AB20" i="45"/>
  <c r="AB26" i="45"/>
  <c r="AB57" i="45"/>
  <c r="AB86" i="44"/>
  <c r="BS15" i="45"/>
  <c r="BS46" i="45"/>
  <c r="BS78" i="44"/>
  <c r="BV12" i="45"/>
  <c r="BZ15" i="45"/>
  <c r="BZ46" i="45"/>
  <c r="BZ78" i="44"/>
  <c r="K15" i="45"/>
  <c r="K46" i="45"/>
  <c r="K78" i="44"/>
  <c r="U69" i="45"/>
  <c r="U55" i="45"/>
  <c r="U48" i="45"/>
  <c r="V15" i="45"/>
  <c r="V46" i="45"/>
  <c r="V78" i="44"/>
  <c r="X12" i="45"/>
  <c r="X78" i="44" s="1"/>
  <c r="L22" i="45"/>
  <c r="L20" i="45"/>
  <c r="L26" i="45"/>
  <c r="L57" i="45"/>
  <c r="L86" i="44"/>
  <c r="L83" i="44"/>
  <c r="DA101" i="45"/>
  <c r="DR75" i="45" s="1"/>
  <c r="DR76" i="45" s="1"/>
  <c r="CZ106" i="45"/>
  <c r="DQ78" i="45" s="1"/>
  <c r="DQ79" i="45" s="1"/>
  <c r="BA55" i="45"/>
  <c r="O18" i="45"/>
  <c r="O83" i="44" s="1"/>
  <c r="O56" i="45"/>
  <c r="BK15" i="45"/>
  <c r="BK46" i="45"/>
  <c r="BK78" i="44"/>
  <c r="BJ15" i="45"/>
  <c r="BJ46" i="45"/>
  <c r="BJ78" i="44"/>
  <c r="W15" i="45"/>
  <c r="W46" i="45"/>
  <c r="W78" i="44"/>
  <c r="BI18" i="45"/>
  <c r="BI83" i="44" s="1"/>
  <c r="BI56" i="45"/>
  <c r="CH15" i="45"/>
  <c r="CH46" i="45"/>
  <c r="CH78" i="44"/>
  <c r="CK12" i="45"/>
  <c r="CI15" i="45"/>
  <c r="CI46" i="45"/>
  <c r="CI78" i="44"/>
  <c r="BQ73" i="44"/>
  <c r="J15" i="45"/>
  <c r="N12" i="45"/>
  <c r="N78" i="44" s="1"/>
  <c r="J46" i="45"/>
  <c r="J78" i="44"/>
  <c r="AP15" i="45"/>
  <c r="AP46" i="45"/>
  <c r="AP78" i="44"/>
  <c r="BT22" i="45"/>
  <c r="BT20" i="45"/>
  <c r="BT31" i="45"/>
  <c r="BT57" i="45"/>
  <c r="BT26" i="45"/>
  <c r="BT86" i="44"/>
  <c r="BT83" i="44"/>
  <c r="BE18" i="45"/>
  <c r="BE31" i="45" s="1"/>
  <c r="BE56" i="45"/>
  <c r="AU15" i="45"/>
  <c r="AU46" i="45"/>
  <c r="AU78" i="44"/>
  <c r="AR73" i="44"/>
  <c r="BF15" i="45"/>
  <c r="BG15" i="45" s="1"/>
  <c r="BG56" i="45" s="1"/>
  <c r="BF46" i="45"/>
  <c r="BF78" i="44"/>
  <c r="BY55" i="45"/>
  <c r="BH18" i="45"/>
  <c r="BH56" i="45"/>
  <c r="CE15" i="45"/>
  <c r="CE46" i="45"/>
  <c r="CE78" i="44"/>
  <c r="AG55" i="45"/>
  <c r="AG69" i="45"/>
  <c r="BI48" i="45"/>
  <c r="M18" i="45"/>
  <c r="M56" i="45"/>
  <c r="CA12" i="45"/>
  <c r="CL15" i="45"/>
  <c r="CL46" i="45"/>
  <c r="CL78" i="44"/>
  <c r="U18" i="45"/>
  <c r="U56" i="45"/>
  <c r="DA100" i="45"/>
  <c r="BI74" i="44"/>
  <c r="BP74" i="44"/>
  <c r="G74" i="44"/>
  <c r="F74" i="44"/>
  <c r="J59" i="44"/>
  <c r="BE50" i="44"/>
  <c r="BD61" i="44"/>
  <c r="BU59" i="44"/>
  <c r="BU58" i="44"/>
  <c r="AL74" i="44"/>
  <c r="AY74" i="44"/>
  <c r="BU50" i="44"/>
  <c r="BU61" i="44" s="1"/>
  <c r="BT61" i="44"/>
  <c r="CD59" i="44"/>
  <c r="BI61" i="44"/>
  <c r="BI58" i="44"/>
  <c r="AG61" i="44"/>
  <c r="AG58" i="44"/>
  <c r="AA74" i="44"/>
  <c r="Z74" i="44"/>
  <c r="O64" i="44"/>
  <c r="O65" i="44"/>
  <c r="BQ61" i="44"/>
  <c r="BQ58" i="44"/>
  <c r="DA109" i="44" s="1"/>
  <c r="BQ59" i="44"/>
  <c r="DA110" i="44" s="1"/>
  <c r="K49" i="44"/>
  <c r="J62" i="44"/>
  <c r="CE58" i="44"/>
  <c r="CE59" i="44"/>
  <c r="M74" i="44"/>
  <c r="BM74" i="44"/>
  <c r="BQ74" i="44"/>
  <c r="CO50" i="44"/>
  <c r="AD64" i="44"/>
  <c r="AD63" i="44"/>
  <c r="AD65" i="44" s="1"/>
  <c r="BM61" i="44"/>
  <c r="BM58" i="44"/>
  <c r="BZ58" i="44"/>
  <c r="BZ59" i="44"/>
  <c r="U61" i="44"/>
  <c r="U59" i="44"/>
  <c r="U58" i="44"/>
  <c r="CJ74" i="44"/>
  <c r="BZ74" i="44"/>
  <c r="H64" i="44"/>
  <c r="H65" i="44"/>
  <c r="BI59" i="44"/>
  <c r="BA74" i="44"/>
  <c r="BW74" i="44"/>
  <c r="AH68" i="44"/>
  <c r="BB74" i="44"/>
  <c r="AX74" i="44"/>
  <c r="P74" i="44"/>
  <c r="Q74" i="44"/>
  <c r="CS32" i="44"/>
  <c r="CS49" i="44" s="1"/>
  <c r="CR49" i="44"/>
  <c r="E59" i="44"/>
  <c r="BK58" i="44"/>
  <c r="BK59" i="44"/>
  <c r="BB58" i="44"/>
  <c r="BB59" i="44"/>
  <c r="BB61" i="44"/>
  <c r="BA61" i="44"/>
  <c r="BA58" i="44"/>
  <c r="CG61" i="44"/>
  <c r="CG65" i="44" s="1"/>
  <c r="CG59" i="44"/>
  <c r="CG58" i="44"/>
  <c r="AV74" i="44"/>
  <c r="BS74" i="44"/>
  <c r="S54" i="44"/>
  <c r="S57" i="44"/>
  <c r="S63" i="44"/>
  <c r="CA61" i="44"/>
  <c r="CA58" i="44"/>
  <c r="DC109" i="44" s="1"/>
  <c r="Q50" i="44"/>
  <c r="P61" i="44"/>
  <c r="CC59" i="44"/>
  <c r="AV59" i="44"/>
  <c r="AV61" i="44"/>
  <c r="AV58" i="44"/>
  <c r="CK61" i="44"/>
  <c r="CK65" i="44" s="1"/>
  <c r="CK58" i="44"/>
  <c r="DE109" i="44" s="1"/>
  <c r="AW61" i="44"/>
  <c r="AW58" i="44"/>
  <c r="Y61" i="44"/>
  <c r="Y58" i="44"/>
  <c r="Y59" i="44"/>
  <c r="CK19" i="44"/>
  <c r="CK74" i="44" s="1"/>
  <c r="CK77" i="44"/>
  <c r="CK68" i="44"/>
  <c r="BG54" i="44"/>
  <c r="BG57" i="44"/>
  <c r="BG63" i="44"/>
  <c r="AU74" i="44"/>
  <c r="AT74" i="44"/>
  <c r="AF49" i="44"/>
  <c r="AE62" i="44"/>
  <c r="BU74" i="44"/>
  <c r="AD74" i="44"/>
  <c r="AH74" i="44"/>
  <c r="AM54" i="44"/>
  <c r="AM57" i="44"/>
  <c r="AM63" i="44"/>
  <c r="AM65" i="44" s="1"/>
  <c r="BC74" i="44"/>
  <c r="AI74" i="44"/>
  <c r="BR64" i="44"/>
  <c r="N64" i="44"/>
  <c r="N63" i="44"/>
  <c r="N65" i="44" s="1"/>
  <c r="CJ49" i="44"/>
  <c r="CJ62" i="44" s="1"/>
  <c r="CI62" i="44"/>
  <c r="AG83" i="44"/>
  <c r="AG74" i="44"/>
  <c r="CG74" i="44"/>
  <c r="S19" i="44"/>
  <c r="S74" i="44" s="1"/>
  <c r="S68" i="44"/>
  <c r="S77" i="44"/>
  <c r="Y74" i="44"/>
  <c r="AC74" i="44"/>
  <c r="U74" i="44"/>
  <c r="S58" i="44"/>
  <c r="S61" i="44"/>
  <c r="BG19" i="44"/>
  <c r="BG68" i="44"/>
  <c r="BG77" i="44"/>
  <c r="CA19" i="44"/>
  <c r="CA74" i="44" s="1"/>
  <c r="CA77" i="44"/>
  <c r="CA68" i="44"/>
  <c r="BO74" i="44"/>
  <c r="BN74" i="44"/>
  <c r="BF58" i="44"/>
  <c r="BF59" i="44"/>
  <c r="BE59" i="44"/>
  <c r="BE58" i="44"/>
  <c r="AS83" i="44"/>
  <c r="AS74" i="44"/>
  <c r="AW74" i="44"/>
  <c r="CE74" i="44"/>
  <c r="CD74" i="44"/>
  <c r="BG61" i="44"/>
  <c r="BG58" i="44"/>
  <c r="C58" i="44"/>
  <c r="C61" i="44"/>
  <c r="C59" i="44"/>
  <c r="CO26" i="44"/>
  <c r="AK61" i="44"/>
  <c r="AK59" i="44"/>
  <c r="AK58" i="44"/>
  <c r="AE74" i="44"/>
  <c r="AQ74" i="44"/>
  <c r="AP74" i="44"/>
  <c r="AM19" i="44"/>
  <c r="AM68" i="44"/>
  <c r="AM77" i="44"/>
  <c r="R74" i="44"/>
  <c r="BV64" i="44"/>
  <c r="BV65" i="44"/>
  <c r="N59" i="44"/>
  <c r="BC65" i="44"/>
  <c r="CJ58" i="44"/>
  <c r="CJ59" i="44"/>
  <c r="AC61" i="44"/>
  <c r="AC65" i="44" s="1"/>
  <c r="AC58" i="44"/>
  <c r="W74" i="44"/>
  <c r="V74" i="44"/>
  <c r="BR74" i="44"/>
  <c r="BV74" i="44"/>
  <c r="AB83" i="44"/>
  <c r="AB74" i="44"/>
  <c r="R59" i="44"/>
  <c r="M59" i="44"/>
  <c r="X59" i="44"/>
  <c r="X58" i="44"/>
  <c r="X61" i="44"/>
  <c r="I63" i="44"/>
  <c r="CA54" i="44"/>
  <c r="CA63" i="44"/>
  <c r="CA57" i="44"/>
  <c r="DC108" i="44" s="1"/>
  <c r="K74" i="44"/>
  <c r="J74" i="44"/>
  <c r="CE50" i="44"/>
  <c r="CE61" i="44" s="1"/>
  <c r="CD61" i="44"/>
  <c r="BD74" i="44"/>
  <c r="BE74" i="44"/>
  <c r="BA59" i="44"/>
  <c r="AG59" i="44"/>
  <c r="I61" i="44"/>
  <c r="I58" i="44"/>
  <c r="CI74" i="44"/>
  <c r="CH74" i="44"/>
  <c r="BF74" i="44"/>
  <c r="BK74" i="44"/>
  <c r="BJ74" i="44"/>
  <c r="CJ61" i="44"/>
  <c r="BL59" i="44"/>
  <c r="CZ110" i="44" s="1"/>
  <c r="BL61" i="44"/>
  <c r="BL58" i="44"/>
  <c r="CZ109" i="44" s="1"/>
  <c r="AH77" i="44"/>
  <c r="O74" i="44"/>
  <c r="N74" i="44"/>
  <c r="BL33" i="42"/>
  <c r="AY35" i="42"/>
  <c r="BG33" i="42"/>
  <c r="BG9" i="42"/>
  <c r="CA43" i="42"/>
  <c r="U20" i="42"/>
  <c r="U26" i="42" s="1"/>
  <c r="U53" i="42" s="1"/>
  <c r="Q20" i="42"/>
  <c r="CM45" i="42"/>
  <c r="CM49" i="42" s="1"/>
  <c r="CM7" i="44" s="1"/>
  <c r="AM39" i="42"/>
  <c r="W20" i="42"/>
  <c r="X24" i="42"/>
  <c r="AF45" i="42"/>
  <c r="BV7" i="42"/>
  <c r="BV9" i="42" s="1"/>
  <c r="AO20" i="42"/>
  <c r="AO26" i="42" s="1"/>
  <c r="AO53" i="42" s="1"/>
  <c r="AO55" i="42" s="1"/>
  <c r="BQ23" i="42"/>
  <c r="Z35" i="42"/>
  <c r="P45" i="42"/>
  <c r="BL17" i="42"/>
  <c r="CF39" i="42"/>
  <c r="AM41" i="42"/>
  <c r="N47" i="42"/>
  <c r="AM32" i="42"/>
  <c r="AH37" i="42"/>
  <c r="BV30" i="42"/>
  <c r="CD45" i="42"/>
  <c r="CA42" i="42"/>
  <c r="CF31" i="42"/>
  <c r="BG41" i="42"/>
  <c r="BB47" i="42"/>
  <c r="CF30" i="42"/>
  <c r="E24" i="43"/>
  <c r="E27" i="43"/>
  <c r="CQ174" i="43"/>
  <c r="CR174" i="43" s="1"/>
  <c r="CS174" i="43" s="1"/>
  <c r="CP270" i="43"/>
  <c r="CQ270" i="43" s="1"/>
  <c r="CR270" i="43" s="1"/>
  <c r="CS270" i="43" s="1"/>
  <c r="U24" i="43"/>
  <c r="U27" i="43"/>
  <c r="Q10" i="42"/>
  <c r="Q47" i="45" s="1"/>
  <c r="E125" i="43"/>
  <c r="F123" i="43"/>
  <c r="F124" i="43" s="1"/>
  <c r="CA122" i="43"/>
  <c r="BZ124" i="43"/>
  <c r="CA124" i="43" s="1"/>
  <c r="CB123" i="43" s="1"/>
  <c r="CB124" i="43" s="1"/>
  <c r="W72" i="43"/>
  <c r="W73" i="43" s="1"/>
  <c r="X73" i="43"/>
  <c r="AC20" i="43"/>
  <c r="AC22" i="43"/>
  <c r="AC32" i="43" s="1"/>
  <c r="AB18" i="43"/>
  <c r="AC25" i="43"/>
  <c r="CK24" i="43"/>
  <c r="CK27" i="43"/>
  <c r="AL10" i="42"/>
  <c r="AL47" i="45" s="1"/>
  <c r="AM47" i="45" s="1"/>
  <c r="M122" i="43"/>
  <c r="BY10" i="42"/>
  <c r="BY47" i="45" s="1"/>
  <c r="BY48" i="45" s="1"/>
  <c r="BQ24" i="43"/>
  <c r="BQ27" i="43"/>
  <c r="X36" i="42"/>
  <c r="CP308" i="43"/>
  <c r="CK309" i="43"/>
  <c r="CK311" i="43"/>
  <c r="CP310" i="43"/>
  <c r="L10" i="42"/>
  <c r="L47" i="45" s="1"/>
  <c r="AZ10" i="42"/>
  <c r="AZ47" i="45" s="1"/>
  <c r="CK122" i="43"/>
  <c r="BA122" i="43"/>
  <c r="M15" i="43"/>
  <c r="L18" i="43"/>
  <c r="AO24" i="43"/>
  <c r="AO27" i="43"/>
  <c r="AF10" i="42"/>
  <c r="AF47" i="45" s="1"/>
  <c r="CP269" i="43"/>
  <c r="CQ269" i="43" s="1"/>
  <c r="CR269" i="43" s="1"/>
  <c r="CS269" i="43" s="1"/>
  <c r="CQ172" i="43"/>
  <c r="CR172" i="43" s="1"/>
  <c r="CS172" i="43" s="1"/>
  <c r="BG43" i="42"/>
  <c r="W122" i="43"/>
  <c r="CQ169" i="43"/>
  <c r="CP177" i="43"/>
  <c r="CP258" i="43"/>
  <c r="CQ258" i="43" s="1"/>
  <c r="CR258" i="43" s="1"/>
  <c r="CS258" i="43" s="1"/>
  <c r="CP224" i="43"/>
  <c r="CP223" i="43" s="1"/>
  <c r="AQ20" i="43"/>
  <c r="R15" i="43"/>
  <c r="P18" i="43"/>
  <c r="BP193" i="43"/>
  <c r="BQ193" i="43" s="1"/>
  <c r="BR190" i="43" s="1"/>
  <c r="BR193" i="43" s="1"/>
  <c r="BS190" i="43" s="1"/>
  <c r="BS193" i="43" s="1"/>
  <c r="BT190" i="43" s="1"/>
  <c r="BT193" i="43" s="1"/>
  <c r="BU190" i="43" s="1"/>
  <c r="BQ190" i="43"/>
  <c r="CQ176" i="43"/>
  <c r="CR176" i="43" s="1"/>
  <c r="CS176" i="43" s="1"/>
  <c r="CP305" i="43"/>
  <c r="CQ305" i="43" s="1"/>
  <c r="CR305" i="43" s="1"/>
  <c r="CS305" i="43" s="1"/>
  <c r="R122" i="43"/>
  <c r="W20" i="43"/>
  <c r="CP210" i="43"/>
  <c r="CQ170" i="43"/>
  <c r="CP280" i="43"/>
  <c r="CQ280" i="43" s="1"/>
  <c r="CR280" i="43" s="1"/>
  <c r="CS280" i="43" s="1"/>
  <c r="CP234" i="43"/>
  <c r="CP233" i="43" s="1"/>
  <c r="BL122" i="43"/>
  <c r="AG15" i="43"/>
  <c r="AE18" i="43"/>
  <c r="BE10" i="42"/>
  <c r="BE47" i="45" s="1"/>
  <c r="CQ175" i="43"/>
  <c r="CR175" i="43" s="1"/>
  <c r="CS175" i="43" s="1"/>
  <c r="CP267" i="43"/>
  <c r="CQ267" i="43" s="1"/>
  <c r="CR267" i="43" s="1"/>
  <c r="CS267" i="43" s="1"/>
  <c r="CQ173" i="43"/>
  <c r="CR173" i="43" s="1"/>
  <c r="CS173" i="43" s="1"/>
  <c r="CP277" i="43"/>
  <c r="CQ277" i="43" s="1"/>
  <c r="CR277" i="43" s="1"/>
  <c r="CS277" i="43" s="1"/>
  <c r="CS211" i="43"/>
  <c r="CR211" i="43"/>
  <c r="BT10" i="42"/>
  <c r="BT47" i="45" s="1"/>
  <c r="BQ99" i="43"/>
  <c r="BP122" i="43"/>
  <c r="BF18" i="42"/>
  <c r="BF219" i="43" s="1"/>
  <c r="BG219" i="43" s="1"/>
  <c r="L27" i="42"/>
  <c r="K54" i="42"/>
  <c r="CO25" i="42"/>
  <c r="CP25" i="42" s="1"/>
  <c r="N13" i="42"/>
  <c r="N16" i="42"/>
  <c r="S21" i="42"/>
  <c r="AR11" i="42"/>
  <c r="BD35" i="42"/>
  <c r="AH14" i="42"/>
  <c r="BQ22" i="42"/>
  <c r="S24" i="42"/>
  <c r="BQ25" i="42"/>
  <c r="CF28" i="42"/>
  <c r="BN20" i="42"/>
  <c r="BN26" i="42" s="1"/>
  <c r="BN53" i="42" s="1"/>
  <c r="BN55" i="42" s="1"/>
  <c r="BB29" i="42"/>
  <c r="S32" i="42"/>
  <c r="M45" i="42"/>
  <c r="AW37" i="42"/>
  <c r="CK39" i="42"/>
  <c r="BB44" i="42"/>
  <c r="N7" i="42"/>
  <c r="N39" i="42"/>
  <c r="S41" i="42"/>
  <c r="AT35" i="42"/>
  <c r="AG45" i="42"/>
  <c r="BQ40" i="42"/>
  <c r="BV42" i="42"/>
  <c r="CI18" i="42"/>
  <c r="CI219" i="43" s="1"/>
  <c r="CJ219" i="43" s="1"/>
  <c r="CD18" i="42"/>
  <c r="CD219" i="43" s="1"/>
  <c r="CE219" i="43" s="1"/>
  <c r="BB19" i="42"/>
  <c r="CO23" i="42"/>
  <c r="CP23" i="42" s="1"/>
  <c r="AR48" i="42"/>
  <c r="BJ36" i="42"/>
  <c r="BJ45" i="42" s="1"/>
  <c r="BI45" i="42"/>
  <c r="F49" i="42"/>
  <c r="BO18" i="42"/>
  <c r="BO219" i="43" s="1"/>
  <c r="BG14" i="42"/>
  <c r="BJ18" i="42"/>
  <c r="BJ219" i="43" s="1"/>
  <c r="AC17" i="42"/>
  <c r="CF44" i="42"/>
  <c r="AM19" i="42"/>
  <c r="BG19" i="42"/>
  <c r="CF7" i="42"/>
  <c r="CF9" i="42" s="1"/>
  <c r="CF21" i="42"/>
  <c r="CF20" i="42" s="1"/>
  <c r="CF12" i="42"/>
  <c r="BG17" i="42"/>
  <c r="BL16" i="42"/>
  <c r="AH23" i="42"/>
  <c r="BG32" i="42"/>
  <c r="P35" i="42"/>
  <c r="AJ26" i="42"/>
  <c r="AJ53" i="42" s="1"/>
  <c r="AJ55" i="42" s="1"/>
  <c r="AJ57" i="42" s="1"/>
  <c r="BQ29" i="42"/>
  <c r="BQ30" i="42"/>
  <c r="AC38" i="42"/>
  <c r="AH38" i="42"/>
  <c r="AW39" i="42"/>
  <c r="AR43" i="42"/>
  <c r="BV29" i="42"/>
  <c r="BB41" i="42"/>
  <c r="AM47" i="42"/>
  <c r="CK31" i="42"/>
  <c r="BQ39" i="42"/>
  <c r="AM43" i="42"/>
  <c r="BT45" i="42"/>
  <c r="BB42" i="42"/>
  <c r="BB43" i="42"/>
  <c r="CA44" i="42"/>
  <c r="BZ18" i="42"/>
  <c r="CA18" i="42" s="1"/>
  <c r="BT18" i="42"/>
  <c r="BT219" i="43" s="1"/>
  <c r="BG31" i="42"/>
  <c r="AW14" i="42"/>
  <c r="AW16" i="42"/>
  <c r="AR37" i="42"/>
  <c r="N42" i="42"/>
  <c r="BV38" i="42"/>
  <c r="BB33" i="42"/>
  <c r="CA9" i="42"/>
  <c r="AI53" i="42"/>
  <c r="AI55" i="42" s="1"/>
  <c r="AI49" i="42"/>
  <c r="G57" i="42"/>
  <c r="G49" i="42"/>
  <c r="AD53" i="42"/>
  <c r="AD55" i="42" s="1"/>
  <c r="BW53" i="42"/>
  <c r="BW55" i="42" s="1"/>
  <c r="CP26" i="42"/>
  <c r="CL53" i="42"/>
  <c r="CL55" i="42" s="1"/>
  <c r="AP20" i="42"/>
  <c r="AQ21" i="42"/>
  <c r="AQ20" i="42" s="1"/>
  <c r="BF12" i="42"/>
  <c r="BG12" i="42" s="1"/>
  <c r="C57" i="42"/>
  <c r="AA20" i="42"/>
  <c r="AB21" i="42"/>
  <c r="AB20" i="42" s="1"/>
  <c r="AZ13" i="42"/>
  <c r="BP21" i="42"/>
  <c r="BO20" i="42"/>
  <c r="Q48" i="42"/>
  <c r="BA48" i="42"/>
  <c r="BB48" i="42" s="1"/>
  <c r="BU35" i="42"/>
  <c r="BU54" i="42"/>
  <c r="AG48" i="42"/>
  <c r="AH48" i="42" s="1"/>
  <c r="BY11" i="42"/>
  <c r="AV48" i="42"/>
  <c r="V9" i="42"/>
  <c r="AP10" i="42"/>
  <c r="AP47" i="45" s="1"/>
  <c r="AC11" i="42"/>
  <c r="BH53" i="42"/>
  <c r="BH55" i="42" s="1"/>
  <c r="J26" i="42"/>
  <c r="J49" i="42" s="1"/>
  <c r="AM14" i="42"/>
  <c r="BV17" i="42"/>
  <c r="E57" i="42"/>
  <c r="R9" i="42"/>
  <c r="CI10" i="42"/>
  <c r="CI47" i="45" s="1"/>
  <c r="CH26" i="42"/>
  <c r="S14" i="42"/>
  <c r="N17" i="42"/>
  <c r="AR7" i="42"/>
  <c r="BU14" i="42"/>
  <c r="BV14" i="42" s="1"/>
  <c r="CK12" i="42"/>
  <c r="AA35" i="42"/>
  <c r="AB27" i="42"/>
  <c r="AC27" i="42" s="1"/>
  <c r="AC54" i="42" s="1"/>
  <c r="AA54" i="42"/>
  <c r="BZ27" i="42"/>
  <c r="BY54" i="42"/>
  <c r="BR49" i="42"/>
  <c r="AW28" i="42"/>
  <c r="L29" i="42"/>
  <c r="K35" i="42"/>
  <c r="BB37" i="42"/>
  <c r="BE48" i="42"/>
  <c r="AL27" i="42"/>
  <c r="AK54" i="42"/>
  <c r="AF29" i="42"/>
  <c r="AE35" i="42"/>
  <c r="AW31" i="42"/>
  <c r="AM33" i="42"/>
  <c r="AA36" i="42"/>
  <c r="Z45" i="42"/>
  <c r="D49" i="42"/>
  <c r="D51" i="42" s="1"/>
  <c r="E50" i="42" s="1"/>
  <c r="E51" i="42" s="1"/>
  <c r="F50" i="42" s="1"/>
  <c r="CB49" i="42"/>
  <c r="AM16" i="42"/>
  <c r="BB17" i="42"/>
  <c r="X21" i="42"/>
  <c r="BA28" i="42"/>
  <c r="BA35" i="42" s="1"/>
  <c r="BD45" i="42"/>
  <c r="V20" i="42"/>
  <c r="BA54" i="42"/>
  <c r="X34" i="42"/>
  <c r="X39" i="42"/>
  <c r="BZ36" i="42"/>
  <c r="BZ45" i="42" s="1"/>
  <c r="BY45" i="42"/>
  <c r="BQ38" i="42"/>
  <c r="CA33" i="42"/>
  <c r="T49" i="42"/>
  <c r="AK48" i="42"/>
  <c r="X7" i="42"/>
  <c r="BL28" i="42"/>
  <c r="BS35" i="42"/>
  <c r="AY20" i="42"/>
  <c r="AY26" i="42" s="1"/>
  <c r="AY53" i="42" s="1"/>
  <c r="AY55" i="42" s="1"/>
  <c r="AZ21" i="42"/>
  <c r="BO10" i="42"/>
  <c r="BO47" i="45" s="1"/>
  <c r="Y49" i="42"/>
  <c r="BV54" i="42"/>
  <c r="BM49" i="42"/>
  <c r="L48" i="42"/>
  <c r="AU10" i="42"/>
  <c r="AU47" i="45" s="1"/>
  <c r="AT26" i="42"/>
  <c r="AT53" i="42" s="1"/>
  <c r="AT55" i="42" s="1"/>
  <c r="X11" i="42"/>
  <c r="BL7" i="42"/>
  <c r="BL9" i="42" s="1"/>
  <c r="BL11" i="42"/>
  <c r="BL12" i="42"/>
  <c r="BM53" i="42"/>
  <c r="BM55" i="42" s="1"/>
  <c r="AE20" i="42"/>
  <c r="AE26" i="42" s="1"/>
  <c r="AE53" i="42" s="1"/>
  <c r="AE55" i="42" s="1"/>
  <c r="AF21" i="42"/>
  <c r="BS20" i="42"/>
  <c r="BS26" i="42" s="1"/>
  <c r="BT21" i="42"/>
  <c r="D57" i="42"/>
  <c r="V10" i="42"/>
  <c r="V47" i="45" s="1"/>
  <c r="CD10" i="42"/>
  <c r="CD47" i="45" s="1"/>
  <c r="CC26" i="42"/>
  <c r="N14" i="42"/>
  <c r="O53" i="42"/>
  <c r="O55" i="42" s="1"/>
  <c r="CA12" i="42"/>
  <c r="S19" i="42"/>
  <c r="BJ20" i="42"/>
  <c r="BK21" i="42"/>
  <c r="BK20" i="42" s="1"/>
  <c r="AH7" i="42"/>
  <c r="CA17" i="42"/>
  <c r="AM20" i="42"/>
  <c r="AN26" i="42"/>
  <c r="AN49" i="42" s="1"/>
  <c r="BE23" i="42"/>
  <c r="BD20" i="42"/>
  <c r="BD26" i="42" s="1"/>
  <c r="BD53" i="42" s="1"/>
  <c r="BD55" i="42" s="1"/>
  <c r="BD59" i="42" s="1"/>
  <c r="AR25" i="42"/>
  <c r="BE35" i="42"/>
  <c r="BF27" i="42"/>
  <c r="BE54" i="42"/>
  <c r="AR28" i="42"/>
  <c r="BJ35" i="42"/>
  <c r="BK27" i="42"/>
  <c r="BL27" i="42" s="1"/>
  <c r="BJ54" i="42"/>
  <c r="AC29" i="42"/>
  <c r="AC30" i="42"/>
  <c r="AC31" i="42"/>
  <c r="S33" i="42"/>
  <c r="AH24" i="42"/>
  <c r="N31" i="42"/>
  <c r="BY32" i="42"/>
  <c r="BY35" i="42" s="1"/>
  <c r="BX35" i="42"/>
  <c r="AC37" i="42"/>
  <c r="H49" i="42"/>
  <c r="AL12" i="42"/>
  <c r="AM18" i="42"/>
  <c r="AV21" i="42"/>
  <c r="AU20" i="42"/>
  <c r="CC35" i="42"/>
  <c r="CD27" i="42"/>
  <c r="CC54" i="42"/>
  <c r="AH31" i="42"/>
  <c r="X33" i="42"/>
  <c r="AH36" i="42"/>
  <c r="N37" i="42"/>
  <c r="AK38" i="42"/>
  <c r="BW49" i="42"/>
  <c r="S30" i="42"/>
  <c r="BE45" i="42"/>
  <c r="BO36" i="42"/>
  <c r="BN45" i="42"/>
  <c r="AD49" i="42"/>
  <c r="BG38" i="42"/>
  <c r="CA40" i="42"/>
  <c r="BB31" i="42"/>
  <c r="BX45" i="42"/>
  <c r="BA36" i="42"/>
  <c r="AZ45" i="42"/>
  <c r="BU45" i="42"/>
  <c r="CA38" i="42"/>
  <c r="AP40" i="42"/>
  <c r="AO45" i="42"/>
  <c r="AW47" i="42"/>
  <c r="AP9" i="42"/>
  <c r="BJ10" i="42"/>
  <c r="BJ47" i="45" s="1"/>
  <c r="BI26" i="42"/>
  <c r="K20" i="42"/>
  <c r="K26" i="42" s="1"/>
  <c r="K53" i="42" s="1"/>
  <c r="L21" i="42"/>
  <c r="T53" i="42"/>
  <c r="T55" i="42" s="1"/>
  <c r="AU36" i="42"/>
  <c r="AT45" i="42"/>
  <c r="CE48" i="42"/>
  <c r="AA10" i="42"/>
  <c r="AA47" i="45" s="1"/>
  <c r="Z26" i="42"/>
  <c r="Z53" i="42" s="1"/>
  <c r="Z55" i="42" s="1"/>
  <c r="BB7" i="42"/>
  <c r="N11" i="42"/>
  <c r="AR12" i="42"/>
  <c r="F57" i="42"/>
  <c r="BR53" i="42"/>
  <c r="BR55" i="42" s="1"/>
  <c r="H57" i="42"/>
  <c r="CF14" i="42"/>
  <c r="BV16" i="42"/>
  <c r="AG11" i="42"/>
  <c r="AM21" i="42"/>
  <c r="BX20" i="42"/>
  <c r="BX26" i="42" s="1"/>
  <c r="BC26" i="42"/>
  <c r="AS26" i="42"/>
  <c r="AS49" i="42" s="1"/>
  <c r="CI20" i="42"/>
  <c r="CJ21" i="42"/>
  <c r="AP54" i="42"/>
  <c r="CJ27" i="42"/>
  <c r="CI54" i="42"/>
  <c r="CI35" i="42"/>
  <c r="M28" i="42"/>
  <c r="AH15" i="42"/>
  <c r="BL25" i="42"/>
  <c r="AG28" i="42"/>
  <c r="CK22" i="42"/>
  <c r="CA24" i="42"/>
  <c r="CA20" i="42" s="1"/>
  <c r="BP27" i="42"/>
  <c r="AK28" i="42"/>
  <c r="AL28" i="42" s="1"/>
  <c r="AJ35" i="42"/>
  <c r="BV32" i="42"/>
  <c r="S36" i="42"/>
  <c r="CI36" i="42"/>
  <c r="CH45" i="42"/>
  <c r="BH49" i="42"/>
  <c r="BB23" i="42"/>
  <c r="Q35" i="42"/>
  <c r="R27" i="42"/>
  <c r="Q54" i="42"/>
  <c r="BQ28" i="42"/>
  <c r="CF33" i="42"/>
  <c r="N36" i="42"/>
  <c r="AX26" i="42"/>
  <c r="AX49" i="42" s="1"/>
  <c r="X14" i="42"/>
  <c r="S17" i="42"/>
  <c r="Y53" i="42"/>
  <c r="Y55" i="42" s="1"/>
  <c r="U35" i="42"/>
  <c r="V27" i="42"/>
  <c r="U54" i="42"/>
  <c r="X28" i="42"/>
  <c r="CK28" i="42"/>
  <c r="AH32" i="42"/>
  <c r="L45" i="42"/>
  <c r="AR38" i="42"/>
  <c r="O49" i="42"/>
  <c r="BY48" i="42"/>
  <c r="AZ35" i="42"/>
  <c r="BT35" i="42"/>
  <c r="BF45" i="42"/>
  <c r="BK40" i="42"/>
  <c r="CK42" i="42"/>
  <c r="CK48" i="42"/>
  <c r="BB32" i="42"/>
  <c r="BV28" i="42"/>
  <c r="Q45" i="42"/>
  <c r="AW46" i="42"/>
  <c r="AV27" i="42"/>
  <c r="AU35" i="42"/>
  <c r="AU54" i="42"/>
  <c r="CK29" i="42"/>
  <c r="AR33" i="42"/>
  <c r="AY45" i="42"/>
  <c r="V38" i="42"/>
  <c r="U45" i="42"/>
  <c r="CL49" i="42"/>
  <c r="AR41" i="42"/>
  <c r="AH47" i="42"/>
  <c r="N38" i="42"/>
  <c r="AH13" i="42"/>
  <c r="CK44" i="42"/>
  <c r="BU48" i="42"/>
  <c r="BW85" i="44" l="1"/>
  <c r="BV52" i="47"/>
  <c r="BL35" i="46"/>
  <c r="AH45" i="46"/>
  <c r="AH46" i="46" s="1"/>
  <c r="AH113" i="47"/>
  <c r="BT48" i="45"/>
  <c r="AZ48" i="45"/>
  <c r="CF45" i="42"/>
  <c r="BI62" i="45"/>
  <c r="BY69" i="45"/>
  <c r="BX69" i="45"/>
  <c r="BM62" i="47"/>
  <c r="CJ56" i="45"/>
  <c r="AZ55" i="45"/>
  <c r="AH31" i="46"/>
  <c r="AH23" i="46"/>
  <c r="BW56" i="45"/>
  <c r="CA15" i="45"/>
  <c r="CA56" i="45" s="1"/>
  <c r="AQ78" i="44"/>
  <c r="CC62" i="45"/>
  <c r="BU69" i="45"/>
  <c r="Y56" i="45"/>
  <c r="BX55" i="45"/>
  <c r="AK26" i="42"/>
  <c r="AK53" i="42" s="1"/>
  <c r="BW59" i="42"/>
  <c r="CH123" i="43"/>
  <c r="BY62" i="45"/>
  <c r="CO34" i="45"/>
  <c r="CO23" i="45" s="1"/>
  <c r="AQ46" i="45"/>
  <c r="AQ62" i="45" s="1"/>
  <c r="AM31" i="46"/>
  <c r="CF41" i="46"/>
  <c r="AI95" i="47"/>
  <c r="AQ52" i="47"/>
  <c r="P69" i="45"/>
  <c r="AI64" i="44"/>
  <c r="BA62" i="45"/>
  <c r="BG41" i="46"/>
  <c r="O69" i="45"/>
  <c r="BB41" i="47"/>
  <c r="BS64" i="44"/>
  <c r="BD69" i="45"/>
  <c r="BM62" i="45"/>
  <c r="CC152" i="47"/>
  <c r="BB52" i="47"/>
  <c r="E62" i="45"/>
  <c r="I18" i="45"/>
  <c r="BI69" i="45"/>
  <c r="T62" i="45"/>
  <c r="BC69" i="45"/>
  <c r="BH62" i="45"/>
  <c r="CH158" i="47"/>
  <c r="CG48" i="45"/>
  <c r="CG59" i="42" s="1"/>
  <c r="AS48" i="45"/>
  <c r="AS54" i="45" s="1"/>
  <c r="BQ249" i="43"/>
  <c r="BQ248" i="43" s="1"/>
  <c r="CH64" i="44"/>
  <c r="O48" i="45"/>
  <c r="O55" i="45"/>
  <c r="BC62" i="45"/>
  <c r="BH55" i="45"/>
  <c r="BL46" i="45"/>
  <c r="D62" i="45"/>
  <c r="C56" i="45"/>
  <c r="AR35" i="46"/>
  <c r="CG55" i="45"/>
  <c r="CB56" i="45"/>
  <c r="D48" i="45"/>
  <c r="D54" i="45" s="1"/>
  <c r="AM35" i="46"/>
  <c r="D95" i="47"/>
  <c r="BV35" i="46"/>
  <c r="AM52" i="47"/>
  <c r="AC76" i="47"/>
  <c r="BO52" i="47"/>
  <c r="CK52" i="47"/>
  <c r="AG52" i="47"/>
  <c r="CJ95" i="47"/>
  <c r="AT41" i="46"/>
  <c r="BC48" i="45"/>
  <c r="BC80" i="44" s="1"/>
  <c r="AH52" i="47"/>
  <c r="BM59" i="42"/>
  <c r="BV249" i="43"/>
  <c r="BV248" i="43" s="1"/>
  <c r="M69" i="45"/>
  <c r="BG78" i="44"/>
  <c r="CA41" i="46"/>
  <c r="BQ41" i="46"/>
  <c r="AR51" i="47"/>
  <c r="AR46" i="47"/>
  <c r="BM54" i="45"/>
  <c r="AO69" i="45"/>
  <c r="BO54" i="42"/>
  <c r="BE48" i="45"/>
  <c r="BE54" i="45" s="1"/>
  <c r="BD83" i="44"/>
  <c r="BC83" i="44"/>
  <c r="BE62" i="45"/>
  <c r="AO48" i="45"/>
  <c r="AO54" i="45" s="1"/>
  <c r="CA35" i="46"/>
  <c r="AR50" i="47"/>
  <c r="CA76" i="47"/>
  <c r="AR49" i="47"/>
  <c r="BM79" i="44"/>
  <c r="BM80" i="44"/>
  <c r="BV41" i="46"/>
  <c r="AR112" i="47"/>
  <c r="AO62" i="47"/>
  <c r="AP62" i="47"/>
  <c r="CK35" i="46"/>
  <c r="X52" i="47"/>
  <c r="AB52" i="47"/>
  <c r="AD46" i="46"/>
  <c r="AH38" i="46"/>
  <c r="AH41" i="46" s="1"/>
  <c r="Y62" i="47"/>
  <c r="AC41" i="47"/>
  <c r="BQ49" i="47"/>
  <c r="P95" i="47"/>
  <c r="AI35" i="46"/>
  <c r="AB62" i="47"/>
  <c r="AC50" i="47"/>
  <c r="Z62" i="47"/>
  <c r="E56" i="45"/>
  <c r="AH112" i="47"/>
  <c r="AH46" i="47"/>
  <c r="AH41" i="47"/>
  <c r="CF35" i="46"/>
  <c r="CN7" i="46"/>
  <c r="CN13" i="47" s="1"/>
  <c r="CN44" i="47" s="1"/>
  <c r="AC49" i="47"/>
  <c r="BV112" i="47"/>
  <c r="AC51" i="47"/>
  <c r="AC112" i="47"/>
  <c r="T85" i="44"/>
  <c r="BB112" i="47"/>
  <c r="AW112" i="47"/>
  <c r="CN37" i="44"/>
  <c r="K55" i="42"/>
  <c r="K57" i="42" s="1"/>
  <c r="AR21" i="42"/>
  <c r="S20" i="42"/>
  <c r="CN8" i="46"/>
  <c r="CN19" i="47" s="1"/>
  <c r="CN80" i="47" s="1"/>
  <c r="AW152" i="47"/>
  <c r="CK41" i="46"/>
  <c r="AW41" i="46"/>
  <c r="BB113" i="47"/>
  <c r="BB46" i="47"/>
  <c r="BH95" i="47"/>
  <c r="AW35" i="46"/>
  <c r="BV35" i="42"/>
  <c r="BN95" i="47"/>
  <c r="BM52" i="47"/>
  <c r="U95" i="47"/>
  <c r="AD41" i="46"/>
  <c r="AT52" i="47"/>
  <c r="P49" i="42"/>
  <c r="AC54" i="46"/>
  <c r="AD50" i="46"/>
  <c r="X149" i="47"/>
  <c r="X144" i="47"/>
  <c r="X146" i="47" s="1"/>
  <c r="X152" i="47" s="1"/>
  <c r="X151" i="47"/>
  <c r="CI158" i="47"/>
  <c r="CI152" i="47"/>
  <c r="BO158" i="47"/>
  <c r="BJ152" i="47"/>
  <c r="BM56" i="45"/>
  <c r="BM18" i="45"/>
  <c r="BM63" i="45" s="1"/>
  <c r="AG41" i="46"/>
  <c r="S24" i="43"/>
  <c r="S27" i="43"/>
  <c r="BU49" i="44"/>
  <c r="BU62" i="44" s="1"/>
  <c r="BU63" i="44" s="1"/>
  <c r="BU65" i="44" s="1"/>
  <c r="BT62" i="44"/>
  <c r="BT63" i="44" s="1"/>
  <c r="BT65" i="44" s="1"/>
  <c r="CD49" i="44"/>
  <c r="CC62" i="44"/>
  <c r="BO49" i="44"/>
  <c r="BN62" i="44"/>
  <c r="CK49" i="46"/>
  <c r="CK50" i="46" s="1"/>
  <c r="R49" i="44"/>
  <c r="R62" i="44" s="1"/>
  <c r="R63" i="44" s="1"/>
  <c r="Q62" i="44"/>
  <c r="Q63" i="44" s="1"/>
  <c r="Q48" i="45"/>
  <c r="Q54" i="45" s="1"/>
  <c r="Q26" i="42"/>
  <c r="Q53" i="42" s="1"/>
  <c r="Q55" i="42" s="1"/>
  <c r="Q57" i="42" s="1"/>
  <c r="BH85" i="44"/>
  <c r="AS85" i="44"/>
  <c r="Y95" i="47"/>
  <c r="BE49" i="44"/>
  <c r="BD62" i="44"/>
  <c r="BD63" i="44" s="1"/>
  <c r="BD65" i="44" s="1"/>
  <c r="BW64" i="44"/>
  <c r="BW63" i="44"/>
  <c r="BW65" i="44" s="1"/>
  <c r="AA49" i="44"/>
  <c r="Z62" i="44"/>
  <c r="BH63" i="44"/>
  <c r="BH65" i="44" s="1"/>
  <c r="BH64" i="44"/>
  <c r="CB63" i="44"/>
  <c r="CB65" i="44" s="1"/>
  <c r="CB64" i="44"/>
  <c r="BP62" i="47"/>
  <c r="BQ69" i="47"/>
  <c r="BV76" i="47" s="1"/>
  <c r="CV31" i="47"/>
  <c r="E95" i="47"/>
  <c r="BV46" i="47"/>
  <c r="BV41" i="47"/>
  <c r="BQ46" i="47"/>
  <c r="V49" i="44"/>
  <c r="U62" i="44"/>
  <c r="U63" i="44" s="1"/>
  <c r="U65" i="44" s="1"/>
  <c r="CO19" i="46"/>
  <c r="CP19" i="46" s="1"/>
  <c r="CO20" i="46"/>
  <c r="CO16" i="46"/>
  <c r="CO17" i="46"/>
  <c r="CP17" i="46" s="1"/>
  <c r="CO23" i="46"/>
  <c r="CO35" i="46" s="1"/>
  <c r="U49" i="42"/>
  <c r="AQ27" i="42"/>
  <c r="AR27" i="42" s="1"/>
  <c r="AR54" i="42" s="1"/>
  <c r="X20" i="42"/>
  <c r="F51" i="42"/>
  <c r="G50" i="42" s="1"/>
  <c r="G51" i="42" s="1"/>
  <c r="H50" i="42" s="1"/>
  <c r="H51" i="42" s="1"/>
  <c r="I50" i="42" s="1"/>
  <c r="I51" i="42" s="1"/>
  <c r="AH45" i="42"/>
  <c r="CA249" i="43"/>
  <c r="CA248" i="43" s="1"/>
  <c r="I85" i="44"/>
  <c r="BC64" i="44"/>
  <c r="BU56" i="45"/>
  <c r="CO27" i="45"/>
  <c r="CQ35" i="45"/>
  <c r="CR35" i="45" s="1"/>
  <c r="AM41" i="46"/>
  <c r="AC41" i="46"/>
  <c r="BB41" i="46"/>
  <c r="CN79" i="47"/>
  <c r="BO62" i="47"/>
  <c r="BJ95" i="47"/>
  <c r="V95" i="47"/>
  <c r="BZ95" i="47"/>
  <c r="AH123" i="47"/>
  <c r="BN62" i="47"/>
  <c r="BQ41" i="47"/>
  <c r="AF48" i="45"/>
  <c r="AF84" i="44" s="1"/>
  <c r="BS95" i="47"/>
  <c r="T64" i="44"/>
  <c r="T63" i="44"/>
  <c r="T65" i="44" s="1"/>
  <c r="BY49" i="44"/>
  <c r="BX62" i="44"/>
  <c r="BJ49" i="44"/>
  <c r="BI62" i="44"/>
  <c r="BI63" i="44" s="1"/>
  <c r="BI65" i="44" s="1"/>
  <c r="BM41" i="46"/>
  <c r="X76" i="47"/>
  <c r="S45" i="42"/>
  <c r="BG45" i="42"/>
  <c r="BH59" i="42"/>
  <c r="CO42" i="42"/>
  <c r="CO45" i="42" s="1"/>
  <c r="CO49" i="42" s="1"/>
  <c r="CA65" i="44"/>
  <c r="BC85" i="44"/>
  <c r="CO41" i="45"/>
  <c r="AN62" i="45"/>
  <c r="CN40" i="47"/>
  <c r="BQ112" i="47"/>
  <c r="BQ50" i="47"/>
  <c r="BQ52" i="47" s="1"/>
  <c r="L48" i="45"/>
  <c r="L54" i="45" s="1"/>
  <c r="AL95" i="47"/>
  <c r="CJ53" i="46"/>
  <c r="CJ54" i="46" s="1"/>
  <c r="AU49" i="44"/>
  <c r="AT62" i="44"/>
  <c r="S93" i="47"/>
  <c r="S92" i="47"/>
  <c r="S94" i="47"/>
  <c r="AC145" i="47"/>
  <c r="AC146" i="47" s="1"/>
  <c r="AC152" i="47" s="1"/>
  <c r="AC122" i="47"/>
  <c r="AH122" i="47"/>
  <c r="AW46" i="47"/>
  <c r="AW51" i="47"/>
  <c r="AU62" i="47"/>
  <c r="AS62" i="47"/>
  <c r="AT62" i="47"/>
  <c r="AW49" i="47"/>
  <c r="AW52" i="47" s="1"/>
  <c r="AW41" i="47"/>
  <c r="AV62" i="47"/>
  <c r="N24" i="43"/>
  <c r="N27" i="43"/>
  <c r="AK49" i="44"/>
  <c r="AJ62" i="44"/>
  <c r="AJ63" i="44" s="1"/>
  <c r="AJ65" i="44" s="1"/>
  <c r="BL52" i="47"/>
  <c r="BB123" i="47"/>
  <c r="BF95" i="47"/>
  <c r="BR95" i="47"/>
  <c r="AF95" i="47"/>
  <c r="G95" i="47"/>
  <c r="J95" i="47"/>
  <c r="CE95" i="47"/>
  <c r="I95" i="47"/>
  <c r="AP95" i="47"/>
  <c r="AD95" i="47"/>
  <c r="BM95" i="47"/>
  <c r="AE95" i="47"/>
  <c r="AQ95" i="47"/>
  <c r="M95" i="47"/>
  <c r="N95" i="47"/>
  <c r="AL74" i="47"/>
  <c r="AQ74" i="47"/>
  <c r="AM67" i="47"/>
  <c r="AU95" i="47"/>
  <c r="CG95" i="47"/>
  <c r="BG65" i="44"/>
  <c r="CQ30" i="44"/>
  <c r="CP56" i="44"/>
  <c r="CP62" i="44" s="1"/>
  <c r="AO64" i="44"/>
  <c r="AO63" i="44"/>
  <c r="AO65" i="44" s="1"/>
  <c r="AN65" i="44"/>
  <c r="AP62" i="44"/>
  <c r="AQ49" i="44"/>
  <c r="AQ62" i="44" s="1"/>
  <c r="AS65" i="44"/>
  <c r="AS64" i="44"/>
  <c r="AY63" i="44"/>
  <c r="AY65" i="44" s="1"/>
  <c r="AY64" i="44"/>
  <c r="I64" i="44"/>
  <c r="BA49" i="44"/>
  <c r="BA62" i="44" s="1"/>
  <c r="BA63" i="44" s="1"/>
  <c r="BA65" i="44" s="1"/>
  <c r="AZ62" i="44"/>
  <c r="AM15" i="45"/>
  <c r="AM56" i="45" s="1"/>
  <c r="BW83" i="44"/>
  <c r="AI85" i="44"/>
  <c r="S15" i="45"/>
  <c r="S56" i="45" s="1"/>
  <c r="BE83" i="44"/>
  <c r="S46" i="45"/>
  <c r="S55" i="45" s="1"/>
  <c r="AO62" i="45"/>
  <c r="O85" i="44"/>
  <c r="Q69" i="45"/>
  <c r="AK69" i="45"/>
  <c r="I63" i="45"/>
  <c r="I83" i="44"/>
  <c r="I57" i="45"/>
  <c r="I22" i="45"/>
  <c r="I26" i="45"/>
  <c r="I20" i="45"/>
  <c r="I86" i="44"/>
  <c r="BD26" i="45"/>
  <c r="BD22" i="45"/>
  <c r="BD86" i="44"/>
  <c r="BD20" i="45"/>
  <c r="BD57" i="45"/>
  <c r="T80" i="44"/>
  <c r="T54" i="45"/>
  <c r="T84" i="44"/>
  <c r="AX62" i="45"/>
  <c r="AX48" i="45"/>
  <c r="AX55" i="45"/>
  <c r="AX69" i="45"/>
  <c r="Y80" i="44"/>
  <c r="Y54" i="45"/>
  <c r="Y84" i="44"/>
  <c r="Y61" i="45"/>
  <c r="CG20" i="45"/>
  <c r="CG86" i="44"/>
  <c r="CG26" i="45"/>
  <c r="CG57" i="45"/>
  <c r="CG22" i="45"/>
  <c r="CG63" i="45"/>
  <c r="CG31" i="45"/>
  <c r="E54" i="45"/>
  <c r="E84" i="44"/>
  <c r="AD48" i="45"/>
  <c r="AI61" i="45" s="1"/>
  <c r="AD55" i="45"/>
  <c r="AD62" i="45"/>
  <c r="AD69" i="45"/>
  <c r="G18" i="45"/>
  <c r="G56" i="45"/>
  <c r="P18" i="45"/>
  <c r="P70" i="45" s="1"/>
  <c r="P56" i="45"/>
  <c r="BP55" i="45"/>
  <c r="AJ18" i="45"/>
  <c r="AO63" i="45" s="1"/>
  <c r="AJ56" i="45"/>
  <c r="AN48" i="45"/>
  <c r="AN55" i="45"/>
  <c r="BT80" i="44"/>
  <c r="BT79" i="44"/>
  <c r="BT54" i="45"/>
  <c r="BT84" i="44"/>
  <c r="E57" i="45"/>
  <c r="E63" i="45"/>
  <c r="E83" i="44"/>
  <c r="E22" i="45"/>
  <c r="E26" i="45"/>
  <c r="E20" i="45"/>
  <c r="E86" i="44"/>
  <c r="H20" i="45"/>
  <c r="H26" i="45"/>
  <c r="H83" i="44"/>
  <c r="H57" i="45"/>
  <c r="H86" i="44"/>
  <c r="H22" i="45"/>
  <c r="BR18" i="45"/>
  <c r="BW63" i="45" s="1"/>
  <c r="BR56" i="45"/>
  <c r="AF54" i="45"/>
  <c r="CJ20" i="45"/>
  <c r="CJ31" i="45"/>
  <c r="CJ26" i="45"/>
  <c r="CJ38" i="45" s="1"/>
  <c r="CJ57" i="45"/>
  <c r="CJ22" i="45"/>
  <c r="CJ86" i="44"/>
  <c r="CG80" i="44"/>
  <c r="CG79" i="44"/>
  <c r="CG61" i="45"/>
  <c r="CG54" i="45"/>
  <c r="CG84" i="44"/>
  <c r="P48" i="45"/>
  <c r="P68" i="45" s="1"/>
  <c r="P55" i="45"/>
  <c r="AJ48" i="45"/>
  <c r="AK68" i="45" s="1"/>
  <c r="AJ55" i="45"/>
  <c r="D57" i="45"/>
  <c r="D20" i="45"/>
  <c r="D56" i="42" s="1"/>
  <c r="D26" i="45"/>
  <c r="D83" i="44"/>
  <c r="D22" i="45"/>
  <c r="D86" i="44"/>
  <c r="AX56" i="45"/>
  <c r="AX18" i="45"/>
  <c r="BC63" i="45" s="1"/>
  <c r="BD84" i="44"/>
  <c r="BD79" i="44"/>
  <c r="BD80" i="44"/>
  <c r="BD54" i="45"/>
  <c r="AZ22" i="45"/>
  <c r="AZ86" i="44"/>
  <c r="AZ20" i="45"/>
  <c r="AZ83" i="44"/>
  <c r="AZ26" i="45"/>
  <c r="AZ57" i="45"/>
  <c r="I54" i="45"/>
  <c r="I80" i="44"/>
  <c r="I61" i="45"/>
  <c r="I84" i="44"/>
  <c r="AD18" i="45"/>
  <c r="AI63" i="45" s="1"/>
  <c r="AD56" i="45"/>
  <c r="CB79" i="44"/>
  <c r="CB54" i="45"/>
  <c r="CB80" i="44"/>
  <c r="CB84" i="44"/>
  <c r="G48" i="45"/>
  <c r="H62" i="45"/>
  <c r="G55" i="45"/>
  <c r="AV57" i="45"/>
  <c r="AV26" i="45"/>
  <c r="AV22" i="45"/>
  <c r="AV20" i="45"/>
  <c r="AV86" i="44"/>
  <c r="BP56" i="45"/>
  <c r="BP18" i="45"/>
  <c r="BU63" i="45" s="1"/>
  <c r="Y20" i="45"/>
  <c r="Y56" i="42" s="1"/>
  <c r="Y26" i="45"/>
  <c r="Y63" i="45"/>
  <c r="Y57" i="45"/>
  <c r="Y22" i="45"/>
  <c r="Y86" i="44"/>
  <c r="AN18" i="45"/>
  <c r="AN56" i="45"/>
  <c r="BX54" i="45"/>
  <c r="BX84" i="44"/>
  <c r="BX80" i="44"/>
  <c r="BX79" i="44"/>
  <c r="CB57" i="45"/>
  <c r="CB20" i="45"/>
  <c r="CB56" i="42" s="1"/>
  <c r="CB22" i="45"/>
  <c r="CB31" i="45"/>
  <c r="CB26" i="45"/>
  <c r="CB38" i="45" s="1"/>
  <c r="CB86" i="44"/>
  <c r="CB85" i="44"/>
  <c r="BR55" i="45"/>
  <c r="BR69" i="45"/>
  <c r="BR62" i="45"/>
  <c r="BR48" i="45"/>
  <c r="BR59" i="42" s="1"/>
  <c r="AS62" i="45"/>
  <c r="H80" i="44"/>
  <c r="H84" i="44"/>
  <c r="H61" i="45"/>
  <c r="H54" i="45"/>
  <c r="AF57" i="45"/>
  <c r="AF86" i="44"/>
  <c r="AF22" i="45"/>
  <c r="AF26" i="45"/>
  <c r="AF20" i="45"/>
  <c r="AF83" i="44"/>
  <c r="T20" i="45"/>
  <c r="T26" i="45"/>
  <c r="T57" i="45"/>
  <c r="T22" i="45"/>
  <c r="T86" i="44"/>
  <c r="AZ54" i="45"/>
  <c r="AZ84" i="44"/>
  <c r="AZ80" i="44"/>
  <c r="BG113" i="47"/>
  <c r="BG123" i="47"/>
  <c r="BG104" i="47"/>
  <c r="BG90" i="47"/>
  <c r="BG94" i="47"/>
  <c r="BG89" i="47"/>
  <c r="BV113" i="47"/>
  <c r="BV104" i="47"/>
  <c r="BV123" i="47"/>
  <c r="BV90" i="47"/>
  <c r="BV94" i="47"/>
  <c r="BV89" i="47"/>
  <c r="BL146" i="47"/>
  <c r="BL157" i="47"/>
  <c r="T95" i="47"/>
  <c r="BQ146" i="47"/>
  <c r="BQ157" i="47"/>
  <c r="X104" i="47"/>
  <c r="X113" i="47"/>
  <c r="X123" i="47"/>
  <c r="X90" i="47"/>
  <c r="X89" i="47"/>
  <c r="X92" i="47"/>
  <c r="X94" i="47"/>
  <c r="X93" i="47"/>
  <c r="X91" i="47"/>
  <c r="BA95" i="47"/>
  <c r="AO95" i="47"/>
  <c r="Q95" i="47"/>
  <c r="CF52" i="47"/>
  <c r="AM89" i="47"/>
  <c r="AM104" i="47"/>
  <c r="AM113" i="47"/>
  <c r="AM123" i="47"/>
  <c r="AM94" i="47"/>
  <c r="AM90" i="47"/>
  <c r="BL104" i="47"/>
  <c r="BL123" i="47"/>
  <c r="BL113" i="47"/>
  <c r="BL94" i="47"/>
  <c r="BL90" i="47"/>
  <c r="BL89" i="47"/>
  <c r="CA157" i="47"/>
  <c r="CA146" i="47"/>
  <c r="BW95" i="47"/>
  <c r="CA52" i="47"/>
  <c r="AB95" i="47"/>
  <c r="BV157" i="47"/>
  <c r="BV146" i="47"/>
  <c r="BB95" i="47"/>
  <c r="AS95" i="47"/>
  <c r="F95" i="47"/>
  <c r="C95" i="47"/>
  <c r="BX95" i="47"/>
  <c r="CF104" i="47"/>
  <c r="CF113" i="47"/>
  <c r="CF123" i="47"/>
  <c r="CF90" i="47"/>
  <c r="CF94" i="47"/>
  <c r="CF89" i="47"/>
  <c r="CF146" i="47"/>
  <c r="CF157" i="47"/>
  <c r="CF76" i="47"/>
  <c r="BW133" i="47"/>
  <c r="AC52" i="47"/>
  <c r="R95" i="47"/>
  <c r="BN152" i="47"/>
  <c r="BN158" i="47"/>
  <c r="BS158" i="47"/>
  <c r="CK113" i="47"/>
  <c r="CK123" i="47"/>
  <c r="CK104" i="47"/>
  <c r="CK90" i="47"/>
  <c r="CK94" i="47"/>
  <c r="CK89" i="47"/>
  <c r="AX95" i="47"/>
  <c r="BD95" i="47"/>
  <c r="CK146" i="47"/>
  <c r="CK157" i="47"/>
  <c r="BQ113" i="47"/>
  <c r="BQ123" i="47"/>
  <c r="BQ104" i="47"/>
  <c r="BQ90" i="47"/>
  <c r="BQ89" i="47"/>
  <c r="BQ94" i="47"/>
  <c r="AR104" i="47"/>
  <c r="AR89" i="47"/>
  <c r="AR113" i="47"/>
  <c r="AR123" i="47"/>
  <c r="AR94" i="47"/>
  <c r="AR90" i="47"/>
  <c r="BE95" i="47"/>
  <c r="CA104" i="47"/>
  <c r="CA113" i="47"/>
  <c r="CA123" i="47"/>
  <c r="CA89" i="47"/>
  <c r="CA94" i="47"/>
  <c r="CA90" i="47"/>
  <c r="AC104" i="47"/>
  <c r="AC113" i="47"/>
  <c r="AC123" i="47"/>
  <c r="AC94" i="47"/>
  <c r="AC90" i="47"/>
  <c r="AC89" i="47"/>
  <c r="AW113" i="47"/>
  <c r="AW123" i="47"/>
  <c r="AW104" i="47"/>
  <c r="AW90" i="47"/>
  <c r="AW94" i="47"/>
  <c r="AW89" i="47"/>
  <c r="BG35" i="46"/>
  <c r="CK53" i="46"/>
  <c r="CK54" i="46" s="1"/>
  <c r="CM46" i="46"/>
  <c r="AH35" i="46"/>
  <c r="BB53" i="46"/>
  <c r="BB54" i="46" s="1"/>
  <c r="CP14" i="46"/>
  <c r="CM8" i="46"/>
  <c r="BB45" i="46"/>
  <c r="BB46" i="46" s="1"/>
  <c r="CP13" i="46"/>
  <c r="CM7" i="46"/>
  <c r="CM13" i="47" s="1"/>
  <c r="CA45" i="46"/>
  <c r="CA46" i="46" s="1"/>
  <c r="AR41" i="46"/>
  <c r="CN10" i="46"/>
  <c r="CH18" i="45"/>
  <c r="CH56" i="45"/>
  <c r="CK15" i="45"/>
  <c r="CK56" i="45" s="1"/>
  <c r="V48" i="45"/>
  <c r="V55" i="45"/>
  <c r="V69" i="45"/>
  <c r="V62" i="45"/>
  <c r="Q26" i="45"/>
  <c r="Q22" i="45"/>
  <c r="Q57" i="45"/>
  <c r="Q63" i="45"/>
  <c r="Q20" i="45"/>
  <c r="Q86" i="44"/>
  <c r="AK54" i="45"/>
  <c r="AK61" i="45"/>
  <c r="AK80" i="44"/>
  <c r="AK84" i="44"/>
  <c r="R55" i="45"/>
  <c r="R62" i="45"/>
  <c r="T69" i="45"/>
  <c r="R69" i="45"/>
  <c r="U26" i="45"/>
  <c r="U22" i="45"/>
  <c r="U57" i="45"/>
  <c r="U70" i="45"/>
  <c r="U20" i="45"/>
  <c r="U86" i="44"/>
  <c r="CL18" i="45"/>
  <c r="CL56" i="45"/>
  <c r="BI54" i="45"/>
  <c r="BI61" i="45"/>
  <c r="BI79" i="44"/>
  <c r="BI68" i="45"/>
  <c r="BI80" i="44"/>
  <c r="BI84" i="44"/>
  <c r="BH22" i="45"/>
  <c r="BH20" i="45"/>
  <c r="BH26" i="45"/>
  <c r="BH57" i="45"/>
  <c r="BH63" i="45"/>
  <c r="BH86" i="44"/>
  <c r="BF62" i="45"/>
  <c r="BF55" i="45"/>
  <c r="BF69" i="45"/>
  <c r="BE20" i="45"/>
  <c r="BE22" i="45"/>
  <c r="BE26" i="45"/>
  <c r="BE57" i="45"/>
  <c r="BE70" i="45"/>
  <c r="BE63" i="45"/>
  <c r="BE86" i="44"/>
  <c r="BT24" i="45"/>
  <c r="BT28" i="45"/>
  <c r="AP62" i="45"/>
  <c r="AP69" i="45"/>
  <c r="AP48" i="45"/>
  <c r="AP55" i="45"/>
  <c r="CK46" i="45"/>
  <c r="CK78" i="44"/>
  <c r="DE112" i="44" s="1"/>
  <c r="BC79" i="44"/>
  <c r="W55" i="45"/>
  <c r="W62" i="45"/>
  <c r="AB62" i="45"/>
  <c r="W69" i="45"/>
  <c r="Y69" i="45"/>
  <c r="BJ18" i="45"/>
  <c r="BJ56" i="45"/>
  <c r="O26" i="45"/>
  <c r="O22" i="45"/>
  <c r="T63" i="45"/>
  <c r="O57" i="45"/>
  <c r="O70" i="45"/>
  <c r="O86" i="44"/>
  <c r="O20" i="45"/>
  <c r="V18" i="45"/>
  <c r="V56" i="45"/>
  <c r="X46" i="45"/>
  <c r="K18" i="45"/>
  <c r="K56" i="45"/>
  <c r="BV46" i="45"/>
  <c r="BV78" i="44"/>
  <c r="DB112" i="44" s="1"/>
  <c r="AO22" i="45"/>
  <c r="AO20" i="45"/>
  <c r="AO26" i="45"/>
  <c r="AO57" i="45"/>
  <c r="AO83" i="44"/>
  <c r="AO86" i="44"/>
  <c r="AO70" i="45"/>
  <c r="AO85" i="44"/>
  <c r="AC46" i="45"/>
  <c r="Z62" i="45"/>
  <c r="Z48" i="45"/>
  <c r="Z55" i="45"/>
  <c r="Z69" i="45"/>
  <c r="AQ55" i="45"/>
  <c r="AV62" i="45"/>
  <c r="CD62" i="45"/>
  <c r="CD69" i="45"/>
  <c r="CD55" i="45"/>
  <c r="CD48" i="45"/>
  <c r="BY22" i="45"/>
  <c r="BY20" i="45"/>
  <c r="BY31" i="45"/>
  <c r="BY26" i="45"/>
  <c r="BY63" i="45"/>
  <c r="BY70" i="45"/>
  <c r="BY57" i="45"/>
  <c r="BY83" i="44"/>
  <c r="BY86" i="44"/>
  <c r="F48" i="45"/>
  <c r="F55" i="45"/>
  <c r="F62" i="45"/>
  <c r="G62" i="45"/>
  <c r="BA26" i="45"/>
  <c r="BA22" i="45"/>
  <c r="BA70" i="45"/>
  <c r="BA57" i="45"/>
  <c r="BA63" i="45"/>
  <c r="BA20" i="45"/>
  <c r="BA86" i="44"/>
  <c r="BQ46" i="45"/>
  <c r="BQ78" i="44"/>
  <c r="DA112" i="44" s="1"/>
  <c r="DB102" i="45"/>
  <c r="DA107" i="45"/>
  <c r="AL48" i="45"/>
  <c r="AL55" i="45"/>
  <c r="AL62" i="45"/>
  <c r="AN69" i="45"/>
  <c r="AL69" i="45"/>
  <c r="R18" i="45"/>
  <c r="R56" i="45"/>
  <c r="N46" i="45"/>
  <c r="J48" i="45"/>
  <c r="O61" i="45" s="1"/>
  <c r="J55" i="45"/>
  <c r="BJ62" i="45"/>
  <c r="BJ69" i="45"/>
  <c r="BJ48" i="45"/>
  <c r="BJ55" i="45"/>
  <c r="BK18" i="45"/>
  <c r="BK56" i="45"/>
  <c r="L24" i="45"/>
  <c r="L28" i="45"/>
  <c r="CM13" i="45"/>
  <c r="CN7" i="44"/>
  <c r="CM53" i="44"/>
  <c r="DB100" i="45"/>
  <c r="CA46" i="45"/>
  <c r="CA78" i="44"/>
  <c r="DC112" i="44" s="1"/>
  <c r="CE55" i="45"/>
  <c r="CE62" i="45"/>
  <c r="CJ62" i="45"/>
  <c r="CE69" i="45"/>
  <c r="CG69" i="45"/>
  <c r="BL15" i="45"/>
  <c r="BL56" i="45" s="1"/>
  <c r="BY54" i="45"/>
  <c r="BY68" i="45"/>
  <c r="BY79" i="44"/>
  <c r="BY61" i="45"/>
  <c r="BY80" i="44"/>
  <c r="BY84" i="44"/>
  <c r="BF18" i="45"/>
  <c r="BG18" i="45" s="1"/>
  <c r="BG31" i="45" s="1"/>
  <c r="BF56" i="45"/>
  <c r="AU55" i="45"/>
  <c r="AU69" i="45"/>
  <c r="AU62" i="45"/>
  <c r="AZ62" i="45"/>
  <c r="AV69" i="45"/>
  <c r="AU48" i="45"/>
  <c r="BT38" i="45"/>
  <c r="AP18" i="45"/>
  <c r="AP56" i="45"/>
  <c r="N15" i="45"/>
  <c r="N56" i="45" s="1"/>
  <c r="J18" i="45"/>
  <c r="J85" i="44" s="1"/>
  <c r="J56" i="45"/>
  <c r="W18" i="45"/>
  <c r="W56" i="45"/>
  <c r="DB101" i="45"/>
  <c r="DS75" i="45" s="1"/>
  <c r="DS76" i="45" s="1"/>
  <c r="DA106" i="45"/>
  <c r="DR78" i="45" s="1"/>
  <c r="DR79" i="45" s="1"/>
  <c r="U54" i="45"/>
  <c r="U68" i="45"/>
  <c r="U80" i="44"/>
  <c r="U84" i="44"/>
  <c r="BW26" i="45"/>
  <c r="BX71" i="45" s="1"/>
  <c r="BW22" i="45"/>
  <c r="BW31" i="45"/>
  <c r="BW57" i="45"/>
  <c r="BW86" i="44"/>
  <c r="CB63" i="45"/>
  <c r="BW70" i="45"/>
  <c r="BW20" i="45"/>
  <c r="AB24" i="45"/>
  <c r="AB28" i="45"/>
  <c r="AE55" i="45"/>
  <c r="AH46" i="45"/>
  <c r="AE62" i="45"/>
  <c r="AF69" i="45"/>
  <c r="AE69" i="45"/>
  <c r="AJ62" i="45"/>
  <c r="AE48" i="45"/>
  <c r="AR15" i="45"/>
  <c r="AR56" i="45" s="1"/>
  <c r="AC15" i="45"/>
  <c r="AC56" i="45" s="1"/>
  <c r="Z18" i="45"/>
  <c r="Z56" i="45"/>
  <c r="AS24" i="45"/>
  <c r="AS28" i="45"/>
  <c r="AQ18" i="45"/>
  <c r="AQ56" i="45"/>
  <c r="AW46" i="45"/>
  <c r="AT62" i="45"/>
  <c r="AT48" i="45"/>
  <c r="AT55" i="45"/>
  <c r="AA55" i="45"/>
  <c r="AA69" i="45"/>
  <c r="AA62" i="45"/>
  <c r="AF62" i="45"/>
  <c r="AB69" i="45"/>
  <c r="AA48" i="45"/>
  <c r="CD18" i="45"/>
  <c r="CD56" i="45"/>
  <c r="BE79" i="44"/>
  <c r="BO55" i="45"/>
  <c r="BO69" i="45"/>
  <c r="BO62" i="45"/>
  <c r="BT62" i="45"/>
  <c r="BP69" i="45"/>
  <c r="BO48" i="45"/>
  <c r="BC20" i="45"/>
  <c r="BC26" i="45"/>
  <c r="BC22" i="45"/>
  <c r="BC57" i="45"/>
  <c r="BC70" i="45"/>
  <c r="BC86" i="44"/>
  <c r="BD70" i="45"/>
  <c r="CC20" i="45"/>
  <c r="CC26" i="45"/>
  <c r="CC22" i="45"/>
  <c r="CC31" i="45"/>
  <c r="CC57" i="45"/>
  <c r="CC63" i="45"/>
  <c r="CC70" i="45"/>
  <c r="CC83" i="44"/>
  <c r="CC86" i="44"/>
  <c r="F18" i="45"/>
  <c r="F56" i="45"/>
  <c r="BX70" i="45"/>
  <c r="BX38" i="45"/>
  <c r="AL18" i="45"/>
  <c r="AL56" i="45"/>
  <c r="AI54" i="45"/>
  <c r="AI80" i="44"/>
  <c r="AI84" i="44"/>
  <c r="BG55" i="45"/>
  <c r="M22" i="45"/>
  <c r="M26" i="45"/>
  <c r="M71" i="45" s="1"/>
  <c r="M70" i="45"/>
  <c r="M57" i="45"/>
  <c r="M20" i="45"/>
  <c r="M86" i="44"/>
  <c r="S62" i="45"/>
  <c r="CI18" i="45"/>
  <c r="CI56" i="45"/>
  <c r="K55" i="45"/>
  <c r="P62" i="45"/>
  <c r="K69" i="45"/>
  <c r="L69" i="45"/>
  <c r="K48" i="45"/>
  <c r="BZ18" i="45"/>
  <c r="BZ56" i="45"/>
  <c r="BS18" i="45"/>
  <c r="BS56" i="45"/>
  <c r="BV15" i="45"/>
  <c r="BV56" i="45" s="1"/>
  <c r="CC54" i="45"/>
  <c r="CC61" i="45"/>
  <c r="CC68" i="45"/>
  <c r="CC79" i="44"/>
  <c r="CC84" i="44"/>
  <c r="BL62" i="45"/>
  <c r="BL55" i="45"/>
  <c r="AY18" i="45"/>
  <c r="AY56" i="45"/>
  <c r="BB15" i="45"/>
  <c r="BB56" i="45" s="1"/>
  <c r="BX24" i="45"/>
  <c r="BX28" i="45"/>
  <c r="BN18" i="45"/>
  <c r="BN56" i="45"/>
  <c r="BQ15" i="45"/>
  <c r="BQ56" i="45" s="1"/>
  <c r="C26" i="45"/>
  <c r="C22" i="45"/>
  <c r="C57" i="45"/>
  <c r="D63" i="45"/>
  <c r="C20" i="45"/>
  <c r="U83" i="44"/>
  <c r="M83" i="44"/>
  <c r="X15" i="45"/>
  <c r="X56" i="45" s="1"/>
  <c r="CL62" i="45"/>
  <c r="CL48" i="45"/>
  <c r="CL59" i="42" s="1"/>
  <c r="CL69" i="45"/>
  <c r="CL55" i="45"/>
  <c r="CE18" i="45"/>
  <c r="CE56" i="45"/>
  <c r="O54" i="45"/>
  <c r="O84" i="44"/>
  <c r="O80" i="44"/>
  <c r="T61" i="45"/>
  <c r="O62" i="45"/>
  <c r="AU18" i="45"/>
  <c r="AU56" i="45"/>
  <c r="CP34" i="45"/>
  <c r="CP23" i="45" s="1"/>
  <c r="CI55" i="45"/>
  <c r="CI69" i="45"/>
  <c r="CI62" i="45"/>
  <c r="CJ69" i="45"/>
  <c r="CI48" i="45"/>
  <c r="CH48" i="45"/>
  <c r="CH55" i="45"/>
  <c r="CH62" i="45"/>
  <c r="CH69" i="45"/>
  <c r="BI22" i="45"/>
  <c r="BI20" i="45"/>
  <c r="BI26" i="45"/>
  <c r="BI63" i="45"/>
  <c r="BI57" i="45"/>
  <c r="BI70" i="45"/>
  <c r="BI86" i="44"/>
  <c r="BK55" i="45"/>
  <c r="BK62" i="45"/>
  <c r="BP62" i="45"/>
  <c r="BK69" i="45"/>
  <c r="BM69" i="45"/>
  <c r="BU22" i="45"/>
  <c r="BU20" i="45"/>
  <c r="BU26" i="45"/>
  <c r="BU31" i="45"/>
  <c r="BU57" i="45"/>
  <c r="BU70" i="45"/>
  <c r="BU86" i="44"/>
  <c r="BZ62" i="45"/>
  <c r="BZ55" i="45"/>
  <c r="BZ69" i="45"/>
  <c r="CB69" i="45"/>
  <c r="BS55" i="45"/>
  <c r="BT69" i="45"/>
  <c r="BS62" i="45"/>
  <c r="BX62" i="45"/>
  <c r="BS69" i="45"/>
  <c r="BS48" i="45"/>
  <c r="AE18" i="45"/>
  <c r="AE56" i="45"/>
  <c r="AH15" i="45"/>
  <c r="AH56" i="45" s="1"/>
  <c r="BH69" i="45"/>
  <c r="BH61" i="45"/>
  <c r="BH54" i="45"/>
  <c r="BH79" i="44"/>
  <c r="BH80" i="44"/>
  <c r="BM61" i="45"/>
  <c r="BH84" i="44"/>
  <c r="CF46" i="45"/>
  <c r="AT18" i="45"/>
  <c r="AT56" i="45"/>
  <c r="AW15" i="45"/>
  <c r="AW56" i="45" s="1"/>
  <c r="AA18" i="45"/>
  <c r="AA56" i="45"/>
  <c r="C54" i="45"/>
  <c r="C80" i="44"/>
  <c r="BO18" i="45"/>
  <c r="BO56" i="45"/>
  <c r="BW54" i="45"/>
  <c r="BW61" i="45"/>
  <c r="BW84" i="44"/>
  <c r="BX68" i="45"/>
  <c r="BW79" i="44"/>
  <c r="CB61" i="45"/>
  <c r="BW80" i="44"/>
  <c r="CF15" i="45"/>
  <c r="CF56" i="45" s="1"/>
  <c r="AR46" i="45"/>
  <c r="AT69" i="45" s="1"/>
  <c r="AY55" i="45"/>
  <c r="BB46" i="45"/>
  <c r="AZ69" i="45"/>
  <c r="AY62" i="45"/>
  <c r="BD62" i="45"/>
  <c r="AY69" i="45"/>
  <c r="AY48" i="45"/>
  <c r="BN62" i="45"/>
  <c r="BN55" i="45"/>
  <c r="BN48" i="45"/>
  <c r="BN59" i="42" s="1"/>
  <c r="BN69" i="45"/>
  <c r="AK26" i="45"/>
  <c r="AK22" i="45"/>
  <c r="AK63" i="45"/>
  <c r="AK83" i="44"/>
  <c r="AK57" i="45"/>
  <c r="AK20" i="45"/>
  <c r="AK86" i="44"/>
  <c r="AI26" i="45"/>
  <c r="AI22" i="45"/>
  <c r="AI57" i="45"/>
  <c r="AN63" i="45"/>
  <c r="AI86" i="44"/>
  <c r="AI70" i="45"/>
  <c r="AI20" i="45"/>
  <c r="AG20" i="45"/>
  <c r="AG26" i="45"/>
  <c r="AG22" i="45"/>
  <c r="AG70" i="45"/>
  <c r="AG63" i="45"/>
  <c r="AG57" i="45"/>
  <c r="AG86" i="44"/>
  <c r="AM46" i="45"/>
  <c r="S64" i="44"/>
  <c r="AE64" i="44"/>
  <c r="AE63" i="44"/>
  <c r="AE65" i="44" s="1"/>
  <c r="X64" i="44"/>
  <c r="X65" i="44"/>
  <c r="AN83" i="44"/>
  <c r="AN74" i="44"/>
  <c r="AR74" i="44"/>
  <c r="AG49" i="44"/>
  <c r="AG62" i="44" s="1"/>
  <c r="AF62" i="44"/>
  <c r="CA64" i="44"/>
  <c r="CA59" i="44"/>
  <c r="DC110" i="44" s="1"/>
  <c r="C64" i="44"/>
  <c r="D85" i="44"/>
  <c r="C65" i="44"/>
  <c r="AW64" i="44"/>
  <c r="AW65" i="44"/>
  <c r="S59" i="44"/>
  <c r="CP26" i="44"/>
  <c r="BH83" i="44"/>
  <c r="BH74" i="44"/>
  <c r="BL74" i="44"/>
  <c r="CI64" i="44"/>
  <c r="CI63" i="44"/>
  <c r="CI65" i="44" s="1"/>
  <c r="AM59" i="44"/>
  <c r="Y85" i="44"/>
  <c r="Y64" i="44"/>
  <c r="Y65" i="44"/>
  <c r="CK64" i="44"/>
  <c r="P64" i="44"/>
  <c r="BB64" i="44"/>
  <c r="BB65" i="44"/>
  <c r="P65" i="44"/>
  <c r="J64" i="44"/>
  <c r="J63" i="44"/>
  <c r="J65" i="44" s="1"/>
  <c r="BQ64" i="44"/>
  <c r="BQ65" i="44"/>
  <c r="BL64" i="44"/>
  <c r="BL65" i="44"/>
  <c r="I65" i="44"/>
  <c r="AC64" i="44"/>
  <c r="BG64" i="44"/>
  <c r="CB83" i="44"/>
  <c r="CB74" i="44"/>
  <c r="CF74" i="44"/>
  <c r="T83" i="44"/>
  <c r="T74" i="44"/>
  <c r="X74" i="44"/>
  <c r="CJ63" i="44"/>
  <c r="CJ65" i="44" s="1"/>
  <c r="CJ64" i="44"/>
  <c r="AM74" i="44"/>
  <c r="BG74" i="44"/>
  <c r="BG59" i="44"/>
  <c r="CL74" i="44"/>
  <c r="R50" i="44"/>
  <c r="R61" i="44" s="1"/>
  <c r="Q61" i="44"/>
  <c r="S65" i="44"/>
  <c r="CG85" i="44"/>
  <c r="CG64" i="44"/>
  <c r="BM64" i="44"/>
  <c r="BM65" i="44"/>
  <c r="L49" i="44"/>
  <c r="K62" i="44"/>
  <c r="BI85" i="44"/>
  <c r="BF50" i="44"/>
  <c r="BF61" i="44" s="1"/>
  <c r="BE61" i="44"/>
  <c r="BU10" i="42"/>
  <c r="BU47" i="45" s="1"/>
  <c r="BU48" i="45" s="1"/>
  <c r="BU54" i="45" s="1"/>
  <c r="BZ10" i="42"/>
  <c r="BZ47" i="45" s="1"/>
  <c r="BZ48" i="45" s="1"/>
  <c r="CK249" i="43"/>
  <c r="CK248" i="43" s="1"/>
  <c r="BQ122" i="43"/>
  <c r="BF10" i="42"/>
  <c r="BF47" i="45" s="1"/>
  <c r="BF48" i="45" s="1"/>
  <c r="BH68" i="45" s="1"/>
  <c r="CI123" i="43"/>
  <c r="CH124" i="43"/>
  <c r="W24" i="43"/>
  <c r="W27" i="43"/>
  <c r="BV190" i="43"/>
  <c r="BU193" i="43"/>
  <c r="BV193" i="43" s="1"/>
  <c r="BW190" i="43" s="1"/>
  <c r="BW193" i="43" s="1"/>
  <c r="BX190" i="43" s="1"/>
  <c r="BX193" i="43" s="1"/>
  <c r="BY190" i="43" s="1"/>
  <c r="BY193" i="43" s="1"/>
  <c r="BZ190" i="43" s="1"/>
  <c r="M18" i="43"/>
  <c r="L20" i="43"/>
  <c r="L22" i="43"/>
  <c r="L32" i="43" s="1"/>
  <c r="L25" i="43"/>
  <c r="CP309" i="43"/>
  <c r="CQ308" i="43"/>
  <c r="AB22" i="43"/>
  <c r="AB32" i="43" s="1"/>
  <c r="AB25" i="43"/>
  <c r="AG18" i="43"/>
  <c r="AE20" i="43"/>
  <c r="AE22" i="43"/>
  <c r="AE32" i="43" s="1"/>
  <c r="AE25" i="43"/>
  <c r="R18" i="43"/>
  <c r="P20" i="43"/>
  <c r="P22" i="43"/>
  <c r="P32" i="43" s="1"/>
  <c r="P25" i="43"/>
  <c r="BA10" i="42"/>
  <c r="BA47" i="45" s="1"/>
  <c r="BA48" i="45" s="1"/>
  <c r="BA54" i="45" s="1"/>
  <c r="CP311" i="43"/>
  <c r="CQ310" i="43"/>
  <c r="AM10" i="42"/>
  <c r="F125" i="43"/>
  <c r="G123" i="43"/>
  <c r="G124" i="43" s="1"/>
  <c r="BB249" i="43"/>
  <c r="BB248" i="43" s="1"/>
  <c r="CQ234" i="43"/>
  <c r="CQ233" i="43" s="1"/>
  <c r="CR170" i="43"/>
  <c r="CQ210" i="43"/>
  <c r="CP209" i="43"/>
  <c r="AQ27" i="43"/>
  <c r="AQ24" i="43"/>
  <c r="AJ49" i="42"/>
  <c r="CF249" i="43"/>
  <c r="CF248" i="43" s="1"/>
  <c r="BB35" i="42"/>
  <c r="N45" i="42"/>
  <c r="BB28" i="42"/>
  <c r="CQ224" i="43"/>
  <c r="CQ223" i="43" s="1"/>
  <c r="CQ177" i="43"/>
  <c r="CR169" i="43"/>
  <c r="AG10" i="42"/>
  <c r="AG47" i="45" s="1"/>
  <c r="AG48" i="45" s="1"/>
  <c r="M10" i="42"/>
  <c r="M47" i="45" s="1"/>
  <c r="M48" i="45" s="1"/>
  <c r="M80" i="44" s="1"/>
  <c r="AB20" i="43"/>
  <c r="AC24" i="43"/>
  <c r="AC27" i="43"/>
  <c r="R10" i="42"/>
  <c r="R47" i="45" s="1"/>
  <c r="S47" i="45" s="1"/>
  <c r="CO57" i="42"/>
  <c r="BX53" i="42"/>
  <c r="BX55" i="42" s="1"/>
  <c r="BX49" i="42"/>
  <c r="CA36" i="42"/>
  <c r="CA45" i="42"/>
  <c r="CC49" i="42"/>
  <c r="AK55" i="42"/>
  <c r="AK57" i="42" s="1"/>
  <c r="AE49" i="42"/>
  <c r="S9" i="42"/>
  <c r="AR20" i="42"/>
  <c r="BK18" i="42"/>
  <c r="BK219" i="43" s="1"/>
  <c r="BL219" i="43" s="1"/>
  <c r="BK36" i="42"/>
  <c r="BK45" i="42" s="1"/>
  <c r="BL45" i="42" s="1"/>
  <c r="BU18" i="42"/>
  <c r="BU219" i="43" s="1"/>
  <c r="BV219" i="43" s="1"/>
  <c r="BP18" i="42"/>
  <c r="BP219" i="43" s="1"/>
  <c r="BQ219" i="43" s="1"/>
  <c r="CE18" i="42"/>
  <c r="CF18" i="42" s="1"/>
  <c r="CQ25" i="42"/>
  <c r="M27" i="42"/>
  <c r="M54" i="42" s="1"/>
  <c r="L54" i="42"/>
  <c r="BN49" i="42"/>
  <c r="CJ18" i="42"/>
  <c r="CK18" i="42" s="1"/>
  <c r="AO49" i="42"/>
  <c r="BV45" i="42"/>
  <c r="BG18" i="42"/>
  <c r="CQ57" i="42"/>
  <c r="AY57" i="42"/>
  <c r="BS53" i="42"/>
  <c r="BS55" i="42" s="1"/>
  <c r="BS59" i="42" s="1"/>
  <c r="BS49" i="42"/>
  <c r="R35" i="42"/>
  <c r="S35" i="42" s="1"/>
  <c r="R54" i="42"/>
  <c r="S27" i="42"/>
  <c r="S54" i="42" s="1"/>
  <c r="CJ36" i="42"/>
  <c r="CJ45" i="42" s="1"/>
  <c r="CI45" i="42"/>
  <c r="CJ20" i="42"/>
  <c r="CK21" i="42"/>
  <c r="CK20" i="42" s="1"/>
  <c r="T57" i="42"/>
  <c r="AQ9" i="42"/>
  <c r="AP26" i="42"/>
  <c r="AP53" i="42" s="1"/>
  <c r="AP55" i="42" s="1"/>
  <c r="AK45" i="42"/>
  <c r="AL38" i="42"/>
  <c r="AL45" i="42" s="1"/>
  <c r="BL21" i="42"/>
  <c r="BL20" i="42" s="1"/>
  <c r="AE57" i="42"/>
  <c r="W10" i="42"/>
  <c r="W47" i="45" s="1"/>
  <c r="X47" i="45" s="1"/>
  <c r="AB36" i="42"/>
  <c r="AB45" i="42" s="1"/>
  <c r="AA45" i="42"/>
  <c r="AG29" i="42"/>
  <c r="AH29" i="42" s="1"/>
  <c r="CJ10" i="42"/>
  <c r="CJ47" i="45" s="1"/>
  <c r="CJ48" i="45" s="1"/>
  <c r="CJ84" i="44" s="1"/>
  <c r="CI26" i="42"/>
  <c r="CI53" i="42" s="1"/>
  <c r="CI55" i="42" s="1"/>
  <c r="BH57" i="42"/>
  <c r="Q49" i="42"/>
  <c r="R48" i="42"/>
  <c r="BA13" i="42"/>
  <c r="BB13" i="42" s="1"/>
  <c r="CP53" i="42"/>
  <c r="CP55" i="42" s="1"/>
  <c r="BW57" i="42"/>
  <c r="BV48" i="42"/>
  <c r="W38" i="42"/>
  <c r="W45" i="42" s="1"/>
  <c r="V45" i="42"/>
  <c r="V35" i="42"/>
  <c r="W27" i="42"/>
  <c r="X27" i="42" s="1"/>
  <c r="X54" i="42" s="1"/>
  <c r="V54" i="42"/>
  <c r="BC53" i="42"/>
  <c r="BC55" i="42" s="1"/>
  <c r="BC49" i="42"/>
  <c r="BI53" i="42"/>
  <c r="BI55" i="42" s="1"/>
  <c r="BI59" i="42" s="1"/>
  <c r="BI49" i="42"/>
  <c r="BP36" i="42"/>
  <c r="BP45" i="42" s="1"/>
  <c r="BO45" i="42"/>
  <c r="CC53" i="42"/>
  <c r="CC55" i="42" s="1"/>
  <c r="CC59" i="42" s="1"/>
  <c r="AF20" i="42"/>
  <c r="AG21" i="42"/>
  <c r="AG20" i="42" s="1"/>
  <c r="AZ20" i="42"/>
  <c r="BA21" i="42"/>
  <c r="BA20" i="42" s="1"/>
  <c r="AQ10" i="42"/>
  <c r="AQ47" i="45" s="1"/>
  <c r="AR47" i="45" s="1"/>
  <c r="CF48" i="42"/>
  <c r="AY49" i="42"/>
  <c r="BL40" i="42"/>
  <c r="AF35" i="42"/>
  <c r="AQ35" i="42"/>
  <c r="AR35" i="42" s="1"/>
  <c r="AC21" i="42"/>
  <c r="AH11" i="42"/>
  <c r="Z57" i="42"/>
  <c r="L20" i="42"/>
  <c r="L26" i="42" s="1"/>
  <c r="L53" i="42" s="1"/>
  <c r="M21" i="42"/>
  <c r="BK10" i="42"/>
  <c r="BK47" i="45" s="1"/>
  <c r="BK48" i="45" s="1"/>
  <c r="BJ26" i="42"/>
  <c r="BJ53" i="42" s="1"/>
  <c r="BJ55" i="42" s="1"/>
  <c r="BJ59" i="42" s="1"/>
  <c r="AQ40" i="42"/>
  <c r="AQ45" i="42" s="1"/>
  <c r="AP45" i="42"/>
  <c r="AV20" i="42"/>
  <c r="AW20" i="42" s="1"/>
  <c r="AW21" i="42"/>
  <c r="BZ32" i="42"/>
  <c r="CA32" i="42" s="1"/>
  <c r="BL35" i="42"/>
  <c r="BL54" i="42"/>
  <c r="BD57" i="42"/>
  <c r="CE10" i="42"/>
  <c r="CE47" i="45" s="1"/>
  <c r="CE48" i="45" s="1"/>
  <c r="CD26" i="42"/>
  <c r="CD53" i="42" s="1"/>
  <c r="AT57" i="42"/>
  <c r="AW48" i="42"/>
  <c r="AL48" i="42"/>
  <c r="AM48" i="42" s="1"/>
  <c r="AL35" i="42"/>
  <c r="AL54" i="42"/>
  <c r="AM27" i="42"/>
  <c r="AM54" i="42" s="1"/>
  <c r="BD49" i="42"/>
  <c r="M29" i="42"/>
  <c r="N29" i="42" s="1"/>
  <c r="AB35" i="42"/>
  <c r="AC35" i="42" s="1"/>
  <c r="AB54" i="42"/>
  <c r="J53" i="42"/>
  <c r="J55" i="42" s="1"/>
  <c r="U55" i="42"/>
  <c r="BP20" i="42"/>
  <c r="BQ21" i="42"/>
  <c r="BQ20" i="42" s="1"/>
  <c r="AC20" i="42"/>
  <c r="AM28" i="42"/>
  <c r="AD57" i="42"/>
  <c r="AI57" i="42"/>
  <c r="AV36" i="42"/>
  <c r="AV45" i="42" s="1"/>
  <c r="AU45" i="42"/>
  <c r="M48" i="42"/>
  <c r="N48" i="42" s="1"/>
  <c r="BP10" i="42"/>
  <c r="BP47" i="45" s="1"/>
  <c r="BP48" i="45" s="1"/>
  <c r="BO26" i="42"/>
  <c r="AL26" i="42"/>
  <c r="AL53" i="42" s="1"/>
  <c r="AM12" i="42"/>
  <c r="O57" i="42"/>
  <c r="AV35" i="42"/>
  <c r="AW35" i="42" s="1"/>
  <c r="AV54" i="42"/>
  <c r="AW27" i="42"/>
  <c r="AW54" i="42" s="1"/>
  <c r="BZ48" i="42"/>
  <c r="CA48" i="42" s="1"/>
  <c r="Y57" i="42"/>
  <c r="AX53" i="42"/>
  <c r="AX55" i="42" s="1"/>
  <c r="CH49" i="42"/>
  <c r="BP54" i="42"/>
  <c r="BP35" i="42"/>
  <c r="BQ27" i="42"/>
  <c r="AH28" i="42"/>
  <c r="L35" i="42"/>
  <c r="CJ35" i="42"/>
  <c r="CJ54" i="42"/>
  <c r="CK27" i="42"/>
  <c r="AS53" i="42"/>
  <c r="AS55" i="42" s="1"/>
  <c r="BR57" i="42"/>
  <c r="AB10" i="42"/>
  <c r="AB47" i="45" s="1"/>
  <c r="AB48" i="45" s="1"/>
  <c r="AB54" i="45" s="1"/>
  <c r="AA26" i="42"/>
  <c r="AT49" i="42"/>
  <c r="AO57" i="42"/>
  <c r="BA45" i="42"/>
  <c r="BB45" i="42" s="1"/>
  <c r="BB36" i="42"/>
  <c r="CD35" i="42"/>
  <c r="CE27" i="42"/>
  <c r="CD54" i="42"/>
  <c r="BK35" i="42"/>
  <c r="BK54" i="42"/>
  <c r="BF35" i="42"/>
  <c r="BF54" i="42"/>
  <c r="BG27" i="42"/>
  <c r="BF23" i="42"/>
  <c r="BF20" i="42" s="1"/>
  <c r="BE20" i="42"/>
  <c r="AN53" i="42"/>
  <c r="AN55" i="42" s="1"/>
  <c r="BT20" i="42"/>
  <c r="BT26" i="42" s="1"/>
  <c r="BU21" i="42"/>
  <c r="BU20" i="42" s="1"/>
  <c r="BM57" i="42"/>
  <c r="AU26" i="42"/>
  <c r="AU53" i="42" s="1"/>
  <c r="AU55" i="42" s="1"/>
  <c r="AV10" i="42"/>
  <c r="AV47" i="45" s="1"/>
  <c r="AV48" i="45" s="1"/>
  <c r="AV54" i="45" s="1"/>
  <c r="K49" i="42"/>
  <c r="BN57" i="42"/>
  <c r="Z49" i="42"/>
  <c r="AK35" i="42"/>
  <c r="BF48" i="42"/>
  <c r="BZ54" i="42"/>
  <c r="CA27" i="42"/>
  <c r="CH53" i="42"/>
  <c r="CH55" i="42" s="1"/>
  <c r="W9" i="42"/>
  <c r="V26" i="42"/>
  <c r="BZ11" i="42"/>
  <c r="BY26" i="42"/>
  <c r="CL57" i="42"/>
  <c r="N28" i="42"/>
  <c r="AS69" i="45" l="1"/>
  <c r="AQ69" i="45"/>
  <c r="BC84" i="44"/>
  <c r="AS80" i="44"/>
  <c r="CP45" i="42"/>
  <c r="CP49" i="42" s="1"/>
  <c r="AJ85" i="44"/>
  <c r="AK70" i="45"/>
  <c r="BC54" i="45"/>
  <c r="AS84" i="44"/>
  <c r="BC59" i="42"/>
  <c r="BT64" i="44"/>
  <c r="AJ70" i="45"/>
  <c r="BD68" i="45"/>
  <c r="BQ76" i="47"/>
  <c r="L80" i="44"/>
  <c r="AJ64" i="44"/>
  <c r="AR52" i="47"/>
  <c r="BE68" i="45"/>
  <c r="AO84" i="44"/>
  <c r="D80" i="44"/>
  <c r="BE84" i="44"/>
  <c r="BE61" i="45"/>
  <c r="AO80" i="44"/>
  <c r="E61" i="45"/>
  <c r="D84" i="44"/>
  <c r="BC61" i="45"/>
  <c r="BF26" i="42"/>
  <c r="BF53" i="42" s="1"/>
  <c r="BF55" i="42" s="1"/>
  <c r="BF59" i="42" s="1"/>
  <c r="D61" i="45"/>
  <c r="BE80" i="44"/>
  <c r="L84" i="44"/>
  <c r="BQ45" i="42"/>
  <c r="AM48" i="45"/>
  <c r="AM84" i="44" s="1"/>
  <c r="AF80" i="44"/>
  <c r="CN45" i="47"/>
  <c r="CN39" i="47"/>
  <c r="BA64" i="44"/>
  <c r="AO61" i="45"/>
  <c r="CN55" i="47"/>
  <c r="CN26" i="47"/>
  <c r="CN6" i="45" s="1"/>
  <c r="CN9" i="45" s="1"/>
  <c r="AQ54" i="42"/>
  <c r="AG68" i="45"/>
  <c r="P85" i="44"/>
  <c r="D64" i="45"/>
  <c r="AJ68" i="45"/>
  <c r="Z85" i="44"/>
  <c r="S18" i="45"/>
  <c r="S85" i="44" s="1"/>
  <c r="CD49" i="42"/>
  <c r="X45" i="42"/>
  <c r="BN85" i="44"/>
  <c r="Q80" i="44"/>
  <c r="Q68" i="45"/>
  <c r="Q70" i="45"/>
  <c r="U61" i="45"/>
  <c r="U63" i="45"/>
  <c r="U64" i="44"/>
  <c r="BM85" i="44"/>
  <c r="BU26" i="42"/>
  <c r="BU53" i="42" s="1"/>
  <c r="BU55" i="42" s="1"/>
  <c r="BU59" i="42" s="1"/>
  <c r="BU64" i="44"/>
  <c r="U85" i="44"/>
  <c r="BJ49" i="42"/>
  <c r="BV10" i="42"/>
  <c r="BV47" i="45" s="1"/>
  <c r="BV48" i="45" s="1"/>
  <c r="CO8" i="46"/>
  <c r="CO19" i="47" s="1"/>
  <c r="CO45" i="47" s="1"/>
  <c r="X38" i="42"/>
  <c r="AG54" i="45"/>
  <c r="AB80" i="44"/>
  <c r="CJ80" i="44"/>
  <c r="BQ18" i="42"/>
  <c r="BB10" i="42"/>
  <c r="BU79" i="44"/>
  <c r="DA105" i="44"/>
  <c r="DH96" i="44" s="1"/>
  <c r="W48" i="45"/>
  <c r="X48" i="45" s="1"/>
  <c r="AB84" i="44"/>
  <c r="S95" i="47"/>
  <c r="AG80" i="44"/>
  <c r="CJ54" i="45"/>
  <c r="Q61" i="45"/>
  <c r="BV18" i="42"/>
  <c r="AH10" i="42"/>
  <c r="BW68" i="45"/>
  <c r="AI68" i="45"/>
  <c r="BA80" i="44"/>
  <c r="AG61" i="45"/>
  <c r="CJ79" i="44"/>
  <c r="BM22" i="45"/>
  <c r="BM26" i="45"/>
  <c r="BM38" i="45" s="1"/>
  <c r="BM57" i="45"/>
  <c r="BM86" i="44"/>
  <c r="BM20" i="45"/>
  <c r="BM83" i="44"/>
  <c r="BX57" i="42"/>
  <c r="BX59" i="42"/>
  <c r="AQ48" i="45"/>
  <c r="AQ61" i="45" s="1"/>
  <c r="BU68" i="45"/>
  <c r="N47" i="45"/>
  <c r="M84" i="44"/>
  <c r="CQ41" i="45"/>
  <c r="BA68" i="45"/>
  <c r="AV84" i="44"/>
  <c r="AT63" i="44"/>
  <c r="AT65" i="44" s="1"/>
  <c r="AT64" i="44"/>
  <c r="CN143" i="47"/>
  <c r="CN108" i="47"/>
  <c r="CN117" i="47"/>
  <c r="BK49" i="44"/>
  <c r="BK62" i="44" s="1"/>
  <c r="BJ62" i="44"/>
  <c r="Z63" i="44"/>
  <c r="Z65" i="44" s="1"/>
  <c r="Z64" i="44"/>
  <c r="CD62" i="44"/>
  <c r="CE49" i="44"/>
  <c r="CE62" i="44" s="1"/>
  <c r="CH59" i="42"/>
  <c r="CF10" i="42"/>
  <c r="CF47" i="45" s="1"/>
  <c r="CF48" i="45" s="1"/>
  <c r="CI59" i="42"/>
  <c r="AC45" i="42"/>
  <c r="BD64" i="44"/>
  <c r="BU84" i="44"/>
  <c r="BU61" i="45"/>
  <c r="M68" i="45"/>
  <c r="CQ27" i="45"/>
  <c r="Q84" i="44"/>
  <c r="BA61" i="45"/>
  <c r="BC68" i="45"/>
  <c r="AG84" i="44"/>
  <c r="R48" i="45"/>
  <c r="S48" i="45" s="1"/>
  <c r="S80" i="44" s="1"/>
  <c r="AV80" i="44"/>
  <c r="AV49" i="44"/>
  <c r="AV62" i="44" s="1"/>
  <c r="AU62" i="44"/>
  <c r="AU85" i="44" s="1"/>
  <c r="BX63" i="44"/>
  <c r="BX65" i="44" s="1"/>
  <c r="BX64" i="44"/>
  <c r="BX85" i="44"/>
  <c r="BB47" i="45"/>
  <c r="AB49" i="44"/>
  <c r="AB62" i="44" s="1"/>
  <c r="AA62" i="44"/>
  <c r="AF85" i="44" s="1"/>
  <c r="BF49" i="44"/>
  <c r="BF62" i="44" s="1"/>
  <c r="BF63" i="44" s="1"/>
  <c r="BE62" i="44"/>
  <c r="BE63" i="44" s="1"/>
  <c r="BE65" i="44" s="1"/>
  <c r="BN63" i="44"/>
  <c r="BN65" i="44" s="1"/>
  <c r="BN64" i="44"/>
  <c r="BV21" i="42"/>
  <c r="BV20" i="42" s="1"/>
  <c r="AR10" i="42"/>
  <c r="AG26" i="42"/>
  <c r="AG53" i="42" s="1"/>
  <c r="AG55" i="42" s="1"/>
  <c r="AG57" i="42" s="1"/>
  <c r="CQ42" i="42"/>
  <c r="CQ45" i="42" s="1"/>
  <c r="CQ49" i="42" s="1"/>
  <c r="CP42" i="42"/>
  <c r="BI64" i="44"/>
  <c r="BD85" i="44"/>
  <c r="CO37" i="44"/>
  <c r="CP37" i="44" s="1"/>
  <c r="BU80" i="44"/>
  <c r="M54" i="45"/>
  <c r="BA84" i="44"/>
  <c r="CM19" i="47"/>
  <c r="CM26" i="47" s="1"/>
  <c r="CM49" i="47" s="1"/>
  <c r="CP20" i="46"/>
  <c r="CP21" i="46" s="1"/>
  <c r="BZ49" i="44"/>
  <c r="BZ62" i="44" s="1"/>
  <c r="BZ85" i="44" s="1"/>
  <c r="BY62" i="44"/>
  <c r="CP16" i="46"/>
  <c r="CP18" i="46" s="1"/>
  <c r="CO7" i="46"/>
  <c r="CP7" i="46" s="1"/>
  <c r="BP49" i="44"/>
  <c r="BP62" i="44" s="1"/>
  <c r="BO62" i="44"/>
  <c r="AC47" i="45"/>
  <c r="AH47" i="45"/>
  <c r="O68" i="45"/>
  <c r="CM39" i="47"/>
  <c r="CM79" i="47"/>
  <c r="CN126" i="47" s="1"/>
  <c r="CM55" i="47"/>
  <c r="CM44" i="47"/>
  <c r="AL49" i="44"/>
  <c r="AL62" i="44" s="1"/>
  <c r="AQ85" i="44" s="1"/>
  <c r="AK62" i="44"/>
  <c r="AK85" i="44" s="1"/>
  <c r="CN116" i="47"/>
  <c r="CN84" i="47"/>
  <c r="CN103" i="47"/>
  <c r="CN142" i="47"/>
  <c r="CN107" i="47"/>
  <c r="CN49" i="47"/>
  <c r="CN41" i="47"/>
  <c r="W49" i="44"/>
  <c r="W62" i="44" s="1"/>
  <c r="W85" i="44" s="1"/>
  <c r="V62" i="44"/>
  <c r="CC64" i="44"/>
  <c r="CC63" i="44"/>
  <c r="CC65" i="44" s="1"/>
  <c r="CC85" i="44"/>
  <c r="AW47" i="45"/>
  <c r="CF95" i="47"/>
  <c r="X95" i="47"/>
  <c r="BV95" i="47"/>
  <c r="AM69" i="47"/>
  <c r="AM74" i="47"/>
  <c r="AR74" i="47"/>
  <c r="AZ63" i="44"/>
  <c r="AZ65" i="44" s="1"/>
  <c r="AZ64" i="44"/>
  <c r="AP63" i="44"/>
  <c r="AP65" i="44" s="1"/>
  <c r="AP64" i="44"/>
  <c r="CR30" i="44"/>
  <c r="CQ56" i="44"/>
  <c r="CQ62" i="44" s="1"/>
  <c r="AQ64" i="44"/>
  <c r="AQ63" i="44"/>
  <c r="AQ65" i="44" s="1"/>
  <c r="AR48" i="45"/>
  <c r="AR80" i="44" s="1"/>
  <c r="BG85" i="44"/>
  <c r="BG83" i="44"/>
  <c r="BH70" i="45"/>
  <c r="BF31" i="45"/>
  <c r="AO68" i="45"/>
  <c r="AN61" i="45"/>
  <c r="AS61" i="45"/>
  <c r="AR18" i="45"/>
  <c r="AR85" i="44" s="1"/>
  <c r="BP22" i="45"/>
  <c r="BP86" i="44"/>
  <c r="BP20" i="45"/>
  <c r="BP57" i="45"/>
  <c r="BP26" i="45"/>
  <c r="BP38" i="45" s="1"/>
  <c r="BP83" i="44"/>
  <c r="D28" i="45"/>
  <c r="D24" i="45"/>
  <c r="CJ28" i="45"/>
  <c r="CJ24" i="45"/>
  <c r="AN80" i="44"/>
  <c r="AN54" i="45"/>
  <c r="AN84" i="44"/>
  <c r="BP79" i="44"/>
  <c r="BP80" i="44"/>
  <c r="BP54" i="45"/>
  <c r="BP84" i="44"/>
  <c r="G57" i="45"/>
  <c r="G20" i="45"/>
  <c r="H63" i="45"/>
  <c r="G26" i="45"/>
  <c r="H64" i="45" s="1"/>
  <c r="G85" i="44"/>
  <c r="G83" i="44"/>
  <c r="G22" i="45"/>
  <c r="G86" i="44"/>
  <c r="AD54" i="45"/>
  <c r="AD68" i="45"/>
  <c r="AD80" i="44"/>
  <c r="AD61" i="45"/>
  <c r="AD84" i="44"/>
  <c r="CG38" i="45"/>
  <c r="CG64" i="45"/>
  <c r="T28" i="45"/>
  <c r="T24" i="45"/>
  <c r="BR68" i="45"/>
  <c r="BR79" i="44"/>
  <c r="BR54" i="45"/>
  <c r="BR80" i="44"/>
  <c r="BR61" i="45"/>
  <c r="BR84" i="44"/>
  <c r="AN26" i="45"/>
  <c r="AS64" i="45" s="1"/>
  <c r="AN57" i="45"/>
  <c r="AN86" i="44"/>
  <c r="AN22" i="45"/>
  <c r="AN20" i="45"/>
  <c r="AS63" i="45"/>
  <c r="AN85" i="44"/>
  <c r="G80" i="44"/>
  <c r="G84" i="44"/>
  <c r="G54" i="45"/>
  <c r="P84" i="44"/>
  <c r="P54" i="45"/>
  <c r="P80" i="44"/>
  <c r="BR86" i="44"/>
  <c r="BR22" i="45"/>
  <c r="BR20" i="45"/>
  <c r="BR57" i="45"/>
  <c r="BR31" i="45"/>
  <c r="BR70" i="45"/>
  <c r="BR85" i="44"/>
  <c r="BR83" i="44"/>
  <c r="BR26" i="45"/>
  <c r="BW64" i="45" s="1"/>
  <c r="BR63" i="45"/>
  <c r="E24" i="45"/>
  <c r="E28" i="45"/>
  <c r="BD28" i="45"/>
  <c r="BD24" i="45"/>
  <c r="CB24" i="45"/>
  <c r="CB28" i="45"/>
  <c r="Y64" i="45"/>
  <c r="E64" i="45"/>
  <c r="AJ57" i="45"/>
  <c r="AJ86" i="44"/>
  <c r="AJ20" i="45"/>
  <c r="AJ83" i="44"/>
  <c r="AJ26" i="45"/>
  <c r="AK71" i="45" s="1"/>
  <c r="AJ22" i="45"/>
  <c r="P57" i="45"/>
  <c r="P86" i="44"/>
  <c r="P26" i="45"/>
  <c r="U64" i="45" s="1"/>
  <c r="P20" i="45"/>
  <c r="P22" i="45"/>
  <c r="P83" i="44"/>
  <c r="CG24" i="45"/>
  <c r="CG28" i="45"/>
  <c r="I24" i="45"/>
  <c r="I28" i="45"/>
  <c r="CQ34" i="45"/>
  <c r="CQ23" i="45" s="1"/>
  <c r="AF24" i="45"/>
  <c r="AF28" i="45"/>
  <c r="Y28" i="45"/>
  <c r="Y24" i="45"/>
  <c r="AV28" i="45"/>
  <c r="AV24" i="45"/>
  <c r="AD57" i="45"/>
  <c r="AD86" i="44"/>
  <c r="AD83" i="44"/>
  <c r="AD70" i="45"/>
  <c r="AD22" i="45"/>
  <c r="AD63" i="45"/>
  <c r="AD85" i="44"/>
  <c r="AD26" i="45"/>
  <c r="AI64" i="45" s="1"/>
  <c r="AD20" i="45"/>
  <c r="AZ28" i="45"/>
  <c r="AZ24" i="45"/>
  <c r="AX85" i="44"/>
  <c r="AX86" i="44"/>
  <c r="AX57" i="45"/>
  <c r="AX20" i="45"/>
  <c r="AX70" i="45"/>
  <c r="AX22" i="45"/>
  <c r="AX63" i="45"/>
  <c r="AX83" i="44"/>
  <c r="AX26" i="45"/>
  <c r="BC64" i="45" s="1"/>
  <c r="AJ84" i="44"/>
  <c r="AJ80" i="44"/>
  <c r="AJ54" i="45"/>
  <c r="H28" i="45"/>
  <c r="H24" i="45"/>
  <c r="AX61" i="45"/>
  <c r="AX80" i="44"/>
  <c r="AX54" i="45"/>
  <c r="AX84" i="44"/>
  <c r="AX68" i="45"/>
  <c r="I64" i="45"/>
  <c r="AC95" i="47"/>
  <c r="CA95" i="47"/>
  <c r="BQ95" i="47"/>
  <c r="CA158" i="47"/>
  <c r="CA152" i="47"/>
  <c r="BL152" i="47"/>
  <c r="BL158" i="47"/>
  <c r="BV152" i="47"/>
  <c r="BV158" i="47"/>
  <c r="AW95" i="47"/>
  <c r="AR95" i="47"/>
  <c r="CK95" i="47"/>
  <c r="AM95" i="47"/>
  <c r="BQ152" i="47"/>
  <c r="BQ158" i="47"/>
  <c r="BG95" i="47"/>
  <c r="CK152" i="47"/>
  <c r="CK158" i="47"/>
  <c r="CF152" i="47"/>
  <c r="CF158" i="47"/>
  <c r="BL95" i="47"/>
  <c r="CN60" i="45"/>
  <c r="CP15" i="46"/>
  <c r="CN39" i="46"/>
  <c r="CN40" i="46"/>
  <c r="CN38" i="46"/>
  <c r="CM10" i="46"/>
  <c r="BN54" i="45"/>
  <c r="BN61" i="45"/>
  <c r="BN68" i="45"/>
  <c r="BN80" i="44"/>
  <c r="BN79" i="44"/>
  <c r="BN84" i="44"/>
  <c r="AE26" i="45"/>
  <c r="AE22" i="45"/>
  <c r="AE63" i="45"/>
  <c r="AE57" i="45"/>
  <c r="AJ63" i="45"/>
  <c r="AE70" i="45"/>
  <c r="AF70" i="45"/>
  <c r="AE86" i="44"/>
  <c r="AE20" i="45"/>
  <c r="AE83" i="44"/>
  <c r="AH18" i="45"/>
  <c r="BT68" i="45"/>
  <c r="BS54" i="45"/>
  <c r="BS68" i="45"/>
  <c r="BS80" i="44"/>
  <c r="BS61" i="45"/>
  <c r="BS84" i="44"/>
  <c r="BS79" i="44"/>
  <c r="BX61" i="45"/>
  <c r="BZ31" i="45"/>
  <c r="BZ22" i="45"/>
  <c r="BZ20" i="45"/>
  <c r="BZ57" i="45"/>
  <c r="BZ70" i="45"/>
  <c r="BZ26" i="45"/>
  <c r="BZ63" i="45"/>
  <c r="CB70" i="45"/>
  <c r="BZ86" i="44"/>
  <c r="BZ83" i="44"/>
  <c r="CA18" i="45"/>
  <c r="CA55" i="45"/>
  <c r="CA62" i="45"/>
  <c r="DB107" i="45"/>
  <c r="DC102" i="45"/>
  <c r="CL26" i="45"/>
  <c r="CL31" i="45"/>
  <c r="CL22" i="45"/>
  <c r="CL20" i="45"/>
  <c r="CL56" i="42" s="1"/>
  <c r="CL57" i="45"/>
  <c r="CL70" i="45"/>
  <c r="CL63" i="45"/>
  <c r="CL86" i="44"/>
  <c r="AG24" i="45"/>
  <c r="AG28" i="45"/>
  <c r="CF55" i="45"/>
  <c r="CF62" i="45"/>
  <c r="BZ54" i="45"/>
  <c r="BZ61" i="45"/>
  <c r="BZ68" i="45"/>
  <c r="CB68" i="45"/>
  <c r="BZ79" i="44"/>
  <c r="BZ80" i="44"/>
  <c r="BZ84" i="44"/>
  <c r="BI71" i="45"/>
  <c r="BI64" i="45"/>
  <c r="CI68" i="45"/>
  <c r="CI80" i="44"/>
  <c r="CI54" i="45"/>
  <c r="CI61" i="45"/>
  <c r="CJ68" i="45"/>
  <c r="CI79" i="44"/>
  <c r="CI84" i="44"/>
  <c r="AU20" i="45"/>
  <c r="AU26" i="45"/>
  <c r="AU22" i="45"/>
  <c r="AU57" i="45"/>
  <c r="AU63" i="45"/>
  <c r="AV70" i="45"/>
  <c r="AU86" i="44"/>
  <c r="AU70" i="45"/>
  <c r="AZ63" i="45"/>
  <c r="AU83" i="44"/>
  <c r="K54" i="45"/>
  <c r="K68" i="45"/>
  <c r="K84" i="44"/>
  <c r="P61" i="45"/>
  <c r="L68" i="45"/>
  <c r="K80" i="44"/>
  <c r="M24" i="45"/>
  <c r="M28" i="45"/>
  <c r="CR41" i="45"/>
  <c r="CR27" i="45"/>
  <c r="CS35" i="45"/>
  <c r="CC38" i="45"/>
  <c r="CC71" i="45"/>
  <c r="CC64" i="45"/>
  <c r="BC71" i="45"/>
  <c r="BD71" i="45"/>
  <c r="CD22" i="45"/>
  <c r="CD31" i="45"/>
  <c r="CD20" i="45"/>
  <c r="CD26" i="45"/>
  <c r="CD63" i="45"/>
  <c r="CD57" i="45"/>
  <c r="CD70" i="45"/>
  <c r="CD86" i="44"/>
  <c r="CD83" i="44"/>
  <c r="J20" i="45"/>
  <c r="J56" i="42" s="1"/>
  <c r="N18" i="45"/>
  <c r="J26" i="45"/>
  <c r="O64" i="45" s="1"/>
  <c r="J22" i="45"/>
  <c r="J57" i="45"/>
  <c r="J86" i="44"/>
  <c r="J83" i="44"/>
  <c r="CE54" i="45"/>
  <c r="CE61" i="45"/>
  <c r="CG68" i="45"/>
  <c r="CE80" i="44"/>
  <c r="CE68" i="45"/>
  <c r="CE79" i="44"/>
  <c r="CJ61" i="45"/>
  <c r="CE84" i="44"/>
  <c r="BK20" i="45"/>
  <c r="BK26" i="45"/>
  <c r="BK22" i="45"/>
  <c r="BK63" i="45"/>
  <c r="BK70" i="45"/>
  <c r="BK57" i="45"/>
  <c r="BM70" i="45"/>
  <c r="BK86" i="44"/>
  <c r="BK83" i="44"/>
  <c r="BP63" i="45"/>
  <c r="R20" i="45"/>
  <c r="R22" i="45"/>
  <c r="R26" i="45"/>
  <c r="R70" i="45"/>
  <c r="R57" i="45"/>
  <c r="R63" i="45"/>
  <c r="T70" i="45"/>
  <c r="R86" i="44"/>
  <c r="R83" i="44"/>
  <c r="BY38" i="45"/>
  <c r="BY64" i="45"/>
  <c r="BY71" i="45"/>
  <c r="CD68" i="45"/>
  <c r="CD54" i="45"/>
  <c r="CD61" i="45"/>
  <c r="CD79" i="44"/>
  <c r="CD84" i="44"/>
  <c r="CD80" i="44"/>
  <c r="AQ54" i="45"/>
  <c r="AQ68" i="45"/>
  <c r="Z54" i="45"/>
  <c r="Z61" i="45"/>
  <c r="Z80" i="44"/>
  <c r="Z68" i="45"/>
  <c r="AC48" i="45"/>
  <c r="Z84" i="44"/>
  <c r="V20" i="45"/>
  <c r="V26" i="45"/>
  <c r="V22" i="45"/>
  <c r="V57" i="45"/>
  <c r="V63" i="45"/>
  <c r="V70" i="45"/>
  <c r="V86" i="44"/>
  <c r="V83" i="44"/>
  <c r="O63" i="45"/>
  <c r="CK55" i="45"/>
  <c r="CK62" i="45"/>
  <c r="BF54" i="45"/>
  <c r="BF61" i="45"/>
  <c r="BF68" i="45"/>
  <c r="BF80" i="44"/>
  <c r="BF79" i="44"/>
  <c r="BF84" i="44"/>
  <c r="BH24" i="45"/>
  <c r="BH28" i="45"/>
  <c r="X18" i="45"/>
  <c r="Q24" i="45"/>
  <c r="Q28" i="45"/>
  <c r="AG71" i="45"/>
  <c r="AG64" i="45"/>
  <c r="CH54" i="45"/>
  <c r="CH61" i="45"/>
  <c r="CH68" i="45"/>
  <c r="CH79" i="44"/>
  <c r="CH80" i="44"/>
  <c r="CH84" i="44"/>
  <c r="AW55" i="45"/>
  <c r="AW62" i="45"/>
  <c r="AU68" i="45"/>
  <c r="AU54" i="45"/>
  <c r="AU61" i="45"/>
  <c r="AU80" i="44"/>
  <c r="AU84" i="44"/>
  <c r="AZ61" i="45"/>
  <c r="AV68" i="45"/>
  <c r="BQ55" i="45"/>
  <c r="BQ62" i="45"/>
  <c r="BE64" i="45"/>
  <c r="BE71" i="45"/>
  <c r="BH64" i="45"/>
  <c r="BM64" i="45"/>
  <c r="U71" i="45"/>
  <c r="V68" i="45"/>
  <c r="V54" i="45"/>
  <c r="V61" i="45"/>
  <c r="V80" i="44"/>
  <c r="V84" i="44"/>
  <c r="BI28" i="45"/>
  <c r="BI24" i="45"/>
  <c r="CE20" i="45"/>
  <c r="CF20" i="45" s="1"/>
  <c r="CE26" i="45"/>
  <c r="CE22" i="45"/>
  <c r="CE31" i="45"/>
  <c r="CE57" i="45"/>
  <c r="CE63" i="45"/>
  <c r="CE70" i="45"/>
  <c r="CJ63" i="45"/>
  <c r="CG70" i="45"/>
  <c r="CE86" i="44"/>
  <c r="CE83" i="44"/>
  <c r="CL54" i="45"/>
  <c r="CL61" i="45"/>
  <c r="CL68" i="45"/>
  <c r="CL79" i="44"/>
  <c r="CL80" i="44"/>
  <c r="CL84" i="44"/>
  <c r="BN22" i="45"/>
  <c r="BN20" i="45"/>
  <c r="BN26" i="45"/>
  <c r="BN63" i="45"/>
  <c r="BN70" i="45"/>
  <c r="BN57" i="45"/>
  <c r="BN86" i="44"/>
  <c r="BQ18" i="45"/>
  <c r="BN83" i="44"/>
  <c r="BS20" i="45"/>
  <c r="BS26" i="45"/>
  <c r="BS22" i="45"/>
  <c r="BS31" i="45"/>
  <c r="BS63" i="45"/>
  <c r="BS57" i="45"/>
  <c r="BS70" i="45"/>
  <c r="BS86" i="44"/>
  <c r="BS83" i="44"/>
  <c r="BT70" i="45"/>
  <c r="BX63" i="45"/>
  <c r="BS85" i="44"/>
  <c r="BV18" i="45"/>
  <c r="AL26" i="45"/>
  <c r="AL22" i="45"/>
  <c r="AL57" i="45"/>
  <c r="AL70" i="45"/>
  <c r="AN70" i="45"/>
  <c r="AL63" i="45"/>
  <c r="AL20" i="45"/>
  <c r="AL86" i="44"/>
  <c r="AL83" i="44"/>
  <c r="CF18" i="45"/>
  <c r="CC24" i="45"/>
  <c r="CC28" i="45"/>
  <c r="BC28" i="45"/>
  <c r="BC24" i="45"/>
  <c r="AA68" i="45"/>
  <c r="AA54" i="45"/>
  <c r="AA61" i="45"/>
  <c r="AB68" i="45"/>
  <c r="AA84" i="44"/>
  <c r="AF61" i="45"/>
  <c r="AA80" i="44"/>
  <c r="AT54" i="45"/>
  <c r="AT61" i="45"/>
  <c r="AT80" i="44"/>
  <c r="AT84" i="44"/>
  <c r="AT68" i="45"/>
  <c r="AW48" i="45"/>
  <c r="AQ26" i="45"/>
  <c r="AQ22" i="45"/>
  <c r="AQ63" i="45"/>
  <c r="AQ70" i="45"/>
  <c r="AQ57" i="45"/>
  <c r="AV63" i="45"/>
  <c r="AQ86" i="44"/>
  <c r="AQ20" i="45"/>
  <c r="AS70" i="45"/>
  <c r="AQ83" i="44"/>
  <c r="AF68" i="45"/>
  <c r="AE54" i="45"/>
  <c r="AE61" i="45"/>
  <c r="AE68" i="45"/>
  <c r="AE84" i="44"/>
  <c r="AH48" i="45"/>
  <c r="AE80" i="44"/>
  <c r="AJ61" i="45"/>
  <c r="DC100" i="45"/>
  <c r="AL54" i="45"/>
  <c r="AL61" i="45"/>
  <c r="AL68" i="45"/>
  <c r="AN68" i="45"/>
  <c r="AL80" i="44"/>
  <c r="AL84" i="44"/>
  <c r="BA24" i="45"/>
  <c r="BA28" i="45"/>
  <c r="K26" i="45"/>
  <c r="K22" i="45"/>
  <c r="K57" i="45"/>
  <c r="P63" i="45"/>
  <c r="K70" i="45"/>
  <c r="K86" i="44"/>
  <c r="K20" i="45"/>
  <c r="K83" i="44"/>
  <c r="L70" i="45"/>
  <c r="BJ22" i="45"/>
  <c r="BJ20" i="45"/>
  <c r="BJ26" i="45"/>
  <c r="BJ57" i="45"/>
  <c r="BJ70" i="45"/>
  <c r="BJ63" i="45"/>
  <c r="BJ86" i="44"/>
  <c r="BJ83" i="44"/>
  <c r="BE24" i="45"/>
  <c r="BE28" i="45"/>
  <c r="BL18" i="45"/>
  <c r="Q64" i="45"/>
  <c r="AK24" i="45"/>
  <c r="AK28" i="45"/>
  <c r="BB55" i="45"/>
  <c r="BB62" i="45"/>
  <c r="AA26" i="45"/>
  <c r="AA22" i="45"/>
  <c r="AA63" i="45"/>
  <c r="AF63" i="45"/>
  <c r="AA57" i="45"/>
  <c r="AA86" i="44"/>
  <c r="AA70" i="45"/>
  <c r="AA20" i="45"/>
  <c r="AB70" i="45"/>
  <c r="AA83" i="44"/>
  <c r="BU24" i="45"/>
  <c r="BU28" i="45"/>
  <c r="F20" i="45"/>
  <c r="F26" i="45"/>
  <c r="F22" i="45"/>
  <c r="F57" i="45"/>
  <c r="F63" i="45"/>
  <c r="F86" i="44"/>
  <c r="F83" i="44"/>
  <c r="G63" i="45"/>
  <c r="F85" i="44"/>
  <c r="BO54" i="45"/>
  <c r="BO61" i="45"/>
  <c r="BO68" i="45"/>
  <c r="BO84" i="44"/>
  <c r="BO79" i="44"/>
  <c r="BP68" i="45"/>
  <c r="BO80" i="44"/>
  <c r="BT61" i="45"/>
  <c r="DB106" i="45"/>
  <c r="DS78" i="45" s="1"/>
  <c r="DS79" i="45" s="1"/>
  <c r="DC101" i="45"/>
  <c r="DT75" i="45" s="1"/>
  <c r="DT76" i="45" s="1"/>
  <c r="AP26" i="45"/>
  <c r="AP22" i="45"/>
  <c r="AP57" i="45"/>
  <c r="AP63" i="45"/>
  <c r="AP70" i="45"/>
  <c r="AP86" i="44"/>
  <c r="AP20" i="45"/>
  <c r="AP83" i="44"/>
  <c r="CN13" i="45"/>
  <c r="CN53" i="44"/>
  <c r="CO7" i="44"/>
  <c r="AR84" i="44"/>
  <c r="N55" i="45"/>
  <c r="N62" i="45"/>
  <c r="AO24" i="45"/>
  <c r="AO28" i="45"/>
  <c r="BV62" i="45"/>
  <c r="BV55" i="45"/>
  <c r="S26" i="45"/>
  <c r="S22" i="45"/>
  <c r="S63" i="45"/>
  <c r="S57" i="45"/>
  <c r="S86" i="44"/>
  <c r="S83" i="44"/>
  <c r="CL85" i="44"/>
  <c r="AE85" i="44"/>
  <c r="CL83" i="44"/>
  <c r="AM55" i="45"/>
  <c r="AM62" i="45"/>
  <c r="AI28" i="45"/>
  <c r="AI24" i="45"/>
  <c r="AI71" i="45"/>
  <c r="AJ71" i="45"/>
  <c r="AK64" i="45"/>
  <c r="AR55" i="45"/>
  <c r="AR62" i="45"/>
  <c r="AM18" i="45"/>
  <c r="AR63" i="45" s="1"/>
  <c r="AY54" i="45"/>
  <c r="AY61" i="45"/>
  <c r="AZ68" i="45"/>
  <c r="AY68" i="45"/>
  <c r="AY84" i="44"/>
  <c r="AY80" i="44"/>
  <c r="BD61" i="45"/>
  <c r="BB48" i="45"/>
  <c r="BO26" i="45"/>
  <c r="BO22" i="45"/>
  <c r="BO57" i="45"/>
  <c r="BO63" i="45"/>
  <c r="BO70" i="45"/>
  <c r="BO86" i="44"/>
  <c r="BO20" i="45"/>
  <c r="BO83" i="44"/>
  <c r="BP70" i="45"/>
  <c r="BT63" i="45"/>
  <c r="AT22" i="45"/>
  <c r="AT20" i="45"/>
  <c r="AT26" i="45"/>
  <c r="AT57" i="45"/>
  <c r="AT86" i="44"/>
  <c r="AT63" i="45"/>
  <c r="AW18" i="45"/>
  <c r="AT85" i="44"/>
  <c r="AT83" i="44"/>
  <c r="BU38" i="45"/>
  <c r="BU71" i="45"/>
  <c r="BK54" i="45"/>
  <c r="BK61" i="45"/>
  <c r="BM68" i="45"/>
  <c r="BK68" i="45"/>
  <c r="BK80" i="44"/>
  <c r="BK79" i="44"/>
  <c r="BP61" i="45"/>
  <c r="BK84" i="44"/>
  <c r="C28" i="45"/>
  <c r="C24" i="45"/>
  <c r="AY26" i="45"/>
  <c r="AY22" i="45"/>
  <c r="AY57" i="45"/>
  <c r="AY63" i="45"/>
  <c r="AY70" i="45"/>
  <c r="AY86" i="44"/>
  <c r="AY20" i="45"/>
  <c r="AZ70" i="45"/>
  <c r="BD63" i="45"/>
  <c r="AY83" i="44"/>
  <c r="BB18" i="45"/>
  <c r="AY85" i="44"/>
  <c r="CI20" i="45"/>
  <c r="CI26" i="45"/>
  <c r="CI22" i="45"/>
  <c r="CI63" i="45"/>
  <c r="CJ70" i="45"/>
  <c r="CI31" i="45"/>
  <c r="CI86" i="44"/>
  <c r="CI57" i="45"/>
  <c r="CI70" i="45"/>
  <c r="CI83" i="44"/>
  <c r="BG62" i="45"/>
  <c r="BG26" i="45"/>
  <c r="BG22" i="45"/>
  <c r="BG57" i="45"/>
  <c r="BG86" i="44"/>
  <c r="AC18" i="45"/>
  <c r="Z26" i="45"/>
  <c r="Z22" i="45"/>
  <c r="Z57" i="45"/>
  <c r="Z63" i="45"/>
  <c r="Z70" i="45"/>
  <c r="Z20" i="45"/>
  <c r="Z86" i="44"/>
  <c r="Z83" i="44"/>
  <c r="AH55" i="45"/>
  <c r="AH62" i="45"/>
  <c r="CA20" i="45"/>
  <c r="BW28" i="45"/>
  <c r="BW24" i="45"/>
  <c r="BW71" i="45"/>
  <c r="BW38" i="45"/>
  <c r="CB64" i="45"/>
  <c r="W26" i="45"/>
  <c r="W22" i="45"/>
  <c r="W63" i="45"/>
  <c r="W70" i="45"/>
  <c r="Y70" i="45"/>
  <c r="W86" i="44"/>
  <c r="W57" i="45"/>
  <c r="W20" i="45"/>
  <c r="AB63" i="45"/>
  <c r="W83" i="44"/>
  <c r="BF26" i="45"/>
  <c r="BF22" i="45"/>
  <c r="BF20" i="45"/>
  <c r="BG20" i="45" s="1"/>
  <c r="BF70" i="45"/>
  <c r="BF57" i="45"/>
  <c r="BF63" i="45"/>
  <c r="BF86" i="44"/>
  <c r="BF83" i="44"/>
  <c r="CM63" i="44"/>
  <c r="CM54" i="44"/>
  <c r="CM57" i="44"/>
  <c r="BJ54" i="45"/>
  <c r="BJ61" i="45"/>
  <c r="BJ68" i="45"/>
  <c r="BJ79" i="44"/>
  <c r="BJ80" i="44"/>
  <c r="BJ84" i="44"/>
  <c r="J54" i="45"/>
  <c r="N48" i="45"/>
  <c r="J84" i="44"/>
  <c r="J80" i="44"/>
  <c r="BA71" i="45"/>
  <c r="BA64" i="45"/>
  <c r="F61" i="45"/>
  <c r="F54" i="45"/>
  <c r="G61" i="45"/>
  <c r="F80" i="44"/>
  <c r="F84" i="44"/>
  <c r="BY24" i="45"/>
  <c r="BY28" i="45"/>
  <c r="AC62" i="45"/>
  <c r="AC55" i="45"/>
  <c r="X55" i="45"/>
  <c r="X62" i="45"/>
  <c r="O24" i="45"/>
  <c r="O28" i="45"/>
  <c r="T64" i="45"/>
  <c r="O71" i="45"/>
  <c r="W68" i="45"/>
  <c r="AP68" i="45"/>
  <c r="AP54" i="45"/>
  <c r="AP61" i="45"/>
  <c r="AP84" i="44"/>
  <c r="AP80" i="44"/>
  <c r="U24" i="45"/>
  <c r="U28" i="45"/>
  <c r="CH20" i="45"/>
  <c r="CH31" i="45"/>
  <c r="CH22" i="45"/>
  <c r="CH26" i="45"/>
  <c r="CH57" i="45"/>
  <c r="CH70" i="45"/>
  <c r="CH63" i="45"/>
  <c r="CK18" i="45"/>
  <c r="CH86" i="44"/>
  <c r="CH85" i="44"/>
  <c r="CH83" i="44"/>
  <c r="BF65" i="44"/>
  <c r="R64" i="44"/>
  <c r="AF63" i="44"/>
  <c r="AF65" i="44" s="1"/>
  <c r="AF64" i="44"/>
  <c r="Q64" i="44"/>
  <c r="Q65" i="44"/>
  <c r="AG64" i="44"/>
  <c r="AG63" i="44"/>
  <c r="AG65" i="44" s="1"/>
  <c r="M49" i="44"/>
  <c r="M62" i="44" s="1"/>
  <c r="L62" i="44"/>
  <c r="Q85" i="44" s="1"/>
  <c r="CQ26" i="44"/>
  <c r="K64" i="44"/>
  <c r="K63" i="44"/>
  <c r="K65" i="44" s="1"/>
  <c r="K85" i="44"/>
  <c r="V85" i="44"/>
  <c r="R65" i="44"/>
  <c r="AB24" i="43"/>
  <c r="AB27" i="43"/>
  <c r="CS170" i="43"/>
  <c r="CS234" i="43" s="1"/>
  <c r="CS233" i="43" s="1"/>
  <c r="CR234" i="43"/>
  <c r="CR233" i="43" s="1"/>
  <c r="H123" i="43"/>
  <c r="H124" i="43" s="1"/>
  <c r="G125" i="43"/>
  <c r="L24" i="43"/>
  <c r="L27" i="43"/>
  <c r="M20" i="43"/>
  <c r="BZ193" i="43"/>
  <c r="CA193" i="43" s="1"/>
  <c r="CB190" i="43" s="1"/>
  <c r="CB193" i="43" s="1"/>
  <c r="CC190" i="43" s="1"/>
  <c r="CC193" i="43" s="1"/>
  <c r="CD190" i="43" s="1"/>
  <c r="CD193" i="43" s="1"/>
  <c r="CE190" i="43" s="1"/>
  <c r="CA190" i="43"/>
  <c r="CJ123" i="43"/>
  <c r="CJ124" i="43" s="1"/>
  <c r="CK124" i="43" s="1"/>
  <c r="CL123" i="43" s="1"/>
  <c r="CL124" i="43" s="1"/>
  <c r="CI124" i="43"/>
  <c r="AK49" i="42"/>
  <c r="AU49" i="42"/>
  <c r="CD55" i="42"/>
  <c r="CD59" i="42" s="1"/>
  <c r="BQ36" i="42"/>
  <c r="CR310" i="43"/>
  <c r="CQ311" i="43"/>
  <c r="P24" i="43"/>
  <c r="P27" i="43"/>
  <c r="R20" i="43"/>
  <c r="AE27" i="43"/>
  <c r="AE24" i="43"/>
  <c r="AG20" i="43"/>
  <c r="M22" i="43"/>
  <c r="M32" i="43" s="1"/>
  <c r="M25" i="43"/>
  <c r="BG10" i="42"/>
  <c r="BG47" i="45" s="1"/>
  <c r="BG48" i="45" s="1"/>
  <c r="BG79" i="44" s="1"/>
  <c r="CA10" i="42"/>
  <c r="CA47" i="45" s="1"/>
  <c r="CA48" i="45" s="1"/>
  <c r="CA84" i="44" s="1"/>
  <c r="S10" i="42"/>
  <c r="N10" i="42"/>
  <c r="R26" i="42"/>
  <c r="R49" i="42" s="1"/>
  <c r="R22" i="43"/>
  <c r="R32" i="43" s="1"/>
  <c r="R25" i="43"/>
  <c r="AG22" i="43"/>
  <c r="AG32" i="43" s="1"/>
  <c r="AG25" i="43"/>
  <c r="AW36" i="42"/>
  <c r="AR40" i="42"/>
  <c r="CR177" i="43"/>
  <c r="CS169" i="43"/>
  <c r="CR224" i="43"/>
  <c r="CR223" i="43" s="1"/>
  <c r="CR210" i="43"/>
  <c r="CQ209" i="43"/>
  <c r="CR308" i="43"/>
  <c r="CQ309" i="43"/>
  <c r="AL55" i="42"/>
  <c r="AL57" i="42" s="1"/>
  <c r="CR23" i="42"/>
  <c r="BL36" i="42"/>
  <c r="BL18" i="42"/>
  <c r="CS25" i="42"/>
  <c r="CR25" i="42"/>
  <c r="W26" i="42"/>
  <c r="W53" i="42" s="1"/>
  <c r="AM38" i="42"/>
  <c r="BB21" i="42"/>
  <c r="L55" i="42"/>
  <c r="L57" i="42" s="1"/>
  <c r="BA26" i="42"/>
  <c r="BA53" i="42" s="1"/>
  <c r="BA55" i="42" s="1"/>
  <c r="BA56" i="42" s="1"/>
  <c r="AC36" i="42"/>
  <c r="N27" i="42"/>
  <c r="N54" i="42" s="1"/>
  <c r="CQ23" i="42"/>
  <c r="CR42" i="42"/>
  <c r="CR45" i="42" s="1"/>
  <c r="CR49" i="42" s="1"/>
  <c r="CR57" i="42"/>
  <c r="BY53" i="42"/>
  <c r="BY55" i="42" s="1"/>
  <c r="BY59" i="42" s="1"/>
  <c r="BG48" i="42"/>
  <c r="AX57" i="42"/>
  <c r="BO53" i="42"/>
  <c r="BO55" i="42" s="1"/>
  <c r="BO59" i="42" s="1"/>
  <c r="J57" i="42"/>
  <c r="BK26" i="42"/>
  <c r="BK49" i="42" s="1"/>
  <c r="BL10" i="42"/>
  <c r="BL47" i="45" s="1"/>
  <c r="BL48" i="45" s="1"/>
  <c r="BL80" i="44" s="1"/>
  <c r="CZ114" i="44" s="1"/>
  <c r="BI57" i="42"/>
  <c r="AP57" i="42"/>
  <c r="BZ26" i="42"/>
  <c r="BZ53" i="42" s="1"/>
  <c r="BZ55" i="42" s="1"/>
  <c r="BZ59" i="42" s="1"/>
  <c r="CA11" i="42"/>
  <c r="AV26" i="42"/>
  <c r="AN57" i="42"/>
  <c r="AG35" i="42"/>
  <c r="BP26" i="42"/>
  <c r="BP53" i="42" s="1"/>
  <c r="BP55" i="42" s="1"/>
  <c r="BP59" i="42" s="1"/>
  <c r="BQ10" i="42"/>
  <c r="BQ47" i="45" s="1"/>
  <c r="BQ48" i="45" s="1"/>
  <c r="M20" i="42"/>
  <c r="N21" i="42"/>
  <c r="BO49" i="42"/>
  <c r="X9" i="42"/>
  <c r="CH57" i="42"/>
  <c r="BZ35" i="42"/>
  <c r="AU57" i="42"/>
  <c r="BG35" i="42"/>
  <c r="BG54" i="42"/>
  <c r="CK45" i="42"/>
  <c r="BY49" i="42"/>
  <c r="L49" i="42"/>
  <c r="BB20" i="42"/>
  <c r="V49" i="42"/>
  <c r="CJ26" i="42"/>
  <c r="CJ53" i="42" s="1"/>
  <c r="CJ55" i="42" s="1"/>
  <c r="CJ59" i="42" s="1"/>
  <c r="AA49" i="42"/>
  <c r="X10" i="42"/>
  <c r="M35" i="42"/>
  <c r="N35" i="42" s="1"/>
  <c r="CA35" i="42"/>
  <c r="CA54" i="42"/>
  <c r="BE26" i="42"/>
  <c r="BG20" i="42"/>
  <c r="CE35" i="42"/>
  <c r="CE54" i="42"/>
  <c r="CF27" i="42"/>
  <c r="AM35" i="42"/>
  <c r="AA53" i="42"/>
  <c r="AA55" i="42" s="1"/>
  <c r="CK35" i="42"/>
  <c r="CK54" i="42"/>
  <c r="N50" i="42"/>
  <c r="J50" i="42"/>
  <c r="J51" i="42" s="1"/>
  <c r="K50" i="42" s="1"/>
  <c r="K51" i="42" s="1"/>
  <c r="L50" i="42" s="1"/>
  <c r="CK36" i="42"/>
  <c r="AF26" i="42"/>
  <c r="AH20" i="42"/>
  <c r="BU49" i="42"/>
  <c r="CP57" i="42"/>
  <c r="S48" i="42"/>
  <c r="CI57" i="42"/>
  <c r="AQ26" i="42"/>
  <c r="AQ53" i="42" s="1"/>
  <c r="AR9" i="42"/>
  <c r="AM26" i="42"/>
  <c r="AM53" i="42" s="1"/>
  <c r="AM55" i="42" s="1"/>
  <c r="V53" i="42"/>
  <c r="V55" i="42" s="1"/>
  <c r="X26" i="42"/>
  <c r="X53" i="42" s="1"/>
  <c r="X55" i="42" s="1"/>
  <c r="AW10" i="42"/>
  <c r="AW210" i="43" s="1"/>
  <c r="AW209" i="43" s="1"/>
  <c r="BT53" i="42"/>
  <c r="BT55" i="42" s="1"/>
  <c r="BT59" i="42" s="1"/>
  <c r="BT49" i="42"/>
  <c r="BG23" i="42"/>
  <c r="AW45" i="42"/>
  <c r="AB26" i="42"/>
  <c r="AB53" i="42" s="1"/>
  <c r="AB55" i="42" s="1"/>
  <c r="AC10" i="42"/>
  <c r="AS56" i="42"/>
  <c r="AS57" i="42"/>
  <c r="BQ35" i="42"/>
  <c r="BQ54" i="42"/>
  <c r="U57" i="42"/>
  <c r="AL49" i="42"/>
  <c r="CE26" i="42"/>
  <c r="CE53" i="42" s="1"/>
  <c r="AP49" i="42"/>
  <c r="AR45" i="42"/>
  <c r="BJ57" i="42"/>
  <c r="AH21" i="42"/>
  <c r="CC57" i="42"/>
  <c r="BC57" i="42"/>
  <c r="W54" i="42"/>
  <c r="W35" i="42"/>
  <c r="X35" i="42" s="1"/>
  <c r="AZ26" i="42"/>
  <c r="CK10" i="42"/>
  <c r="CK47" i="45" s="1"/>
  <c r="CK48" i="45" s="1"/>
  <c r="AM45" i="42"/>
  <c r="CI49" i="42"/>
  <c r="BS57" i="42"/>
  <c r="CC56" i="42"/>
  <c r="BC56" i="42"/>
  <c r="O56" i="42"/>
  <c r="BW56" i="42"/>
  <c r="AO56" i="42"/>
  <c r="BH56" i="42"/>
  <c r="BI56" i="42"/>
  <c r="U56" i="42"/>
  <c r="AI56" i="42"/>
  <c r="AG49" i="42" l="1"/>
  <c r="BF49" i="42"/>
  <c r="BE85" i="44"/>
  <c r="R54" i="45"/>
  <c r="AM61" i="45"/>
  <c r="S54" i="45"/>
  <c r="L56" i="42"/>
  <c r="R80" i="44"/>
  <c r="R68" i="45"/>
  <c r="AM80" i="44"/>
  <c r="R84" i="44"/>
  <c r="R61" i="45"/>
  <c r="AM54" i="45"/>
  <c r="AQ55" i="42"/>
  <c r="AQ57" i="42" s="1"/>
  <c r="T68" i="45"/>
  <c r="W61" i="45"/>
  <c r="S84" i="44"/>
  <c r="CD57" i="42"/>
  <c r="AO64" i="45"/>
  <c r="AR54" i="45"/>
  <c r="Q71" i="45"/>
  <c r="AQ84" i="44"/>
  <c r="W55" i="42"/>
  <c r="BU57" i="42"/>
  <c r="P71" i="45"/>
  <c r="AT70" i="45"/>
  <c r="AR61" i="45"/>
  <c r="AQ80" i="44"/>
  <c r="AS68" i="45"/>
  <c r="CR34" i="45"/>
  <c r="CR23" i="45" s="1"/>
  <c r="BP85" i="44"/>
  <c r="BV26" i="42"/>
  <c r="BV49" i="42" s="1"/>
  <c r="AV61" i="45"/>
  <c r="AR57" i="45"/>
  <c r="AA85" i="44"/>
  <c r="AM20" i="45"/>
  <c r="AM28" i="45" s="1"/>
  <c r="W54" i="45"/>
  <c r="Y68" i="45"/>
  <c r="CN8" i="44"/>
  <c r="CN46" i="47"/>
  <c r="W84" i="44"/>
  <c r="CN10" i="45"/>
  <c r="CN50" i="47"/>
  <c r="BE64" i="44"/>
  <c r="AB61" i="45"/>
  <c r="W80" i="44"/>
  <c r="CN51" i="47"/>
  <c r="L51" i="42"/>
  <c r="M50" i="42" s="1"/>
  <c r="AR83" i="44"/>
  <c r="AR26" i="45"/>
  <c r="AT71" i="45" s="1"/>
  <c r="AR86" i="44"/>
  <c r="AR22" i="45"/>
  <c r="DG100" i="44"/>
  <c r="S20" i="45"/>
  <c r="S28" i="45" s="1"/>
  <c r="CE85" i="44"/>
  <c r="BO85" i="44"/>
  <c r="CO56" i="47"/>
  <c r="BF64" i="44"/>
  <c r="CO80" i="47"/>
  <c r="CO108" i="47" s="1"/>
  <c r="DH103" i="44"/>
  <c r="DG103" i="44"/>
  <c r="CP8" i="46"/>
  <c r="CP10" i="46" s="1"/>
  <c r="AM49" i="42"/>
  <c r="CE55" i="42"/>
  <c r="CE59" i="42" s="1"/>
  <c r="BJ85" i="44"/>
  <c r="BF85" i="44"/>
  <c r="AO71" i="45"/>
  <c r="X20" i="45"/>
  <c r="X28" i="45" s="1"/>
  <c r="BU64" i="45"/>
  <c r="AN64" i="45"/>
  <c r="CO40" i="47"/>
  <c r="DH100" i="44"/>
  <c r="DG96" i="44"/>
  <c r="BF57" i="42"/>
  <c r="BK85" i="44"/>
  <c r="CN57" i="47"/>
  <c r="BA57" i="42"/>
  <c r="BZ49" i="42"/>
  <c r="BM28" i="45"/>
  <c r="BM24" i="45"/>
  <c r="AH35" i="42"/>
  <c r="CP33" i="46"/>
  <c r="CQ21" i="46"/>
  <c r="CQ19" i="46" s="1"/>
  <c r="BG80" i="44"/>
  <c r="BG54" i="45"/>
  <c r="BL79" i="44"/>
  <c r="CZ113" i="44" s="1"/>
  <c r="BO63" i="44"/>
  <c r="BO65" i="44" s="1"/>
  <c r="BO64" i="44"/>
  <c r="BT85" i="44"/>
  <c r="BY64" i="44"/>
  <c r="BY63" i="44"/>
  <c r="BY65" i="44" s="1"/>
  <c r="BY85" i="44"/>
  <c r="AU64" i="44"/>
  <c r="AU63" i="44"/>
  <c r="AU65" i="44" s="1"/>
  <c r="AZ85" i="44"/>
  <c r="BA49" i="42"/>
  <c r="BL54" i="45"/>
  <c r="CN149" i="47"/>
  <c r="CN151" i="47"/>
  <c r="CN155" i="47"/>
  <c r="CN144" i="47"/>
  <c r="AK63" i="44"/>
  <c r="AK65" i="44" s="1"/>
  <c r="AK64" i="44"/>
  <c r="CM107" i="47"/>
  <c r="CM142" i="47"/>
  <c r="CM116" i="47"/>
  <c r="CM126" i="47"/>
  <c r="BP63" i="44"/>
  <c r="BP65" i="44" s="1"/>
  <c r="BP64" i="44"/>
  <c r="BU85" i="44"/>
  <c r="BZ63" i="44"/>
  <c r="BZ65" i="44" s="1"/>
  <c r="BZ64" i="44"/>
  <c r="AV63" i="44"/>
  <c r="AV65" i="44" s="1"/>
  <c r="AV85" i="44"/>
  <c r="AV64" i="44"/>
  <c r="BA85" i="44"/>
  <c r="CE63" i="44"/>
  <c r="CE65" i="44" s="1"/>
  <c r="CJ85" i="44"/>
  <c r="CE64" i="44"/>
  <c r="BJ63" i="44"/>
  <c r="BJ65" i="44" s="1"/>
  <c r="BJ64" i="44"/>
  <c r="CK26" i="42"/>
  <c r="CK19" i="42" s="1"/>
  <c r="BG84" i="44"/>
  <c r="BL84" i="44"/>
  <c r="BL61" i="45"/>
  <c r="V63" i="44"/>
  <c r="V65" i="44" s="1"/>
  <c r="V64" i="44"/>
  <c r="AL64" i="44"/>
  <c r="AL63" i="44"/>
  <c r="AL65" i="44" s="1"/>
  <c r="CO13" i="47"/>
  <c r="CO10" i="46"/>
  <c r="AP85" i="44"/>
  <c r="AL85" i="44"/>
  <c r="CQ37" i="44"/>
  <c r="CR37" i="44" s="1"/>
  <c r="AA63" i="44"/>
  <c r="AA65" i="44" s="1"/>
  <c r="AA64" i="44"/>
  <c r="CD63" i="44"/>
  <c r="CD65" i="44" s="1"/>
  <c r="CD64" i="44"/>
  <c r="CD85" i="44"/>
  <c r="CI85" i="44"/>
  <c r="BK64" i="44"/>
  <c r="BK63" i="44"/>
  <c r="BK65" i="44" s="1"/>
  <c r="CN156" i="47"/>
  <c r="CN150" i="47"/>
  <c r="AB85" i="44"/>
  <c r="W63" i="44"/>
  <c r="W65" i="44" s="1"/>
  <c r="W64" i="44"/>
  <c r="CN86" i="47"/>
  <c r="CN12" i="45" s="1"/>
  <c r="CN112" i="47"/>
  <c r="CN121" i="47"/>
  <c r="CM57" i="47"/>
  <c r="CM41" i="47"/>
  <c r="CM51" i="47"/>
  <c r="CM46" i="47"/>
  <c r="CQ18" i="46"/>
  <c r="CP32" i="46"/>
  <c r="CM80" i="47"/>
  <c r="CP19" i="47"/>
  <c r="CM61" i="47" s="1"/>
  <c r="CM45" i="47"/>
  <c r="CM56" i="47"/>
  <c r="CM40" i="47"/>
  <c r="CM50" i="47"/>
  <c r="CN56" i="47"/>
  <c r="AB63" i="44"/>
  <c r="AB65" i="44" s="1"/>
  <c r="AB64" i="44"/>
  <c r="AG85" i="44"/>
  <c r="AR76" i="47"/>
  <c r="AM76" i="47"/>
  <c r="CR56" i="44"/>
  <c r="CR62" i="44" s="1"/>
  <c r="CS30" i="44"/>
  <c r="CS56" i="44" s="1"/>
  <c r="CS62" i="44" s="1"/>
  <c r="BG63" i="45"/>
  <c r="BB31" i="45"/>
  <c r="AX71" i="45"/>
  <c r="AX64" i="45"/>
  <c r="AD71" i="45"/>
  <c r="AD64" i="45"/>
  <c r="AJ28" i="45"/>
  <c r="AJ24" i="45"/>
  <c r="BR38" i="45"/>
  <c r="BR71" i="45"/>
  <c r="BR64" i="45"/>
  <c r="AX24" i="45"/>
  <c r="AX28" i="45"/>
  <c r="P24" i="45"/>
  <c r="P28" i="45"/>
  <c r="AN28" i="45"/>
  <c r="AN24" i="45"/>
  <c r="BR24" i="45"/>
  <c r="BR28" i="45"/>
  <c r="AR20" i="45"/>
  <c r="AR24" i="45" s="1"/>
  <c r="AD24" i="45"/>
  <c r="AD28" i="45"/>
  <c r="G28" i="45"/>
  <c r="G24" i="45"/>
  <c r="BP24" i="45"/>
  <c r="BP28" i="45"/>
  <c r="CM39" i="46"/>
  <c r="CM38" i="46"/>
  <c r="CM40" i="46"/>
  <c r="CM6" i="45"/>
  <c r="CN41" i="46"/>
  <c r="CQ15" i="46"/>
  <c r="CP31" i="46"/>
  <c r="CP23" i="46"/>
  <c r="CP35" i="46" s="1"/>
  <c r="CH38" i="45"/>
  <c r="CH71" i="45"/>
  <c r="CH64" i="45"/>
  <c r="BF64" i="45"/>
  <c r="BF71" i="45"/>
  <c r="CN57" i="44"/>
  <c r="CN63" i="44"/>
  <c r="CN54" i="44"/>
  <c r="BJ24" i="45"/>
  <c r="BJ28" i="45"/>
  <c r="CF24" i="45"/>
  <c r="CF28" i="45"/>
  <c r="AN71" i="45"/>
  <c r="AL71" i="45"/>
  <c r="AL64" i="45"/>
  <c r="BQ26" i="45"/>
  <c r="BQ22" i="45"/>
  <c r="BQ31" i="45"/>
  <c r="BQ57" i="45"/>
  <c r="BQ63" i="45"/>
  <c r="BQ86" i="44"/>
  <c r="BQ83" i="44"/>
  <c r="BQ85" i="44"/>
  <c r="T71" i="45"/>
  <c r="R64" i="45"/>
  <c r="R71" i="45"/>
  <c r="AU24" i="45"/>
  <c r="AU28" i="45"/>
  <c r="CF61" i="45"/>
  <c r="CF54" i="45"/>
  <c r="CF80" i="44"/>
  <c r="DD114" i="44" s="1"/>
  <c r="CF79" i="44"/>
  <c r="DD113" i="44" s="1"/>
  <c r="CF84" i="44"/>
  <c r="DC107" i="45"/>
  <c r="DD102" i="45"/>
  <c r="AP64" i="45"/>
  <c r="AP71" i="45"/>
  <c r="AA28" i="45"/>
  <c r="AA24" i="45"/>
  <c r="BV26" i="45"/>
  <c r="BV31" i="45"/>
  <c r="BV22" i="45"/>
  <c r="BV57" i="45"/>
  <c r="BV63" i="45"/>
  <c r="BV86" i="44"/>
  <c r="BV85" i="44"/>
  <c r="BV83" i="44"/>
  <c r="BS28" i="45"/>
  <c r="BS24" i="45"/>
  <c r="BV20" i="45"/>
  <c r="BN38" i="45"/>
  <c r="BN64" i="45"/>
  <c r="BN71" i="45"/>
  <c r="CE28" i="45"/>
  <c r="CE24" i="45"/>
  <c r="AC54" i="45"/>
  <c r="AC61" i="45"/>
  <c r="AC80" i="44"/>
  <c r="AC84" i="44"/>
  <c r="N22" i="45"/>
  <c r="N26" i="45"/>
  <c r="N64" i="45" s="1"/>
  <c r="N57" i="45"/>
  <c r="N63" i="45"/>
  <c r="N86" i="44"/>
  <c r="N83" i="44"/>
  <c r="N85" i="44"/>
  <c r="CD24" i="45"/>
  <c r="CD28" i="45"/>
  <c r="CA26" i="45"/>
  <c r="CA22" i="45"/>
  <c r="CA31" i="45"/>
  <c r="CA63" i="45"/>
  <c r="CA57" i="45"/>
  <c r="CA86" i="44"/>
  <c r="CA83" i="44"/>
  <c r="CA85" i="44"/>
  <c r="BZ24" i="45"/>
  <c r="BZ28" i="45"/>
  <c r="CK22" i="45"/>
  <c r="CK26" i="45"/>
  <c r="CK31" i="45"/>
  <c r="CK57" i="45"/>
  <c r="CK63" i="45"/>
  <c r="CK86" i="44"/>
  <c r="CK83" i="44"/>
  <c r="CK85" i="44"/>
  <c r="AC22" i="45"/>
  <c r="AC26" i="45"/>
  <c r="AC63" i="45"/>
  <c r="AC57" i="45"/>
  <c r="AC86" i="44"/>
  <c r="AC83" i="44"/>
  <c r="AC85" i="44"/>
  <c r="CI28" i="45"/>
  <c r="CI24" i="45"/>
  <c r="AY64" i="45"/>
  <c r="AY71" i="45"/>
  <c r="BD64" i="45"/>
  <c r="AZ71" i="45"/>
  <c r="F24" i="45"/>
  <c r="F28" i="45"/>
  <c r="AA71" i="45"/>
  <c r="AA64" i="45"/>
  <c r="AF64" i="45"/>
  <c r="AB71" i="45"/>
  <c r="K28" i="45"/>
  <c r="K24" i="45"/>
  <c r="AQ28" i="45"/>
  <c r="AQ24" i="45"/>
  <c r="CJ64" i="45"/>
  <c r="CE38" i="45"/>
  <c r="CE64" i="45"/>
  <c r="CE71" i="45"/>
  <c r="CG71" i="45"/>
  <c r="BK24" i="45"/>
  <c r="BK28" i="45"/>
  <c r="CD38" i="45"/>
  <c r="CD71" i="45"/>
  <c r="CD64" i="45"/>
  <c r="AH22" i="45"/>
  <c r="AH26" i="45"/>
  <c r="AH57" i="45"/>
  <c r="AH63" i="45"/>
  <c r="AH86" i="44"/>
  <c r="AH83" i="44"/>
  <c r="AH85" i="44"/>
  <c r="CA24" i="45"/>
  <c r="CA28" i="45"/>
  <c r="AT64" i="45"/>
  <c r="N54" i="45"/>
  <c r="N61" i="45"/>
  <c r="N84" i="44"/>
  <c r="N80" i="44"/>
  <c r="BF24" i="45"/>
  <c r="BF28" i="45"/>
  <c r="W71" i="45"/>
  <c r="W64" i="45"/>
  <c r="Y71" i="45"/>
  <c r="AB64" i="45"/>
  <c r="Z24" i="45"/>
  <c r="Z28" i="45"/>
  <c r="AC20" i="45"/>
  <c r="BB26" i="45"/>
  <c r="BB22" i="45"/>
  <c r="BB57" i="45"/>
  <c r="BB63" i="45"/>
  <c r="BB86" i="44"/>
  <c r="BB83" i="44"/>
  <c r="BB85" i="44"/>
  <c r="AY28" i="45"/>
  <c r="AY24" i="45"/>
  <c r="BB20" i="45"/>
  <c r="AT24" i="45"/>
  <c r="AT28" i="45"/>
  <c r="AW20" i="45"/>
  <c r="BO38" i="45"/>
  <c r="BO64" i="45"/>
  <c r="BO71" i="45"/>
  <c r="BP71" i="45"/>
  <c r="BT64" i="45"/>
  <c r="DD101" i="45"/>
  <c r="DU75" i="45" s="1"/>
  <c r="DU76" i="45" s="1"/>
  <c r="DC106" i="45"/>
  <c r="DT78" i="45" s="1"/>
  <c r="DT79" i="45" s="1"/>
  <c r="K71" i="45"/>
  <c r="P64" i="45"/>
  <c r="L71" i="45"/>
  <c r="DD100" i="45"/>
  <c r="AL24" i="45"/>
  <c r="AL28" i="45"/>
  <c r="BN24" i="45"/>
  <c r="BN28" i="45"/>
  <c r="BQ20" i="45"/>
  <c r="X22" i="45"/>
  <c r="X26" i="45"/>
  <c r="X64" i="45" s="1"/>
  <c r="X57" i="45"/>
  <c r="X63" i="45"/>
  <c r="X86" i="44"/>
  <c r="X83" i="44"/>
  <c r="X85" i="44"/>
  <c r="V71" i="45"/>
  <c r="V64" i="45"/>
  <c r="R24" i="45"/>
  <c r="R28" i="45"/>
  <c r="J24" i="45"/>
  <c r="N20" i="45"/>
  <c r="J28" i="45"/>
  <c r="CL38" i="45"/>
  <c r="CL71" i="45"/>
  <c r="CL64" i="45"/>
  <c r="CA54" i="45"/>
  <c r="CA61" i="45"/>
  <c r="CA79" i="44"/>
  <c r="DC113" i="44" s="1"/>
  <c r="CA80" i="44"/>
  <c r="DC114" i="44" s="1"/>
  <c r="BZ38" i="45"/>
  <c r="BZ64" i="45"/>
  <c r="BZ71" i="45"/>
  <c r="CB71" i="45"/>
  <c r="AE24" i="45"/>
  <c r="AE28" i="45"/>
  <c r="AH20" i="45"/>
  <c r="AJ64" i="45"/>
  <c r="AE64" i="45"/>
  <c r="AE71" i="45"/>
  <c r="AF71" i="45"/>
  <c r="AW26" i="45"/>
  <c r="AW22" i="45"/>
  <c r="AW57" i="45"/>
  <c r="AW63" i="45"/>
  <c r="AW86" i="44"/>
  <c r="AW83" i="44"/>
  <c r="AW85" i="44"/>
  <c r="BO28" i="45"/>
  <c r="BO24" i="45"/>
  <c r="X61" i="45"/>
  <c r="X54" i="45"/>
  <c r="X80" i="44"/>
  <c r="X84" i="44"/>
  <c r="AW54" i="45"/>
  <c r="AW61" i="45"/>
  <c r="AW84" i="44"/>
  <c r="AW80" i="44"/>
  <c r="BS38" i="45"/>
  <c r="BS71" i="45"/>
  <c r="BS64" i="45"/>
  <c r="BX64" i="45"/>
  <c r="BT71" i="45"/>
  <c r="CK54" i="45"/>
  <c r="CK61" i="45"/>
  <c r="CK79" i="44"/>
  <c r="DE113" i="44" s="1"/>
  <c r="CK84" i="44"/>
  <c r="CK80" i="44"/>
  <c r="DE114" i="44" s="1"/>
  <c r="CH24" i="45"/>
  <c r="CH28" i="45"/>
  <c r="CK20" i="45"/>
  <c r="W28" i="45"/>
  <c r="W24" i="45"/>
  <c r="Z64" i="45"/>
  <c r="Z71" i="45"/>
  <c r="CI71" i="45"/>
  <c r="CI64" i="45"/>
  <c r="CI38" i="45"/>
  <c r="CJ71" i="45"/>
  <c r="BB54" i="45"/>
  <c r="BB61" i="45"/>
  <c r="BB79" i="44"/>
  <c r="BB80" i="44"/>
  <c r="BB84" i="44"/>
  <c r="AM26" i="45"/>
  <c r="AM22" i="45"/>
  <c r="AM63" i="45"/>
  <c r="AM57" i="45"/>
  <c r="AM86" i="44"/>
  <c r="AM85" i="44"/>
  <c r="AM83" i="44"/>
  <c r="BV54" i="45"/>
  <c r="BV61" i="45"/>
  <c r="BV80" i="44"/>
  <c r="DB114" i="44" s="1"/>
  <c r="BV79" i="44"/>
  <c r="DB113" i="44" s="1"/>
  <c r="BV84" i="44"/>
  <c r="CO13" i="45"/>
  <c r="CP7" i="44"/>
  <c r="CO53" i="44"/>
  <c r="AP24" i="45"/>
  <c r="AP28" i="45"/>
  <c r="F64" i="45"/>
  <c r="G64" i="45"/>
  <c r="BL22" i="45"/>
  <c r="BL26" i="45"/>
  <c r="BL64" i="45" s="1"/>
  <c r="BL57" i="45"/>
  <c r="BL31" i="45"/>
  <c r="BL63" i="45"/>
  <c r="BL86" i="44"/>
  <c r="BL85" i="44"/>
  <c r="BL83" i="44"/>
  <c r="BJ64" i="45"/>
  <c r="BJ71" i="45"/>
  <c r="AH80" i="44"/>
  <c r="AH54" i="45"/>
  <c r="AH61" i="45"/>
  <c r="AH84" i="44"/>
  <c r="AQ64" i="45"/>
  <c r="AQ71" i="45"/>
  <c r="AV64" i="45"/>
  <c r="AS71" i="45"/>
  <c r="BG28" i="45"/>
  <c r="BG24" i="45"/>
  <c r="CF22" i="45"/>
  <c r="CF57" i="45"/>
  <c r="CF31" i="45"/>
  <c r="CF26" i="45"/>
  <c r="CF63" i="45"/>
  <c r="CF86" i="44"/>
  <c r="CF83" i="44"/>
  <c r="CF85" i="44"/>
  <c r="BG61" i="45"/>
  <c r="S61" i="45"/>
  <c r="BH71" i="45"/>
  <c r="BQ54" i="45"/>
  <c r="BQ61" i="45"/>
  <c r="BQ80" i="44"/>
  <c r="DA114" i="44" s="1"/>
  <c r="BQ79" i="44"/>
  <c r="DA113" i="44" s="1"/>
  <c r="BQ84" i="44"/>
  <c r="BL20" i="45"/>
  <c r="V24" i="45"/>
  <c r="V28" i="45"/>
  <c r="BK64" i="45"/>
  <c r="BK71" i="45"/>
  <c r="BM71" i="45"/>
  <c r="BP64" i="45"/>
  <c r="CS41" i="45"/>
  <c r="CS27" i="45"/>
  <c r="AU71" i="45"/>
  <c r="AU64" i="45"/>
  <c r="AV71" i="45"/>
  <c r="AZ64" i="45"/>
  <c r="CL24" i="45"/>
  <c r="CL28" i="45"/>
  <c r="M64" i="44"/>
  <c r="M63" i="44"/>
  <c r="M65" i="44" s="1"/>
  <c r="M85" i="44"/>
  <c r="R85" i="44"/>
  <c r="CR26" i="44"/>
  <c r="L63" i="44"/>
  <c r="L65" i="44" s="1"/>
  <c r="L64" i="44"/>
  <c r="L85" i="44"/>
  <c r="CS308" i="43"/>
  <c r="CS309" i="43" s="1"/>
  <c r="CR309" i="43"/>
  <c r="CS210" i="43"/>
  <c r="CS209" i="43" s="1"/>
  <c r="CR209" i="43"/>
  <c r="CS177" i="43"/>
  <c r="CS224" i="43"/>
  <c r="CS223" i="43" s="1"/>
  <c r="AG24" i="43"/>
  <c r="AG27" i="43"/>
  <c r="M24" i="43"/>
  <c r="M27" i="43"/>
  <c r="X49" i="42"/>
  <c r="I123" i="43"/>
  <c r="I124" i="43" s="1"/>
  <c r="H125" i="43"/>
  <c r="R53" i="42"/>
  <c r="R55" i="42" s="1"/>
  <c r="R57" i="42" s="1"/>
  <c r="S26" i="42"/>
  <c r="S53" i="42" s="1"/>
  <c r="S55" i="42" s="1"/>
  <c r="S57" i="42" s="1"/>
  <c r="CS310" i="43"/>
  <c r="CS311" i="43" s="1"/>
  <c r="CR311" i="43"/>
  <c r="T56" i="42"/>
  <c r="R24" i="43"/>
  <c r="R27" i="43"/>
  <c r="CF190" i="43"/>
  <c r="CE193" i="43"/>
  <c r="CF193" i="43" s="1"/>
  <c r="CG190" i="43" s="1"/>
  <c r="CG193" i="43" s="1"/>
  <c r="CH190" i="43" s="1"/>
  <c r="CH193" i="43" s="1"/>
  <c r="CI190" i="43" s="1"/>
  <c r="CI193" i="43" s="1"/>
  <c r="CJ190" i="43" s="1"/>
  <c r="BD56" i="42"/>
  <c r="AJ56" i="42"/>
  <c r="CF26" i="42"/>
  <c r="CF53" i="42" s="1"/>
  <c r="W49" i="42"/>
  <c r="CS23" i="42"/>
  <c r="AQ49" i="42"/>
  <c r="CG56" i="42"/>
  <c r="BM56" i="42"/>
  <c r="C56" i="42"/>
  <c r="BZ56" i="42"/>
  <c r="Q56" i="42"/>
  <c r="CS42" i="42"/>
  <c r="CS45" i="42" s="1"/>
  <c r="CS49" i="42" s="1"/>
  <c r="CS57" i="42"/>
  <c r="AG56" i="42"/>
  <c r="H56" i="42"/>
  <c r="E56" i="42"/>
  <c r="I56" i="42"/>
  <c r="AB57" i="42"/>
  <c r="AB56" i="42"/>
  <c r="V57" i="42"/>
  <c r="CF54" i="42"/>
  <c r="CF35" i="42"/>
  <c r="BE53" i="42"/>
  <c r="BE55" i="42" s="1"/>
  <c r="BE59" i="42" s="1"/>
  <c r="BE49" i="42"/>
  <c r="BG26" i="42"/>
  <c r="BG53" i="42" s="1"/>
  <c r="BG55" i="42" s="1"/>
  <c r="BG59" i="42" s="1"/>
  <c r="CJ57" i="42"/>
  <c r="CJ56" i="42"/>
  <c r="BQ26" i="42"/>
  <c r="CA26" i="42"/>
  <c r="CA49" i="42" s="1"/>
  <c r="BP57" i="42"/>
  <c r="AV53" i="42"/>
  <c r="AV55" i="42" s="1"/>
  <c r="AV49" i="42"/>
  <c r="AW26" i="42"/>
  <c r="AW53" i="42" s="1"/>
  <c r="AW55" i="42" s="1"/>
  <c r="AM57" i="42"/>
  <c r="AQ56" i="42"/>
  <c r="AF53" i="42"/>
  <c r="AF55" i="42" s="1"/>
  <c r="AH26" i="42"/>
  <c r="AH53" i="42" s="1"/>
  <c r="AH55" i="42" s="1"/>
  <c r="AC26" i="42"/>
  <c r="BK53" i="42"/>
  <c r="BK55" i="42" s="1"/>
  <c r="BK59" i="42" s="1"/>
  <c r="BL26" i="42"/>
  <c r="BO57" i="42"/>
  <c r="BY56" i="42"/>
  <c r="BY57" i="42"/>
  <c r="X57" i="42"/>
  <c r="W56" i="42"/>
  <c r="W57" i="42"/>
  <c r="M26" i="42"/>
  <c r="N20" i="42"/>
  <c r="AB49" i="42"/>
  <c r="BT57" i="42"/>
  <c r="BT56" i="42"/>
  <c r="AZ53" i="42"/>
  <c r="AZ55" i="42" s="1"/>
  <c r="AZ49" i="42"/>
  <c r="BB26" i="42"/>
  <c r="AA57" i="42"/>
  <c r="CE49" i="42"/>
  <c r="BP49" i="42"/>
  <c r="AF49" i="42"/>
  <c r="AR26" i="42"/>
  <c r="AR53" i="42" s="1"/>
  <c r="AR55" i="42" s="1"/>
  <c r="BZ57" i="42"/>
  <c r="CJ49" i="42"/>
  <c r="K56" i="42"/>
  <c r="BJ56" i="42"/>
  <c r="AY56" i="42"/>
  <c r="AL56" i="42"/>
  <c r="AA56" i="42"/>
  <c r="BO56" i="42"/>
  <c r="AE56" i="42"/>
  <c r="BF56" i="42"/>
  <c r="V56" i="42"/>
  <c r="AT56" i="42"/>
  <c r="BS56" i="42"/>
  <c r="Z56" i="42"/>
  <c r="BN56" i="42"/>
  <c r="AP56" i="42"/>
  <c r="CD56" i="42"/>
  <c r="AU56" i="42"/>
  <c r="CI56" i="42"/>
  <c r="CH56" i="42"/>
  <c r="CE56" i="42" l="1"/>
  <c r="AM24" i="45"/>
  <c r="BG49" i="42"/>
  <c r="R56" i="42"/>
  <c r="CS34" i="45"/>
  <c r="CS23" i="45" s="1"/>
  <c r="CR21" i="46"/>
  <c r="CR20" i="46" s="1"/>
  <c r="BV53" i="42"/>
  <c r="BV55" i="42" s="1"/>
  <c r="BV56" i="42" s="1"/>
  <c r="BV19" i="42"/>
  <c r="CQ20" i="46"/>
  <c r="X24" i="45"/>
  <c r="CN52" i="47"/>
  <c r="CO117" i="47"/>
  <c r="CO143" i="47"/>
  <c r="CO150" i="47" s="1"/>
  <c r="AW64" i="45"/>
  <c r="AR28" i="45"/>
  <c r="S24" i="45"/>
  <c r="CP39" i="46"/>
  <c r="CP40" i="46"/>
  <c r="CK49" i="42"/>
  <c r="CK53" i="42"/>
  <c r="CK55" i="42" s="1"/>
  <c r="CK59" i="42" s="1"/>
  <c r="CO127" i="47"/>
  <c r="CE57" i="42"/>
  <c r="AM64" i="45"/>
  <c r="CP38" i="46"/>
  <c r="CM52" i="47"/>
  <c r="CF55" i="42"/>
  <c r="CF59" i="42" s="1"/>
  <c r="CM143" i="47"/>
  <c r="CM144" i="47" s="1"/>
  <c r="CM117" i="47"/>
  <c r="CM108" i="47"/>
  <c r="CM127" i="47"/>
  <c r="CP80" i="47"/>
  <c r="CN127" i="47"/>
  <c r="CN94" i="47"/>
  <c r="CN89" i="47"/>
  <c r="CN113" i="47"/>
  <c r="CN90" i="47"/>
  <c r="CN104" i="47"/>
  <c r="CN123" i="47"/>
  <c r="CM84" i="47"/>
  <c r="CN146" i="47"/>
  <c r="CN157" i="47"/>
  <c r="CO38" i="46"/>
  <c r="CO39" i="46"/>
  <c r="CO40" i="46"/>
  <c r="CM103" i="47"/>
  <c r="CQ17" i="46"/>
  <c r="CQ16" i="46"/>
  <c r="CR18" i="46"/>
  <c r="CO79" i="47"/>
  <c r="CO26" i="47"/>
  <c r="CO49" i="47" s="1"/>
  <c r="CO55" i="47"/>
  <c r="CO44" i="47"/>
  <c r="CO39" i="47"/>
  <c r="CP13" i="47"/>
  <c r="CO60" i="47" s="1"/>
  <c r="CM41" i="46"/>
  <c r="CP40" i="47"/>
  <c r="CL61" i="47"/>
  <c r="CP45" i="47"/>
  <c r="CN61" i="47"/>
  <c r="CO61" i="47"/>
  <c r="CM155" i="47"/>
  <c r="CM149" i="47"/>
  <c r="AH64" i="45"/>
  <c r="S64" i="45"/>
  <c r="CS37" i="44"/>
  <c r="CN8" i="45"/>
  <c r="CN46" i="45"/>
  <c r="CN78" i="44"/>
  <c r="CM9" i="45"/>
  <c r="CM8" i="44"/>
  <c r="CM10" i="45"/>
  <c r="CM60" i="45"/>
  <c r="CM67" i="45"/>
  <c r="CN67" i="45"/>
  <c r="CR19" i="46"/>
  <c r="CN15" i="45"/>
  <c r="CQ13" i="46"/>
  <c r="CR15" i="46"/>
  <c r="CQ14" i="46"/>
  <c r="CQ23" i="46"/>
  <c r="CQ35" i="46" s="1"/>
  <c r="CK24" i="45"/>
  <c r="CK28" i="45"/>
  <c r="BQ38" i="45"/>
  <c r="BQ64" i="45"/>
  <c r="CF64" i="45"/>
  <c r="CF38" i="45"/>
  <c r="AR64" i="45"/>
  <c r="DD125" i="45"/>
  <c r="DD105" i="45"/>
  <c r="DD126" i="45" s="1"/>
  <c r="DD128" i="45" s="1"/>
  <c r="DD130" i="45" s="1"/>
  <c r="CA38" i="45"/>
  <c r="CA64" i="45"/>
  <c r="CP13" i="45"/>
  <c r="CZ125" i="45"/>
  <c r="DD107" i="45"/>
  <c r="CZ126" i="45" s="1"/>
  <c r="CZ128" i="45" s="1"/>
  <c r="CZ130" i="45" s="1"/>
  <c r="BL24" i="45"/>
  <c r="BL28" i="45"/>
  <c r="AC24" i="45"/>
  <c r="AC28" i="45"/>
  <c r="BV64" i="45"/>
  <c r="BV38" i="45"/>
  <c r="CO57" i="44"/>
  <c r="CO63" i="44"/>
  <c r="CO54" i="44"/>
  <c r="AH24" i="45"/>
  <c r="AH28" i="45"/>
  <c r="N24" i="45"/>
  <c r="N28" i="45"/>
  <c r="DB125" i="45"/>
  <c r="DD106" i="45"/>
  <c r="BB24" i="45"/>
  <c r="BB28" i="45"/>
  <c r="AC64" i="45"/>
  <c r="CK64" i="45"/>
  <c r="CK38" i="45"/>
  <c r="BV24" i="45"/>
  <c r="BV28" i="45"/>
  <c r="CQ7" i="44"/>
  <c r="CP53" i="44"/>
  <c r="BQ24" i="45"/>
  <c r="BQ28" i="45"/>
  <c r="AW24" i="45"/>
  <c r="AW28" i="45"/>
  <c r="BB64" i="45"/>
  <c r="BG64" i="45"/>
  <c r="CS26" i="44"/>
  <c r="AR49" i="42"/>
  <c r="CK190" i="43"/>
  <c r="CJ193" i="43"/>
  <c r="CK193" i="43" s="1"/>
  <c r="CL190" i="43" s="1"/>
  <c r="CL193" i="43" s="1"/>
  <c r="J123" i="43"/>
  <c r="I125" i="43"/>
  <c r="N123" i="43"/>
  <c r="N124" i="43" s="1"/>
  <c r="CP249" i="43"/>
  <c r="CP248" i="43" s="1"/>
  <c r="CP222" i="43"/>
  <c r="S49" i="42"/>
  <c r="CF19" i="42"/>
  <c r="AM56" i="42"/>
  <c r="AH49" i="42"/>
  <c r="CF49" i="42"/>
  <c r="AX56" i="42"/>
  <c r="BX56" i="42"/>
  <c r="AN56" i="42"/>
  <c r="BU56" i="42"/>
  <c r="P56" i="42"/>
  <c r="S56" i="42"/>
  <c r="G56" i="42"/>
  <c r="AK56" i="42"/>
  <c r="AD56" i="42"/>
  <c r="F56" i="42"/>
  <c r="BR56" i="42"/>
  <c r="BP56" i="42"/>
  <c r="AF57" i="42"/>
  <c r="AF56" i="42"/>
  <c r="AW57" i="42"/>
  <c r="BQ19" i="42"/>
  <c r="BQ53" i="42"/>
  <c r="BQ55" i="42" s="1"/>
  <c r="BQ59" i="42" s="1"/>
  <c r="BE57" i="42"/>
  <c r="BE56" i="42"/>
  <c r="AZ57" i="42"/>
  <c r="AZ56" i="42"/>
  <c r="AC53" i="42"/>
  <c r="AC55" i="42" s="1"/>
  <c r="AC49" i="42"/>
  <c r="CF57" i="42"/>
  <c r="AW49" i="42"/>
  <c r="AR57" i="42"/>
  <c r="BK56" i="42"/>
  <c r="BK57" i="42"/>
  <c r="AV57" i="42"/>
  <c r="AV56" i="42"/>
  <c r="BG56" i="42"/>
  <c r="BG57" i="42"/>
  <c r="M53" i="42"/>
  <c r="M55" i="42" s="1"/>
  <c r="N26" i="42"/>
  <c r="M49" i="42"/>
  <c r="M51" i="42" s="1"/>
  <c r="BL19" i="42"/>
  <c r="BL53" i="42"/>
  <c r="BL55" i="42" s="1"/>
  <c r="BL59" i="42" s="1"/>
  <c r="BL49" i="42"/>
  <c r="BB53" i="42"/>
  <c r="BB55" i="42" s="1"/>
  <c r="BB59" i="42" s="1"/>
  <c r="BB49" i="42"/>
  <c r="AH57" i="42"/>
  <c r="CA19" i="42"/>
  <c r="CA53" i="42"/>
  <c r="CA55" i="42" s="1"/>
  <c r="CA59" i="42" s="1"/>
  <c r="BQ49" i="42"/>
  <c r="AR56" i="42"/>
  <c r="X56" i="42"/>
  <c r="AW56" i="42"/>
  <c r="AH56" i="42"/>
  <c r="CK56" i="42" l="1"/>
  <c r="CK57" i="42"/>
  <c r="CS21" i="46"/>
  <c r="CS19" i="46" s="1"/>
  <c r="CO156" i="47"/>
  <c r="BV59" i="42"/>
  <c r="BV57" i="42"/>
  <c r="CM151" i="47"/>
  <c r="CP41" i="46"/>
  <c r="CQ8" i="46"/>
  <c r="CQ19" i="47" s="1"/>
  <c r="CQ80" i="47" s="1"/>
  <c r="CQ7" i="46"/>
  <c r="CQ13" i="47" s="1"/>
  <c r="CQ44" i="47" s="1"/>
  <c r="CO41" i="46"/>
  <c r="CF56" i="42"/>
  <c r="CO50" i="47"/>
  <c r="CO57" i="47"/>
  <c r="CO46" i="47"/>
  <c r="CO41" i="47"/>
  <c r="CO51" i="47"/>
  <c r="CO6" i="45"/>
  <c r="CM146" i="47"/>
  <c r="CM157" i="47"/>
  <c r="CO84" i="47"/>
  <c r="CO142" i="47"/>
  <c r="CO103" i="47"/>
  <c r="CO126" i="47"/>
  <c r="CO116" i="47"/>
  <c r="CO107" i="47"/>
  <c r="CP79" i="47"/>
  <c r="CP39" i="47"/>
  <c r="CP26" i="47"/>
  <c r="CO62" i="47" s="1"/>
  <c r="CL60" i="47"/>
  <c r="CP44" i="47"/>
  <c r="CN60" i="47"/>
  <c r="CM60" i="47"/>
  <c r="CR16" i="46"/>
  <c r="CR17" i="46"/>
  <c r="CS18" i="46"/>
  <c r="CN152" i="47"/>
  <c r="CN158" i="47"/>
  <c r="CM131" i="47"/>
  <c r="CM121" i="47"/>
  <c r="CM112" i="47"/>
  <c r="CM86" i="47"/>
  <c r="CN131" i="47"/>
  <c r="CN95" i="47"/>
  <c r="CP99" i="47"/>
  <c r="CP143" i="47"/>
  <c r="CP117" i="47"/>
  <c r="CP108" i="47"/>
  <c r="CM156" i="47"/>
  <c r="CM150" i="47"/>
  <c r="DB126" i="45"/>
  <c r="DB128" i="45" s="1"/>
  <c r="DB130" i="45" s="1"/>
  <c r="DU78" i="45"/>
  <c r="DU79" i="45" s="1"/>
  <c r="CN16" i="45"/>
  <c r="CN18" i="45" s="1"/>
  <c r="CN55" i="45"/>
  <c r="CN48" i="45"/>
  <c r="CN59" i="42" s="1"/>
  <c r="CN62" i="45"/>
  <c r="CR14" i="46"/>
  <c r="CS15" i="46"/>
  <c r="CR13" i="46"/>
  <c r="CR23" i="46"/>
  <c r="CR35" i="46" s="1"/>
  <c r="CN7" i="45"/>
  <c r="CN51" i="45"/>
  <c r="CP57" i="44"/>
  <c r="DF108" i="44" s="1"/>
  <c r="CP63" i="44"/>
  <c r="CP54" i="44"/>
  <c r="CZ133" i="45"/>
  <c r="CZ134" i="45"/>
  <c r="DD133" i="45"/>
  <c r="DD134" i="45"/>
  <c r="CQ13" i="45"/>
  <c r="CQ53" i="44"/>
  <c r="CR7" i="44"/>
  <c r="M124" i="43"/>
  <c r="M125" i="43" s="1"/>
  <c r="O123" i="43"/>
  <c r="N125" i="43"/>
  <c r="S123" i="43"/>
  <c r="S124" i="43" s="1"/>
  <c r="K123" i="43"/>
  <c r="J124" i="43"/>
  <c r="J125" i="43" s="1"/>
  <c r="CQ249" i="43"/>
  <c r="CQ248" i="43" s="1"/>
  <c r="CQ222" i="43"/>
  <c r="M57" i="42"/>
  <c r="M56" i="42"/>
  <c r="AC56" i="42"/>
  <c r="AC57" i="42"/>
  <c r="BL57" i="42"/>
  <c r="BL56" i="42"/>
  <c r="BQ56" i="42"/>
  <c r="BQ57" i="42"/>
  <c r="CA56" i="42"/>
  <c r="CA57" i="42"/>
  <c r="BB57" i="42"/>
  <c r="BB56" i="42"/>
  <c r="N53" i="42"/>
  <c r="N55" i="42" s="1"/>
  <c r="N49" i="42"/>
  <c r="N51" i="42" s="1"/>
  <c r="CS20" i="46" l="1"/>
  <c r="CP49" i="47"/>
  <c r="DB133" i="45"/>
  <c r="CQ45" i="47"/>
  <c r="CQ39" i="47"/>
  <c r="CQ10" i="46"/>
  <c r="CQ40" i="46" s="1"/>
  <c r="CR8" i="46"/>
  <c r="CR19" i="47" s="1"/>
  <c r="CR80" i="47" s="1"/>
  <c r="CQ79" i="47"/>
  <c r="CQ107" i="47" s="1"/>
  <c r="CQ40" i="47"/>
  <c r="CQ26" i="47"/>
  <c r="CQ50" i="47" s="1"/>
  <c r="CR7" i="46"/>
  <c r="CR13" i="47" s="1"/>
  <c r="CR39" i="47" s="1"/>
  <c r="CO52" i="47"/>
  <c r="CP150" i="47"/>
  <c r="CP156" i="47"/>
  <c r="CM113" i="47"/>
  <c r="CM104" i="47"/>
  <c r="CM133" i="47"/>
  <c r="CM123" i="47"/>
  <c r="CM94" i="47"/>
  <c r="CM89" i="47"/>
  <c r="CM90" i="47"/>
  <c r="CM12" i="45"/>
  <c r="CN133" i="47"/>
  <c r="CO155" i="47"/>
  <c r="CO151" i="47"/>
  <c r="CO149" i="47"/>
  <c r="CO144" i="47"/>
  <c r="CO121" i="47"/>
  <c r="CO112" i="47"/>
  <c r="CO131" i="47"/>
  <c r="CO86" i="47"/>
  <c r="CQ84" i="47"/>
  <c r="CS16" i="46"/>
  <c r="CS17" i="46"/>
  <c r="CN62" i="47"/>
  <c r="CL62" i="47"/>
  <c r="CP51" i="47"/>
  <c r="CP65" i="47"/>
  <c r="CP46" i="47"/>
  <c r="CP41" i="47"/>
  <c r="CP67" i="47"/>
  <c r="CP66" i="47"/>
  <c r="CP73" i="47" s="1"/>
  <c r="CM62" i="47"/>
  <c r="CP50" i="47"/>
  <c r="CP84" i="47"/>
  <c r="CP116" i="47"/>
  <c r="CP103" i="47"/>
  <c r="CP142" i="47"/>
  <c r="CP98" i="47"/>
  <c r="CP107" i="47"/>
  <c r="CR45" i="47"/>
  <c r="CQ143" i="47"/>
  <c r="CQ117" i="47"/>
  <c r="CQ108" i="47"/>
  <c r="CM152" i="47"/>
  <c r="CM158" i="47"/>
  <c r="CO60" i="45"/>
  <c r="CO67" i="45"/>
  <c r="CO8" i="44"/>
  <c r="CP8" i="44" s="1"/>
  <c r="CO10" i="45"/>
  <c r="CP10" i="45" s="1"/>
  <c r="CO9" i="45"/>
  <c r="CP9" i="45" s="1"/>
  <c r="CP6" i="45"/>
  <c r="CP60" i="45" s="1"/>
  <c r="CN54" i="45"/>
  <c r="CN79" i="44"/>
  <c r="CN61" i="45"/>
  <c r="CN80" i="44"/>
  <c r="CN9" i="44"/>
  <c r="CN12" i="44" s="1"/>
  <c r="CN23" i="44"/>
  <c r="CN29" i="44" s="1"/>
  <c r="CN34" i="44" s="1"/>
  <c r="CS13" i="46"/>
  <c r="CS14" i="46"/>
  <c r="CS23" i="46"/>
  <c r="CS35" i="46" s="1"/>
  <c r="CN57" i="45"/>
  <c r="CN63" i="45"/>
  <c r="CN26" i="45"/>
  <c r="CN20" i="45"/>
  <c r="CN22" i="45"/>
  <c r="CN31" i="45"/>
  <c r="CR10" i="46"/>
  <c r="CR13" i="45"/>
  <c r="CR53" i="44"/>
  <c r="CS7" i="44"/>
  <c r="CQ57" i="44"/>
  <c r="DG108" i="44" s="1"/>
  <c r="CQ54" i="44"/>
  <c r="CQ63" i="44"/>
  <c r="T123" i="43"/>
  <c r="X123" i="43"/>
  <c r="X124" i="43" s="1"/>
  <c r="R124" i="43"/>
  <c r="R125" i="43" s="1"/>
  <c r="S125" i="43"/>
  <c r="CR249" i="43"/>
  <c r="CR248" i="43" s="1"/>
  <c r="CR222" i="43"/>
  <c r="L123" i="43"/>
  <c r="K124" i="43"/>
  <c r="K125" i="43" s="1"/>
  <c r="P123" i="43"/>
  <c r="O124" i="43"/>
  <c r="O125" i="43" s="1"/>
  <c r="S50" i="42"/>
  <c r="S51" i="42" s="1"/>
  <c r="O50" i="42"/>
  <c r="O51" i="42" s="1"/>
  <c r="P50" i="42" s="1"/>
  <c r="P51" i="42" s="1"/>
  <c r="Q50" i="42" s="1"/>
  <c r="Q51" i="42" s="1"/>
  <c r="R50" i="42" s="1"/>
  <c r="R51" i="42" s="1"/>
  <c r="N56" i="42"/>
  <c r="N57" i="42"/>
  <c r="CR40" i="47" l="1"/>
  <c r="CQ39" i="46"/>
  <c r="CQ67" i="47"/>
  <c r="CQ66" i="47"/>
  <c r="CQ73" i="47" s="1"/>
  <c r="CQ38" i="46"/>
  <c r="CQ46" i="47"/>
  <c r="CQ65" i="47"/>
  <c r="CQ41" i="47"/>
  <c r="CQ51" i="47"/>
  <c r="CQ52" i="47" s="1"/>
  <c r="CQ49" i="47"/>
  <c r="CR26" i="47"/>
  <c r="CR49" i="47" s="1"/>
  <c r="CR44" i="47"/>
  <c r="CQ103" i="47"/>
  <c r="CQ116" i="47"/>
  <c r="CQ142" i="47"/>
  <c r="CQ144" i="47" s="1"/>
  <c r="CP52" i="45"/>
  <c r="CR79" i="47"/>
  <c r="CR107" i="47" s="1"/>
  <c r="CS7" i="46"/>
  <c r="CS13" i="47" s="1"/>
  <c r="CS8" i="46"/>
  <c r="CS19" i="47" s="1"/>
  <c r="CS45" i="47" s="1"/>
  <c r="CQ41" i="46"/>
  <c r="CP52" i="47"/>
  <c r="CP53" i="45"/>
  <c r="CR117" i="47"/>
  <c r="CR143" i="47"/>
  <c r="CR108" i="47"/>
  <c r="CP121" i="47"/>
  <c r="CP86" i="47"/>
  <c r="CP112" i="47"/>
  <c r="CQ74" i="47"/>
  <c r="CP74" i="47"/>
  <c r="CO113" i="47"/>
  <c r="CO90" i="47"/>
  <c r="CO123" i="47"/>
  <c r="CO94" i="47"/>
  <c r="CO133" i="47"/>
  <c r="CO104" i="47"/>
  <c r="CO12" i="45"/>
  <c r="CO89" i="47"/>
  <c r="CM95" i="47"/>
  <c r="CP149" i="47"/>
  <c r="CP144" i="47"/>
  <c r="CP151" i="47"/>
  <c r="CP155" i="47"/>
  <c r="CQ86" i="47"/>
  <c r="CQ12" i="45" s="1"/>
  <c r="CQ121" i="47"/>
  <c r="CQ112" i="47"/>
  <c r="CO146" i="47"/>
  <c r="CO157" i="47"/>
  <c r="CP69" i="44"/>
  <c r="CQ150" i="47"/>
  <c r="CQ156" i="47"/>
  <c r="CP12" i="45"/>
  <c r="CM78" i="44"/>
  <c r="CM8" i="45"/>
  <c r="CM15" i="45"/>
  <c r="CM46" i="45"/>
  <c r="CP72" i="47"/>
  <c r="CP69" i="47"/>
  <c r="CP76" i="47" s="1"/>
  <c r="CQ155" i="47"/>
  <c r="CR51" i="47"/>
  <c r="CR39" i="46"/>
  <c r="CR40" i="46"/>
  <c r="CR38" i="46"/>
  <c r="CN28" i="45"/>
  <c r="CN24" i="45"/>
  <c r="CQ6" i="45"/>
  <c r="CN38" i="45"/>
  <c r="CN64" i="45"/>
  <c r="CN68" i="44"/>
  <c r="CN19" i="44"/>
  <c r="CN77" i="44"/>
  <c r="CR57" i="44"/>
  <c r="DH108" i="44" s="1"/>
  <c r="CR63" i="44"/>
  <c r="CR54" i="44"/>
  <c r="CS13" i="45"/>
  <c r="CS53" i="44"/>
  <c r="W124" i="43"/>
  <c r="W125" i="43" s="1"/>
  <c r="AC123" i="43"/>
  <c r="AC124" i="43" s="1"/>
  <c r="Y123" i="43"/>
  <c r="X125" i="43"/>
  <c r="CS249" i="43"/>
  <c r="CS248" i="43" s="1"/>
  <c r="CS222" i="43"/>
  <c r="U123" i="43"/>
  <c r="T124" i="43"/>
  <c r="T125" i="43" s="1"/>
  <c r="Q123" i="43"/>
  <c r="P124" i="43"/>
  <c r="P125" i="43" s="1"/>
  <c r="M123" i="43"/>
  <c r="L124" i="43"/>
  <c r="L125" i="43" s="1"/>
  <c r="CO21" i="42"/>
  <c r="CM21" i="42"/>
  <c r="CN21" i="42"/>
  <c r="T50" i="42"/>
  <c r="T51" i="42" s="1"/>
  <c r="U50" i="42" s="1"/>
  <c r="U51" i="42" s="1"/>
  <c r="V50" i="42" s="1"/>
  <c r="V51" i="42" s="1"/>
  <c r="W50" i="42" s="1"/>
  <c r="W51" i="42" s="1"/>
  <c r="X50" i="42"/>
  <c r="X51" i="42" s="1"/>
  <c r="CS40" i="47" l="1"/>
  <c r="CS80" i="47"/>
  <c r="CR103" i="47"/>
  <c r="CR116" i="47"/>
  <c r="CR84" i="47"/>
  <c r="CR121" i="47" s="1"/>
  <c r="CR142" i="47"/>
  <c r="CR151" i="47" s="1"/>
  <c r="CQ69" i="47"/>
  <c r="CQ76" i="47" s="1"/>
  <c r="CR67" i="47"/>
  <c r="CR74" i="47" s="1"/>
  <c r="CQ149" i="47"/>
  <c r="CQ72" i="47"/>
  <c r="CR41" i="47"/>
  <c r="CR66" i="47"/>
  <c r="CR73" i="47" s="1"/>
  <c r="CQ151" i="47"/>
  <c r="CR6" i="45"/>
  <c r="CR46" i="47"/>
  <c r="CR65" i="47"/>
  <c r="CR69" i="47" s="1"/>
  <c r="CR50" i="47"/>
  <c r="CR52" i="47" s="1"/>
  <c r="CO95" i="47"/>
  <c r="CS10" i="46"/>
  <c r="CM51" i="45"/>
  <c r="CM7" i="45"/>
  <c r="CO152" i="47"/>
  <c r="CO158" i="47"/>
  <c r="CR86" i="47"/>
  <c r="CR12" i="45" s="1"/>
  <c r="CP104" i="47"/>
  <c r="CP113" i="47"/>
  <c r="CP94" i="47"/>
  <c r="CP123" i="47"/>
  <c r="CP90" i="47"/>
  <c r="CP89" i="47"/>
  <c r="CS117" i="47"/>
  <c r="CS108" i="47"/>
  <c r="CS143" i="47"/>
  <c r="CR144" i="47"/>
  <c r="CS44" i="47"/>
  <c r="CS39" i="47"/>
  <c r="CS79" i="47"/>
  <c r="CS26" i="47"/>
  <c r="CS49" i="47" s="1"/>
  <c r="CR41" i="46"/>
  <c r="CN69" i="45"/>
  <c r="CM48" i="45"/>
  <c r="CM69" i="45"/>
  <c r="CM62" i="45"/>
  <c r="CM55" i="45"/>
  <c r="CP46" i="45"/>
  <c r="CP78" i="44"/>
  <c r="DF112" i="44" s="1"/>
  <c r="CP157" i="47"/>
  <c r="CP146" i="47"/>
  <c r="CO15" i="45"/>
  <c r="CO16" i="45" s="1"/>
  <c r="CO18" i="45" s="1"/>
  <c r="CO8" i="45"/>
  <c r="CO46" i="45"/>
  <c r="CO78" i="44"/>
  <c r="CR150" i="47"/>
  <c r="CR156" i="47"/>
  <c r="CQ146" i="47"/>
  <c r="CQ157" i="47"/>
  <c r="CM16" i="45"/>
  <c r="CQ104" i="47"/>
  <c r="CQ94" i="47"/>
  <c r="CQ113" i="47"/>
  <c r="CQ123" i="47"/>
  <c r="CQ89" i="47"/>
  <c r="CQ90" i="47"/>
  <c r="CQ46" i="45"/>
  <c r="CQ15" i="45"/>
  <c r="CQ16" i="45" s="1"/>
  <c r="CQ18" i="45" s="1"/>
  <c r="CQ20" i="45" s="1"/>
  <c r="CQ78" i="44"/>
  <c r="DG112" i="44" s="1"/>
  <c r="CQ8" i="44"/>
  <c r="CQ10" i="45"/>
  <c r="CQ9" i="45"/>
  <c r="CQ60" i="45"/>
  <c r="CS57" i="44"/>
  <c r="CS63" i="44"/>
  <c r="CS54" i="44"/>
  <c r="R123" i="43"/>
  <c r="Q124" i="43"/>
  <c r="Q125" i="43" s="1"/>
  <c r="V123" i="43"/>
  <c r="U124" i="43"/>
  <c r="U125" i="43" s="1"/>
  <c r="Z123" i="43"/>
  <c r="Y124" i="43"/>
  <c r="Y125" i="43" s="1"/>
  <c r="AC125" i="43"/>
  <c r="AB124" i="43"/>
  <c r="AB125" i="43" s="1"/>
  <c r="AH123" i="43"/>
  <c r="AH124" i="43" s="1"/>
  <c r="AD123" i="43"/>
  <c r="CP21" i="42"/>
  <c r="Y50" i="42"/>
  <c r="Y51" i="42" s="1"/>
  <c r="Z50" i="42" s="1"/>
  <c r="Z51" i="42" s="1"/>
  <c r="AA50" i="42" s="1"/>
  <c r="AA51" i="42" s="1"/>
  <c r="AB50" i="42" s="1"/>
  <c r="AB51" i="42" s="1"/>
  <c r="AC50" i="42"/>
  <c r="AC51" i="42" s="1"/>
  <c r="CR112" i="47" l="1"/>
  <c r="CR72" i="47"/>
  <c r="CR149" i="47"/>
  <c r="CP15" i="45"/>
  <c r="CR155" i="47"/>
  <c r="CR76" i="47"/>
  <c r="CR10" i="45"/>
  <c r="CR8" i="44"/>
  <c r="CR9" i="45"/>
  <c r="CR60" i="45"/>
  <c r="CP16" i="45"/>
  <c r="CS38" i="46"/>
  <c r="CS39" i="46"/>
  <c r="CS40" i="46"/>
  <c r="CO55" i="45"/>
  <c r="CO62" i="45"/>
  <c r="CO48" i="45"/>
  <c r="CO69" i="45"/>
  <c r="CQ95" i="47"/>
  <c r="CO51" i="45"/>
  <c r="CO7" i="45"/>
  <c r="CP7" i="45" s="1"/>
  <c r="CP8" i="45"/>
  <c r="CP51" i="45" s="1"/>
  <c r="CQ152" i="47"/>
  <c r="CQ158" i="47"/>
  <c r="CO26" i="45"/>
  <c r="CO63" i="45"/>
  <c r="CO22" i="45"/>
  <c r="CO20" i="45"/>
  <c r="CO57" i="45"/>
  <c r="CO70" i="45"/>
  <c r="CO31" i="45"/>
  <c r="CP48" i="45"/>
  <c r="CP55" i="45"/>
  <c r="CP62" i="45"/>
  <c r="CM59" i="42"/>
  <c r="CM79" i="44"/>
  <c r="CN68" i="45"/>
  <c r="CM61" i="45"/>
  <c r="CM68" i="45"/>
  <c r="CM54" i="45"/>
  <c r="CM80" i="44"/>
  <c r="CS51" i="47"/>
  <c r="CS67" i="47"/>
  <c r="CS74" i="47" s="1"/>
  <c r="CS65" i="47"/>
  <c r="CS41" i="47"/>
  <c r="CS66" i="47"/>
  <c r="CS73" i="47" s="1"/>
  <c r="CS46" i="47"/>
  <c r="CS50" i="47"/>
  <c r="CS6" i="45"/>
  <c r="CP95" i="47"/>
  <c r="CR104" i="47"/>
  <c r="CR94" i="47"/>
  <c r="CR123" i="47"/>
  <c r="CR113" i="47"/>
  <c r="CR89" i="47"/>
  <c r="CR90" i="47"/>
  <c r="CM9" i="44"/>
  <c r="CM12" i="44" s="1"/>
  <c r="CM23" i="44"/>
  <c r="CM29" i="44" s="1"/>
  <c r="CM34" i="44" s="1"/>
  <c r="CM18" i="45"/>
  <c r="CP152" i="47"/>
  <c r="CP158" i="47"/>
  <c r="CS84" i="47"/>
  <c r="CS142" i="47"/>
  <c r="CS103" i="47"/>
  <c r="CS107" i="47"/>
  <c r="CS116" i="47"/>
  <c r="CR157" i="47"/>
  <c r="CR146" i="47"/>
  <c r="CS156" i="47"/>
  <c r="CS150" i="47"/>
  <c r="CQ57" i="45"/>
  <c r="CQ26" i="45"/>
  <c r="CQ38" i="45" s="1"/>
  <c r="CQ8" i="45"/>
  <c r="CQ51" i="45" s="1"/>
  <c r="CQ31" i="45"/>
  <c r="CQ22" i="45"/>
  <c r="CR46" i="45"/>
  <c r="CR15" i="45"/>
  <c r="CR16" i="45" s="1"/>
  <c r="CR18" i="45" s="1"/>
  <c r="CR78" i="44"/>
  <c r="DH112" i="44" s="1"/>
  <c r="CQ55" i="45"/>
  <c r="CQ48" i="45"/>
  <c r="CQ59" i="42" s="1"/>
  <c r="CQ62" i="45"/>
  <c r="DG129" i="45"/>
  <c r="CQ24" i="45"/>
  <c r="CQ28" i="45"/>
  <c r="CM38" i="44"/>
  <c r="AG124" i="43"/>
  <c r="AG125" i="43" s="1"/>
  <c r="AH125" i="43"/>
  <c r="AM123" i="43"/>
  <c r="AM124" i="43" s="1"/>
  <c r="AI123" i="43"/>
  <c r="AA123" i="43"/>
  <c r="Z124" i="43"/>
  <c r="Z125" i="43" s="1"/>
  <c r="V124" i="43"/>
  <c r="V125" i="43" s="1"/>
  <c r="W123" i="43"/>
  <c r="AE123" i="43"/>
  <c r="AD124" i="43"/>
  <c r="AD125" i="43" s="1"/>
  <c r="AD50" i="42"/>
  <c r="AD51" i="42" s="1"/>
  <c r="AE50" i="42" s="1"/>
  <c r="AE51" i="42" s="1"/>
  <c r="AF50" i="42" s="1"/>
  <c r="AF51" i="42" s="1"/>
  <c r="AG50" i="42" s="1"/>
  <c r="AG51" i="42" s="1"/>
  <c r="AH50" i="42"/>
  <c r="AH51" i="42" s="1"/>
  <c r="CP56" i="45" l="1"/>
  <c r="CR8" i="45"/>
  <c r="CS41" i="46"/>
  <c r="CS52" i="47"/>
  <c r="CQ7" i="45"/>
  <c r="CQ23" i="44" s="1"/>
  <c r="CQ29" i="44" s="1"/>
  <c r="CQ34" i="44" s="1"/>
  <c r="CR95" i="47"/>
  <c r="CR158" i="47"/>
  <c r="CR152" i="47"/>
  <c r="CM19" i="44"/>
  <c r="CM68" i="44"/>
  <c r="CM77" i="44"/>
  <c r="CS10" i="45"/>
  <c r="CS60" i="45"/>
  <c r="CS8" i="44"/>
  <c r="CS21" i="42" s="1"/>
  <c r="CS9" i="45"/>
  <c r="DG125" i="45"/>
  <c r="CO64" i="45"/>
  <c r="CO38" i="45"/>
  <c r="CO71" i="45"/>
  <c r="CO23" i="44"/>
  <c r="CO9" i="44"/>
  <c r="CO59" i="42"/>
  <c r="CO61" i="45"/>
  <c r="CO79" i="44"/>
  <c r="CO68" i="45"/>
  <c r="CO54" i="45"/>
  <c r="CO80" i="44"/>
  <c r="CS144" i="47"/>
  <c r="CS151" i="47"/>
  <c r="CS155" i="47"/>
  <c r="CS149" i="47"/>
  <c r="CM57" i="45"/>
  <c r="CM70" i="45"/>
  <c r="CM26" i="45"/>
  <c r="CM22" i="45"/>
  <c r="CM63" i="45"/>
  <c r="CP18" i="45"/>
  <c r="CN70" i="45"/>
  <c r="CM31" i="45"/>
  <c r="CM20" i="45"/>
  <c r="CS72" i="47"/>
  <c r="CS69" i="47"/>
  <c r="CS76" i="47" s="1"/>
  <c r="CP59" i="42"/>
  <c r="CP61" i="45"/>
  <c r="CP80" i="44"/>
  <c r="DF114" i="44" s="1"/>
  <c r="CP54" i="45"/>
  <c r="CZ95" i="45" s="1"/>
  <c r="CZ105" i="45" s="1"/>
  <c r="CP79" i="44"/>
  <c r="DF113" i="44" s="1"/>
  <c r="CO24" i="45"/>
  <c r="CO28" i="45"/>
  <c r="CS86" i="47"/>
  <c r="CS121" i="47"/>
  <c r="CS112" i="47"/>
  <c r="CR7" i="45"/>
  <c r="CR51" i="45"/>
  <c r="CQ54" i="45"/>
  <c r="DA95" i="45" s="1"/>
  <c r="DA105" i="45" s="1"/>
  <c r="CQ79" i="44"/>
  <c r="DG113" i="44" s="1"/>
  <c r="CQ61" i="45"/>
  <c r="CQ80" i="44"/>
  <c r="DG114" i="44" s="1"/>
  <c r="CR57" i="45"/>
  <c r="CR20" i="45"/>
  <c r="CR26" i="45"/>
  <c r="CR22" i="45"/>
  <c r="CR31" i="45"/>
  <c r="CR63" i="45"/>
  <c r="CR48" i="45"/>
  <c r="CR59" i="42" s="1"/>
  <c r="CR55" i="45"/>
  <c r="CR62" i="45"/>
  <c r="CN38" i="44"/>
  <c r="CM39" i="44"/>
  <c r="CM41" i="44" s="1"/>
  <c r="AJ123" i="43"/>
  <c r="AI124" i="43"/>
  <c r="AI125" i="43" s="1"/>
  <c r="AN123" i="43"/>
  <c r="AN124" i="43" s="1"/>
  <c r="AR123" i="43"/>
  <c r="AR124" i="43" s="1"/>
  <c r="AP123" i="43"/>
  <c r="AO123" i="43"/>
  <c r="AO124" i="43" s="1"/>
  <c r="AF123" i="43"/>
  <c r="AE124" i="43"/>
  <c r="AE125" i="43" s="1"/>
  <c r="AB123" i="43"/>
  <c r="AA124" i="43"/>
  <c r="AA125" i="43" s="1"/>
  <c r="CM22" i="42"/>
  <c r="CN22" i="42"/>
  <c r="CR21" i="42"/>
  <c r="CQ21" i="42"/>
  <c r="CM24" i="42"/>
  <c r="CN24" i="42"/>
  <c r="AI50" i="42"/>
  <c r="AI51" i="42" s="1"/>
  <c r="AJ50" i="42" s="1"/>
  <c r="AJ51" i="42" s="1"/>
  <c r="AK50" i="42" s="1"/>
  <c r="AK51" i="42" s="1"/>
  <c r="AL50" i="42" s="1"/>
  <c r="AL51" i="42" s="1"/>
  <c r="AM50" i="42"/>
  <c r="AM51" i="42" s="1"/>
  <c r="CQ9" i="44" l="1"/>
  <c r="CQ12" i="44" s="1"/>
  <c r="CQ77" i="44" s="1"/>
  <c r="CP57" i="45"/>
  <c r="CP31" i="45"/>
  <c r="CP22" i="45"/>
  <c r="CP63" i="45"/>
  <c r="CP26" i="45"/>
  <c r="CQ63" i="45"/>
  <c r="CP9" i="44"/>
  <c r="CO12" i="44"/>
  <c r="CM74" i="44"/>
  <c r="CM83" i="44"/>
  <c r="CN74" i="44"/>
  <c r="CN83" i="44"/>
  <c r="CP20" i="45"/>
  <c r="CM28" i="45"/>
  <c r="CM24" i="45"/>
  <c r="CS146" i="47"/>
  <c r="CS157" i="47"/>
  <c r="CP23" i="44"/>
  <c r="CO29" i="44"/>
  <c r="CO34" i="44" s="1"/>
  <c r="CS94" i="47"/>
  <c r="CS113" i="47"/>
  <c r="CS123" i="47"/>
  <c r="CS104" i="47"/>
  <c r="CS90" i="47"/>
  <c r="CS89" i="47"/>
  <c r="CS12" i="45"/>
  <c r="CN71" i="45"/>
  <c r="CM38" i="45"/>
  <c r="CM71" i="45"/>
  <c r="CM64" i="45"/>
  <c r="CR54" i="45"/>
  <c r="DB95" i="45" s="1"/>
  <c r="DB105" i="45" s="1"/>
  <c r="CR79" i="44"/>
  <c r="DH113" i="44" s="1"/>
  <c r="CR61" i="45"/>
  <c r="CR80" i="44"/>
  <c r="DH114" i="44" s="1"/>
  <c r="CR64" i="45"/>
  <c r="CR38" i="45"/>
  <c r="CR28" i="45"/>
  <c r="CR24" i="45"/>
  <c r="CR23" i="44"/>
  <c r="CR29" i="44" s="1"/>
  <c r="CR34" i="44" s="1"/>
  <c r="CR9" i="44"/>
  <c r="CR12" i="44" s="1"/>
  <c r="CO38" i="44"/>
  <c r="CN39" i="44"/>
  <c r="CN41" i="44" s="1"/>
  <c r="CM42" i="44"/>
  <c r="CM55" i="44"/>
  <c r="CM84" i="44"/>
  <c r="CM86" i="44"/>
  <c r="AG123" i="43"/>
  <c r="AF124" i="43"/>
  <c r="AF125" i="43" s="1"/>
  <c r="AU123" i="43"/>
  <c r="AW123" i="43"/>
  <c r="AW124" i="43" s="1"/>
  <c r="AS123" i="43"/>
  <c r="AS124" i="43" s="1"/>
  <c r="AT123" i="43"/>
  <c r="AT124" i="43" s="1"/>
  <c r="AQ124" i="43"/>
  <c r="AK123" i="43"/>
  <c r="AJ124" i="43"/>
  <c r="AJ125" i="43" s="1"/>
  <c r="AQ123" i="43"/>
  <c r="AP124" i="43"/>
  <c r="CO24" i="42"/>
  <c r="CP24" i="42" s="1"/>
  <c r="CO22" i="42"/>
  <c r="CP22" i="42" s="1"/>
  <c r="CN20" i="42"/>
  <c r="CM20" i="42"/>
  <c r="AN50" i="42"/>
  <c r="AN51" i="42" s="1"/>
  <c r="AO50" i="42" s="1"/>
  <c r="AO51" i="42" s="1"/>
  <c r="AP50" i="42" s="1"/>
  <c r="AP51" i="42" s="1"/>
  <c r="AQ50" i="42" s="1"/>
  <c r="AQ51" i="42" s="1"/>
  <c r="AR50" i="42"/>
  <c r="AR51" i="42" s="1"/>
  <c r="CQ68" i="44" l="1"/>
  <c r="CQ19" i="44"/>
  <c r="CS95" i="47"/>
  <c r="CS158" i="47"/>
  <c r="CS152" i="47"/>
  <c r="CO77" i="44"/>
  <c r="CO68" i="44"/>
  <c r="CO19" i="44"/>
  <c r="CP12" i="44"/>
  <c r="CP71" i="44"/>
  <c r="CP72" i="44" s="1"/>
  <c r="CS8" i="45"/>
  <c r="CS46" i="45"/>
  <c r="CS15" i="45"/>
  <c r="CS16" i="45" s="1"/>
  <c r="CS18" i="45" s="1"/>
  <c r="CS57" i="45" s="1"/>
  <c r="CS78" i="44"/>
  <c r="CP29" i="44"/>
  <c r="CP34" i="44" s="1"/>
  <c r="CP70" i="44"/>
  <c r="CP24" i="45"/>
  <c r="CP28" i="45"/>
  <c r="CP38" i="45"/>
  <c r="CP64" i="45"/>
  <c r="CQ64" i="45"/>
  <c r="CR77" i="44"/>
  <c r="CR19" i="44"/>
  <c r="CR68" i="44"/>
  <c r="CN42" i="44"/>
  <c r="CN55" i="44"/>
  <c r="CN86" i="44"/>
  <c r="CN84" i="44"/>
  <c r="CM58" i="44"/>
  <c r="CM61" i="44"/>
  <c r="CM59" i="44"/>
  <c r="CP38" i="44"/>
  <c r="CO39" i="44"/>
  <c r="CP39" i="44" s="1"/>
  <c r="CP50" i="44" s="1"/>
  <c r="AV123" i="43"/>
  <c r="AU124" i="43"/>
  <c r="AZ123" i="43"/>
  <c r="AV124" i="43"/>
  <c r="BB123" i="43"/>
  <c r="BB124" i="43" s="1"/>
  <c r="AX123" i="43"/>
  <c r="AX124" i="43" s="1"/>
  <c r="AY123" i="43"/>
  <c r="AY124" i="43" s="1"/>
  <c r="AL123" i="43"/>
  <c r="AL124" i="43" s="1"/>
  <c r="AK124" i="43"/>
  <c r="AK125" i="43" s="1"/>
  <c r="CO20" i="42"/>
  <c r="CP20" i="42"/>
  <c r="AW50" i="42"/>
  <c r="AW51" i="42" s="1"/>
  <c r="AS50" i="42"/>
  <c r="AS51" i="42" s="1"/>
  <c r="AT50" i="42" s="1"/>
  <c r="AT51" i="42" s="1"/>
  <c r="AU50" i="42" s="1"/>
  <c r="AU51" i="42" s="1"/>
  <c r="AV50" i="42" s="1"/>
  <c r="AV51" i="42" s="1"/>
  <c r="CR74" i="44" l="1"/>
  <c r="CS31" i="45"/>
  <c r="CP73" i="44"/>
  <c r="CS26" i="45"/>
  <c r="CS64" i="45" s="1"/>
  <c r="CS22" i="45"/>
  <c r="CS20" i="45"/>
  <c r="CS24" i="45" s="1"/>
  <c r="CP77" i="44"/>
  <c r="CP68" i="44"/>
  <c r="CP19" i="44"/>
  <c r="CS63" i="45"/>
  <c r="CS55" i="45"/>
  <c r="CS48" i="45"/>
  <c r="CS62" i="45"/>
  <c r="CS7" i="45"/>
  <c r="CS51" i="45"/>
  <c r="CO83" i="44"/>
  <c r="CO74" i="44"/>
  <c r="CR83" i="44"/>
  <c r="CO41" i="44"/>
  <c r="CO84" i="44" s="1"/>
  <c r="CQ38" i="44"/>
  <c r="CP41" i="44"/>
  <c r="CN58" i="44"/>
  <c r="CN61" i="44"/>
  <c r="CN59" i="44"/>
  <c r="CM64" i="44"/>
  <c r="CM65" i="44"/>
  <c r="CM85" i="44"/>
  <c r="BA123" i="43"/>
  <c r="AZ124" i="43"/>
  <c r="BD123" i="43"/>
  <c r="BD124" i="43" s="1"/>
  <c r="BG123" i="43"/>
  <c r="BA124" i="43"/>
  <c r="BC123" i="43"/>
  <c r="BC124" i="43" s="1"/>
  <c r="BE123" i="43"/>
  <c r="BE124" i="43" s="1"/>
  <c r="BB50" i="42"/>
  <c r="BB51" i="42" s="1"/>
  <c r="AX50" i="42"/>
  <c r="AX51" i="42" s="1"/>
  <c r="AY50" i="42" s="1"/>
  <c r="AY51" i="42" s="1"/>
  <c r="AZ50" i="42" s="1"/>
  <c r="AZ51" i="42" s="1"/>
  <c r="BA50" i="42" s="1"/>
  <c r="BA51" i="42" s="1"/>
  <c r="CS28" i="45" l="1"/>
  <c r="CS38" i="45"/>
  <c r="CP83" i="44"/>
  <c r="CP74" i="44"/>
  <c r="CQ74" i="44"/>
  <c r="CQ83" i="44"/>
  <c r="CS23" i="44"/>
  <c r="CS29" i="44" s="1"/>
  <c r="CS34" i="44" s="1"/>
  <c r="CS9" i="44"/>
  <c r="CS12" i="44" s="1"/>
  <c r="CS59" i="42"/>
  <c r="CS61" i="45"/>
  <c r="DG126" i="45"/>
  <c r="DG128" i="45" s="1"/>
  <c r="DG130" i="45" s="1"/>
  <c r="DG132" i="45" s="1"/>
  <c r="CS54" i="45"/>
  <c r="DC95" i="45" s="1"/>
  <c r="DC105" i="45" s="1"/>
  <c r="CS79" i="44"/>
  <c r="CS80" i="44"/>
  <c r="CO55" i="44"/>
  <c r="CO58" i="44" s="1"/>
  <c r="CO86" i="44"/>
  <c r="CO42" i="44"/>
  <c r="CN64" i="44"/>
  <c r="CN65" i="44"/>
  <c r="CN85" i="44"/>
  <c r="CP42" i="44"/>
  <c r="CP55" i="44"/>
  <c r="CP84" i="44"/>
  <c r="CP86" i="44"/>
  <c r="CR38" i="44"/>
  <c r="CQ39" i="44"/>
  <c r="CQ50" i="44" s="1"/>
  <c r="BL123" i="43"/>
  <c r="BQ123" i="43" s="1"/>
  <c r="BV123" i="43" s="1"/>
  <c r="CA123" i="43" s="1"/>
  <c r="CF123" i="43" s="1"/>
  <c r="CK123" i="43" s="1"/>
  <c r="BF123" i="43"/>
  <c r="BF124" i="43" s="1"/>
  <c r="BG124" i="43"/>
  <c r="CQ24" i="42"/>
  <c r="CR22" i="42"/>
  <c r="CQ22" i="42"/>
  <c r="CR24" i="42"/>
  <c r="BG50" i="42"/>
  <c r="BG51" i="42" s="1"/>
  <c r="BC50" i="42"/>
  <c r="BC51" i="42" s="1"/>
  <c r="BD50" i="42" s="1"/>
  <c r="BD51" i="42" s="1"/>
  <c r="BE50" i="42" s="1"/>
  <c r="BE51" i="42" s="1"/>
  <c r="BF50" i="42" s="1"/>
  <c r="BF51" i="42" s="1"/>
  <c r="CS22" i="42" l="1"/>
  <c r="CS24" i="42"/>
  <c r="CS68" i="44"/>
  <c r="CS19" i="44"/>
  <c r="CS77" i="44"/>
  <c r="DG134" i="45"/>
  <c r="DG133" i="45"/>
  <c r="CO61" i="44"/>
  <c r="CO65" i="44" s="1"/>
  <c r="CO59" i="44"/>
  <c r="CQ20" i="42"/>
  <c r="CP58" i="44"/>
  <c r="DF109" i="44" s="1"/>
  <c r="CP59" i="44"/>
  <c r="DF110" i="44" s="1"/>
  <c r="CP61" i="44"/>
  <c r="CS38" i="44"/>
  <c r="CR39" i="44"/>
  <c r="CR50" i="44" s="1"/>
  <c r="CQ41" i="44"/>
  <c r="BH123" i="43"/>
  <c r="BH124" i="43" s="1"/>
  <c r="BI123" i="43" s="1"/>
  <c r="BI124" i="43" s="1"/>
  <c r="BK123" i="43"/>
  <c r="BK124" i="43" s="1"/>
  <c r="BL124" i="43" s="1"/>
  <c r="BM123" i="43" s="1"/>
  <c r="BM124" i="43" s="1"/>
  <c r="BN123" i="43" s="1"/>
  <c r="BN124" i="43" s="1"/>
  <c r="BO123" i="43" s="1"/>
  <c r="BO124" i="43" s="1"/>
  <c r="BP123" i="43" s="1"/>
  <c r="BP124" i="43" s="1"/>
  <c r="BQ124" i="43" s="1"/>
  <c r="BR123" i="43" s="1"/>
  <c r="BR124" i="43" s="1"/>
  <c r="BJ123" i="43"/>
  <c r="BJ124" i="43" s="1"/>
  <c r="CR20" i="42"/>
  <c r="BH50" i="42"/>
  <c r="BH51" i="42" s="1"/>
  <c r="BI50" i="42" s="1"/>
  <c r="BI51" i="42" s="1"/>
  <c r="BJ50" i="42" s="1"/>
  <c r="BJ51" i="42" s="1"/>
  <c r="BK50" i="42" s="1"/>
  <c r="BK51" i="42" s="1"/>
  <c r="BL50" i="42"/>
  <c r="BL51" i="42" s="1"/>
  <c r="CO64" i="44" l="1"/>
  <c r="CS20" i="42"/>
  <c r="CS83" i="44"/>
  <c r="CS74" i="44"/>
  <c r="CO85" i="44"/>
  <c r="CS39" i="44"/>
  <c r="CS50" i="44" s="1"/>
  <c r="CQ42" i="44"/>
  <c r="CQ55" i="44"/>
  <c r="CQ86" i="44"/>
  <c r="CQ84" i="44"/>
  <c r="CP64" i="44"/>
  <c r="CP65" i="44"/>
  <c r="CP85" i="44"/>
  <c r="CR41" i="44"/>
  <c r="BQ50" i="42"/>
  <c r="BQ51" i="42" s="1"/>
  <c r="BM50" i="42"/>
  <c r="BM51" i="42" s="1"/>
  <c r="BN50" i="42" s="1"/>
  <c r="BN51" i="42" s="1"/>
  <c r="BO50" i="42" s="1"/>
  <c r="BO51" i="42" s="1"/>
  <c r="BP50" i="42" s="1"/>
  <c r="BP51" i="42" s="1"/>
  <c r="CR42" i="44" l="1"/>
  <c r="CR55" i="44"/>
  <c r="CR86" i="44"/>
  <c r="CQ58" i="44"/>
  <c r="DG109" i="44" s="1"/>
  <c r="CQ59" i="44"/>
  <c r="DG110" i="44" s="1"/>
  <c r="CQ61" i="44"/>
  <c r="CR84" i="44"/>
  <c r="CS41" i="44"/>
  <c r="CS84" i="44" s="1"/>
  <c r="BV50" i="42"/>
  <c r="BV51" i="42" s="1"/>
  <c r="BR50" i="42"/>
  <c r="BR51" i="42" s="1"/>
  <c r="BS50" i="42" s="1"/>
  <c r="BS51" i="42" s="1"/>
  <c r="BT50" i="42" s="1"/>
  <c r="BT51" i="42" s="1"/>
  <c r="BU50" i="42" s="1"/>
  <c r="BU51" i="42" s="1"/>
  <c r="CQ64" i="44" l="1"/>
  <c r="CQ65" i="44"/>
  <c r="CQ85" i="44"/>
  <c r="CS42" i="44"/>
  <c r="CS55" i="44"/>
  <c r="CS86" i="44"/>
  <c r="CR58" i="44"/>
  <c r="DH109" i="44" s="1"/>
  <c r="CR59" i="44"/>
  <c r="DH110" i="44" s="1"/>
  <c r="CR61" i="44"/>
  <c r="CA50" i="42"/>
  <c r="CA51" i="42" s="1"/>
  <c r="BW50" i="42"/>
  <c r="BW51" i="42" s="1"/>
  <c r="BX50" i="42" s="1"/>
  <c r="BX51" i="42" s="1"/>
  <c r="BY50" i="42" s="1"/>
  <c r="BY51" i="42" s="1"/>
  <c r="BZ50" i="42" s="1"/>
  <c r="BZ51" i="42" s="1"/>
  <c r="CR64" i="44" l="1"/>
  <c r="CR65" i="44"/>
  <c r="CR85" i="44"/>
  <c r="CS58" i="44"/>
  <c r="CS59" i="44"/>
  <c r="CS61" i="44"/>
  <c r="CB50" i="42"/>
  <c r="CB51" i="42" s="1"/>
  <c r="CC50" i="42" s="1"/>
  <c r="CC51" i="42" s="1"/>
  <c r="CD50" i="42" s="1"/>
  <c r="CD51" i="42" s="1"/>
  <c r="CE50" i="42" s="1"/>
  <c r="CE51" i="42" s="1"/>
  <c r="CF50" i="42"/>
  <c r="CF51" i="42" s="1"/>
  <c r="CS64" i="44" l="1"/>
  <c r="CS65" i="44"/>
  <c r="CS85" i="44"/>
  <c r="CK50" i="42"/>
  <c r="CK51" i="42" s="1"/>
  <c r="CG50" i="42"/>
  <c r="CG51" i="42" s="1"/>
  <c r="CH50" i="42" s="1"/>
  <c r="CH51" i="42" s="1"/>
  <c r="CI50" i="42" s="1"/>
  <c r="CI51" i="42" s="1"/>
  <c r="CJ50" i="42" s="1"/>
  <c r="CJ51" i="42" s="1"/>
  <c r="CP50" i="42" l="1"/>
  <c r="CP51" i="42" s="1"/>
  <c r="CQ50" i="42" s="1"/>
  <c r="CQ51" i="42" s="1"/>
  <c r="CR50" i="42" s="1"/>
  <c r="CR51" i="42" s="1"/>
  <c r="CS50" i="42" s="1"/>
  <c r="CS51" i="42" s="1"/>
  <c r="CL50" i="42"/>
  <c r="CL51" i="42" s="1"/>
  <c r="CM50" i="42" s="1"/>
  <c r="CM51" i="42" s="1"/>
  <c r="CN50" i="42" s="1"/>
  <c r="CN51" i="42" s="1"/>
  <c r="CO50" i="42" s="1"/>
  <c r="CO51" i="42" s="1"/>
  <c r="CN7" i="42" l="1"/>
  <c r="CN9" i="42" s="1"/>
  <c r="CN19" i="42" s="1"/>
  <c r="CN56" i="42"/>
  <c r="CM7" i="42"/>
  <c r="CM56" i="42"/>
  <c r="CM9" i="42" l="1"/>
  <c r="CM19" i="42" s="1"/>
  <c r="CO7" i="42" l="1"/>
  <c r="CO56" i="42"/>
  <c r="CP56" i="42" l="1"/>
  <c r="CO9" i="42"/>
  <c r="CO19" i="42" s="1"/>
  <c r="CP7" i="42"/>
  <c r="CP9" i="42" s="1"/>
  <c r="CP19" i="42" s="1"/>
  <c r="CQ7" i="42"/>
  <c r="CQ9" i="42" s="1"/>
  <c r="CQ19" i="42" s="1"/>
  <c r="CQ56" i="42"/>
  <c r="CR7" i="42" l="1"/>
  <c r="CR9" i="42" s="1"/>
  <c r="CR19" i="42" s="1"/>
  <c r="CR56" i="42"/>
  <c r="CS7" i="42"/>
  <c r="CS9" i="42" s="1"/>
  <c r="CS19" i="42" s="1"/>
  <c r="CS56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Medart, Mason [GIR]</author>
  </authors>
  <commentList>
    <comment ref="B7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Build rate + 50% of next year's growth (decline)
</t>
        </r>
        <r>
          <rPr>
            <sz val="9"/>
            <color rgb="FF000000"/>
            <rFont val="Tahoma"/>
            <family val="2"/>
          </rPr>
          <t>HXL ~6mo ahead of OEM</t>
        </r>
      </text>
    </comment>
    <comment ref="B12" authorId="0" shapeId="0" xr:uid="{00000000-0006-0000-0300-000002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33.63m long</t>
        </r>
      </text>
    </comment>
    <comment ref="B14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39.47m long</t>
        </r>
      </text>
    </comment>
    <comment ref="B16" authorId="0" shapeId="0" xr:uid="{00000000-0006-0000-0300-000004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42.11m long</t>
        </r>
      </text>
    </comment>
    <comment ref="B18" authorId="0" shapeId="0" xr:uid="{00000000-0006-0000-0300-000005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35.56m</t>
        </r>
      </text>
    </comment>
    <comment ref="B20" authorId="0" shapeId="0" xr:uid="{00000000-0006-0000-0300-000006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39.52m</t>
        </r>
      </text>
    </comment>
    <comment ref="B22" authorId="0" shapeId="0" xr:uid="{00000000-0006-0000-0300-000007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42.16m</t>
        </r>
      </text>
    </comment>
    <comment ref="B24" authorId="0" shapeId="0" xr:uid="{00000000-0006-0000-0300-000008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43.8m
</t>
        </r>
      </text>
    </comment>
    <comment ref="B26" authorId="0" shapeId="0" xr:uid="{00000000-0006-0000-0300-000009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39.52m</t>
        </r>
      </text>
    </comment>
    <comment ref="X3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revised to $400k (Prev. up to $450k)</t>
        </r>
      </text>
    </comment>
    <comment ref="W68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rested to 1.4mn/unit post 2016</t>
        </r>
      </text>
    </comment>
    <comment ref="B77" authorId="0" shapeId="0" xr:uid="{00000000-0006-0000-0300-00000C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Build rate + 50% of next year's growth (decline)
</t>
        </r>
        <r>
          <rPr>
            <sz val="9"/>
            <color rgb="FF000000"/>
            <rFont val="Tahoma"/>
            <family val="2"/>
          </rPr>
          <t>HXL ~6mo ahead of OEM</t>
        </r>
      </text>
    </comment>
    <comment ref="W119" authorId="0" shapeId="0" xr:uid="{00000000-0006-0000-0300-00000D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listed as 4.8mn/unit in 2017 (prev. 5mn)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wachun</author>
    <author>khalom</author>
    <author>Parsons, Gavin [GIR]</author>
    <author>Porat, Matthew [GIR]</author>
    <author>Medart, Mason [GIR]</author>
    <author>sammun</author>
    <author>Correa, Tais [GIR]</author>
    <author>poponn</author>
    <author>kwondo</author>
  </authors>
  <commentList>
    <comment ref="AO1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1q10: step up of 2mn/qtr</t>
        </r>
      </text>
    </comment>
    <comment ref="AR10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D&amp;A increase by 8mn</t>
        </r>
      </text>
    </comment>
    <comment ref="BL10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+12 yoy</t>
        </r>
      </text>
    </comment>
    <comment ref="BQ10" authorId="2" shapeId="0" xr:uid="{00000000-0006-0000-0800-000004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incremental 12 depr.</t>
        </r>
      </text>
    </comment>
    <comment ref="BV10" authorId="3" shapeId="0" xr:uid="{00000000-0006-0000-0800-000005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+18 yoy</t>
        </r>
      </text>
    </comment>
    <comment ref="CA10" authorId="3" shapeId="0" xr:uid="{00000000-0006-0000-0800-000006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3q16: double digit mn increase
Dec 16: $16mn higher</t>
        </r>
      </text>
    </comment>
    <comment ref="CF10" authorId="3" shapeId="0" xr:uid="{00000000-0006-0000-0800-000007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2q17: 'big step-up'
dec 17: up 14 yoy
1q18: up 20 yoy</t>
        </r>
      </text>
    </comment>
    <comment ref="CK10" authorId="4" shapeId="0" xr:uid="{00000000-0006-0000-0800-000008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3q18: 10-20mn higher than '18
</t>
        </r>
        <r>
          <rPr>
            <sz val="9"/>
            <color rgb="FF000000"/>
            <rFont val="Tahoma"/>
            <family val="2"/>
          </rPr>
          <t xml:space="preserve">4Q18: 20mn higher than '18 </t>
        </r>
      </text>
    </comment>
    <comment ref="CP10" authorId="2" shapeId="0" xr:uid="{00000000-0006-0000-0800-000009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4q19: +5 yoy
1q20: withdrawn</t>
        </r>
      </text>
    </comment>
    <comment ref="BQ12" authorId="3" shapeId="0" xr:uid="{00000000-0006-0000-0800-00000A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3q15: 40-50</t>
        </r>
      </text>
    </comment>
    <comment ref="CG18" authorId="3" shapeId="0" xr:uid="{00000000-0006-0000-0800-00000B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4q18: higher vs subsequent</t>
        </r>
      </text>
    </comment>
    <comment ref="AQ20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 xml:space="preserve">wachun:
</t>
        </r>
        <r>
          <rPr>
            <sz val="8"/>
            <color indexed="81"/>
            <rFont val="Tahoma"/>
            <family val="2"/>
          </rPr>
          <t>4q09: more tough towards yr end</t>
        </r>
      </text>
    </comment>
    <comment ref="AV20" authorId="5" shapeId="0" xr:uid="{00000000-0006-0000-0800-00000D000000}">
      <text>
        <r>
          <rPr>
            <b/>
            <sz val="8"/>
            <color indexed="81"/>
            <rFont val="Tahoma"/>
            <family val="2"/>
          </rPr>
          <t xml:space="preserve">sammun:
</t>
        </r>
        <r>
          <rPr>
            <sz val="8"/>
            <color indexed="81"/>
            <rFont val="Tahoma"/>
            <family val="2"/>
          </rPr>
          <t>3q11: not expecting working capital to go up in 4q</t>
        </r>
      </text>
    </comment>
    <comment ref="BG26" authorId="5" shapeId="0" xr:uid="{00000000-0006-0000-0800-00000E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4q12: 200 - 260
1q13: same</t>
        </r>
      </text>
    </comment>
    <comment ref="CA26" authorId="6" shapeId="0" xr:uid="{00000000-0006-0000-0800-00000F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400</t>
        </r>
      </text>
    </comment>
    <comment ref="CF26" authorId="3" shapeId="0" xr:uid="{00000000-0006-0000-0800-000010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dec 17: 420</t>
        </r>
      </text>
    </comment>
    <comment ref="CK26" authorId="2" shapeId="0" xr:uid="{00000000-0006-0000-0800-000011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$2.1bn 2015-2019
4q15: same</t>
        </r>
      </text>
    </comment>
    <comment ref="CN26" authorId="2" shapeId="0" xr:uid="{00000000-0006-0000-0800-000012000000}">
      <text>
        <r>
          <rPr>
            <b/>
            <sz val="9"/>
            <color rgb="FF000000"/>
            <rFont val="Tahoma"/>
            <family val="2"/>
          </rPr>
          <t>Parsons, Gavin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4q19: 2H weighted</t>
        </r>
      </text>
    </comment>
    <comment ref="CO26" authorId="2" shapeId="0" xr:uid="{00000000-0006-0000-0800-000013000000}">
      <text>
        <r>
          <rPr>
            <b/>
            <sz val="9"/>
            <color rgb="FF000000"/>
            <rFont val="Tahoma"/>
            <family val="2"/>
          </rPr>
          <t>Parsons, Gavin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4q19: 2H weighted</t>
        </r>
      </text>
    </comment>
    <comment ref="AM27" authorId="7" shapeId="0" xr:uid="{00000000-0006-0000-0800-000014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4q08: (100) - front end loaded
2q09: &lt; 100
3q09: &lt; 90</t>
        </r>
      </text>
    </comment>
    <comment ref="AR27" authorId="7" shapeId="0" xr:uid="{00000000-0006-0000-0800-000015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4q08: (100) - front end loaded
2q09: &lt; 100
3q09: &lt; 90
1q10: &lt; 75
Jun 10 IC: same
3q10: 60 - 65 accrual basis</t>
        </r>
      </text>
    </comment>
    <comment ref="AW27" authorId="0" shapeId="0" xr:uid="{00000000-0006-0000-0800-000016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2q09: &lt; 125
3q09: &lt; 100
4q09: &lt; 75
Jun10 IC: 150 - 200
3q10: 150 - 200
Dec10 PR: 150 - 175
4q10: same
3q11: same, high end</t>
        </r>
      </text>
    </comment>
    <comment ref="BB27" authorId="5" shapeId="0" xr:uid="{00000000-0006-0000-0800-000017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4q10: initial guidance at 150 - 200
3q11: could be as much as 50% higher as prior range
3q11: 225 - 300. Running at near-max capacity. Expect increased capital spend. 
4q11: 250 - 275
1q12: same
2q12: same 
3q12: 230 - 250</t>
        </r>
      </text>
    </comment>
    <comment ref="BG27" authorId="5" shapeId="0" xr:uid="{00000000-0006-0000-0800-000018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4q12: 180 - 200
1q13: same
3q13: same</t>
        </r>
      </text>
    </comment>
    <comment ref="BL27" authorId="1" shapeId="0" xr:uid="{00000000-0006-0000-0800-000019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225-250
4q13: same
1q14: same
2q14: same
3q14: high end of range
jan 15: ~270</t>
        </r>
      </text>
    </comment>
    <comment ref="BQ27" authorId="2" shapeId="0" xr:uid="{00000000-0006-0000-0800-00001A000000}">
      <text>
        <r>
          <rPr>
            <b/>
            <sz val="8"/>
            <color rgb="FF000000"/>
            <rFont val="Tahoma"/>
            <family val="2"/>
          </rPr>
          <t>Parsons, Gavin [GIR]: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jan 15: 260-290
</t>
        </r>
        <r>
          <rPr>
            <sz val="8"/>
            <color rgb="FF000000"/>
            <rFont val="Tahoma"/>
            <family val="2"/>
          </rPr>
          <t xml:space="preserve">1q15: same
</t>
        </r>
        <r>
          <rPr>
            <sz val="8"/>
            <color rgb="FF000000"/>
            <rFont val="Tahoma"/>
            <family val="2"/>
          </rPr>
          <t xml:space="preserve">2q15: same
</t>
        </r>
        <r>
          <rPr>
            <sz val="8"/>
            <color rgb="FF000000"/>
            <rFont val="Tahoma"/>
            <family val="2"/>
          </rPr>
          <t>3q15: high-end of 260-290</t>
        </r>
      </text>
    </comment>
    <comment ref="BV27" authorId="3" shapeId="0" xr:uid="{00000000-0006-0000-0800-00001B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280-320
1q16: same
2q16: same
3q16: same, higher end
Dec 16: ~320 (peak)</t>
        </r>
      </text>
    </comment>
    <comment ref="CA27" authorId="6" shapeId="0" xr:uid="{00000000-0006-0000-0800-00001C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270-290
4q16: same
1q17: same
2q17: same
3q17: same
</t>
        </r>
      </text>
    </comment>
    <comment ref="CF27" authorId="6" shapeId="0" xr:uid="{00000000-0006-0000-0800-00001D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320 combined in 2018-19
1q17: same
2q17: same
dec 17: 170-190
4q17: same
1q18: same
2q18: same
3q18: same</t>
        </r>
      </text>
    </comment>
    <comment ref="CK27" authorId="2" shapeId="0" xr:uid="{00000000-0006-0000-0800-00001E000000}">
      <text>
        <r>
          <rPr>
            <b/>
            <sz val="9"/>
            <color rgb="FF000000"/>
            <rFont val="Tahoma"/>
            <family val="2"/>
          </rPr>
          <t>Parsons, Gavin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jan 15: $1.1bn 2015-2019
</t>
        </r>
        <r>
          <rPr>
            <sz val="9"/>
            <color rgb="FF000000"/>
            <rFont val="Tahoma"/>
            <family val="2"/>
          </rPr>
          <t xml:space="preserve">4q15: same
</t>
        </r>
        <r>
          <rPr>
            <sz val="9"/>
            <color rgb="FF000000"/>
            <rFont val="Tahoma"/>
            <family val="2"/>
          </rPr>
          <t xml:space="preserve">Dec 16: 320 combined in 2018-19
</t>
        </r>
        <r>
          <rPr>
            <sz val="9"/>
            <color rgb="FF000000"/>
            <rFont val="Tahoma"/>
            <family val="2"/>
          </rPr>
          <t xml:space="preserve">1q17: same
</t>
        </r>
        <r>
          <rPr>
            <sz val="9"/>
            <color rgb="FF000000"/>
            <rFont val="Tahoma"/>
            <family val="2"/>
          </rPr>
          <t xml:space="preserve">2q17: same
</t>
        </r>
        <r>
          <rPr>
            <sz val="9"/>
            <color rgb="FF000000"/>
            <rFont val="Tahoma"/>
            <family val="2"/>
          </rPr>
          <t xml:space="preserve">dec 17: 180
</t>
        </r>
        <r>
          <rPr>
            <sz val="9"/>
            <color rgb="FF000000"/>
            <rFont val="Tahoma"/>
            <family val="2"/>
          </rPr>
          <t xml:space="preserve">4q18: 170-190
</t>
        </r>
        <r>
          <rPr>
            <sz val="9"/>
            <color rgb="FF000000"/>
            <rFont val="Tahoma"/>
            <family val="2"/>
          </rPr>
          <t xml:space="preserve">1q19: same
</t>
        </r>
        <r>
          <rPr>
            <sz val="9"/>
            <color rgb="FF000000"/>
            <rFont val="Tahoma"/>
            <family val="2"/>
          </rPr>
          <t xml:space="preserve">may 19: same; 500-550 2019-21
</t>
        </r>
        <r>
          <rPr>
            <sz val="9"/>
            <color rgb="FF000000"/>
            <rFont val="Tahoma"/>
            <family val="2"/>
          </rPr>
          <t xml:space="preserve">2q19: same
</t>
        </r>
        <r>
          <rPr>
            <sz val="9"/>
            <color rgb="FF000000"/>
            <rFont val="Tahoma"/>
            <family val="2"/>
          </rPr>
          <t>3q19: same</t>
        </r>
      </text>
    </comment>
    <comment ref="CP27" authorId="2" shapeId="0" xr:uid="{00000000-0006-0000-0800-00001F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dec 17: 180
may 19: 500-550mn 2019-21
dec 19: 100-120
apr 20: withdrawn</t>
        </r>
      </text>
    </comment>
    <comment ref="CQ27" authorId="4" shapeId="0" xr:uid="{00000000-0006-0000-0800-000020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may 19: 500-550mn 2019-21
apr 20: withdrawn</t>
        </r>
      </text>
    </comment>
    <comment ref="AK33" authorId="0" shapeId="0" xr:uid="{00000000-0006-0000-0800-000021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investment in joint venture</t>
        </r>
      </text>
    </comment>
    <comment ref="AP33" authorId="0" shapeId="0" xr:uid="{00000000-0006-0000-0800-000022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investment in joint venture</t>
        </r>
      </text>
    </comment>
    <comment ref="BB36" authorId="5" shapeId="0" xr:uid="{00000000-0006-0000-0800-000023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3q11: expects to "be a borrower" in FY12 rather than addt'll repayments
</t>
        </r>
      </text>
    </comment>
    <comment ref="BG36" authorId="5" shapeId="0" xr:uid="{00000000-0006-0000-0800-000024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3q11: expects to "be a borrower" in FY12 rather than addt'll repayments
</t>
        </r>
      </text>
    </comment>
    <comment ref="BW36" authorId="6" shapeId="0" xr:uid="{00000000-0006-0000-0800-000025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2Q16: EUR 60mn 7 year term loan to finance France expansion
4Q16: $394.7mn net proceeds of $400mn senior notes due 2027</t>
        </r>
      </text>
    </comment>
    <comment ref="BX36" authorId="6" shapeId="0" xr:uid="{00000000-0006-0000-0800-000026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2Q16: EUR 60mn 7 year term loan to finance France expansion</t>
        </r>
      </text>
    </comment>
    <comment ref="AY37" authorId="5" shapeId="0" xr:uid="{00000000-0006-0000-0800-000027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6/25/12:  Redemption annoucned 6.75% sr subs using revovler</t>
        </r>
      </text>
    </comment>
    <comment ref="AY38" authorId="5" shapeId="0" xr:uid="{00000000-0006-0000-0800-000028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Jun12: Revolver extension of 75</t>
        </r>
      </text>
    </comment>
    <comment ref="BW38" authorId="6" shapeId="0" xr:uid="{00000000-0006-0000-0800-000029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Repayment of $365mn outstanding at YE2016 following 2027 senior notes issuance</t>
        </r>
      </text>
    </comment>
    <comment ref="BW43" authorId="6" shapeId="0" xr:uid="{00000000-0006-0000-0800-00002A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in connection with notes issuance</t>
        </r>
      </text>
    </comment>
    <comment ref="CF43" authorId="2" shapeId="0" xr:uid="{00000000-0006-0000-0800-00002B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dec 17: return &gt;50% adj NI to shareholders through 2020
1q18: same
2q18: exceed 50%+ adj NI to shareholders</t>
        </r>
      </text>
    </comment>
    <comment ref="CK43" authorId="2" shapeId="0" xr:uid="{00000000-0006-0000-0800-00002C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$1.85bn M&amp;A or return to shareholders 2015-2019
dec 17: return &gt;50% adj NI to shareholders through 2020</t>
        </r>
      </text>
    </comment>
    <comment ref="CP43" authorId="2" shapeId="0" xr:uid="{00000000-0006-0000-0800-00002D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dec 17: return &gt;50% adj NI to shareholders through 2020
apr 20: withdrawn</t>
        </r>
      </text>
    </comment>
    <comment ref="BQ44" authorId="2" shapeId="0" xr:uid="{00000000-0006-0000-0800-00002E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40 dividend</t>
        </r>
      </text>
    </comment>
    <comment ref="BL48" authorId="8" shapeId="0" xr:uid="{00000000-0006-0000-0800-00002F000000}">
      <text>
        <r>
          <rPr>
            <b/>
            <sz val="9"/>
            <color indexed="81"/>
            <rFont val="Tahoma"/>
            <family val="2"/>
          </rPr>
          <t>kwondo:</t>
        </r>
        <r>
          <rPr>
            <sz val="9"/>
            <color indexed="81"/>
            <rFont val="Tahoma"/>
            <family val="2"/>
          </rPr>
          <t xml:space="preserve">
2q14: Exchange rate effect may shave off 2.5 cents on EPS</t>
        </r>
      </text>
    </comment>
    <comment ref="AM54" authorId="7" shapeId="0" xr:uid="{00000000-0006-0000-0800-000030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4q08: (100) - front end loaded
2q09: &lt; 100mn
3q09: &lt; 90mn</t>
        </r>
      </text>
    </comment>
    <comment ref="AH55" authorId="7" shapeId="0" xr:uid="{00000000-0006-0000-0800-000034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neutral
1q08: same</t>
        </r>
      </text>
    </comment>
    <comment ref="AM55" authorId="7" shapeId="0" xr:uid="{00000000-0006-0000-0800-000035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4q08: positive but back end loaded year
2q09: &gt;40</t>
        </r>
      </text>
    </comment>
    <comment ref="AW55" authorId="0" shapeId="0" xr:uid="{00000000-0006-0000-0800-000036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Dec10 PR: 0
4q10: same
3q11: mgt expects FCF to be "slightly positive"
</t>
        </r>
      </text>
    </comment>
    <comment ref="CP55" authorId="2" shapeId="0" xr:uid="{00000000-0006-0000-0800-000043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jan 15: $1bn 2015-2019
4q15: same
dec 16: $1bn 2016-2020
dec 17: same
may 19: $1.8bn 2019-2023
dec 19: &gt;300; &gt;$1bn 2016-2020
apr 20: withdrawn</t>
        </r>
      </text>
    </comment>
    <comment ref="CQ55" authorId="4" shapeId="0" xr:uid="{00000000-0006-0000-0800-000044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may 19: 1.8bn 2019-2023
apr 20: withdrawn</t>
        </r>
      </text>
    </comment>
    <comment ref="CR55" authorId="4" shapeId="0" xr:uid="{00000000-0006-0000-0800-000045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may 19: 1.8bn 2019-2023
apr 20: withdrawn</t>
        </r>
      </text>
    </comment>
    <comment ref="CS55" authorId="4" shapeId="0" xr:uid="{00000000-0006-0000-0800-000046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may 19: 1.8bn 2019-2023
apr 20: withdrawn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carral</author>
    <author>sammun</author>
    <author>Parsons, Gavin [GIR]</author>
    <author>Porat, Matthew [GIR]</author>
    <author>gneeti</author>
    <author>wachun</author>
    <author>kwondo</author>
    <author>khalom</author>
    <author>Correa, Tais [GIR]</author>
    <author>Medart, Mason [GIR]</author>
    <author>massle</author>
  </authors>
  <commentList>
    <comment ref="AW10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carral:</t>
        </r>
        <r>
          <rPr>
            <sz val="8"/>
            <color indexed="81"/>
            <rFont val="Tahoma"/>
            <family val="2"/>
          </rPr>
          <t xml:space="preserve">
Dec10 PR: 1,225-1,300
4q10: same
1q11: 1,275 - 1,350
3q11: 1,375-1,400</t>
        </r>
      </text>
    </comment>
    <comment ref="BB10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1q12: 1,550 - 1,650
2q12: same</t>
        </r>
      </text>
    </comment>
    <comment ref="BG10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4q12: 1,640-1,740
1q13: same</t>
        </r>
      </text>
    </comment>
    <comment ref="BL10" authorId="2" shapeId="0" xr:uid="{00000000-0006-0000-0400-000004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dec 13: 1,800-1,880
1q14: same
2q14: 1,810-1,860
3q14: 1,830-1,860</t>
        </r>
      </text>
    </comment>
    <comment ref="BQ10" authorId="2" shapeId="0" xr:uid="{00000000-0006-0000-0400-000005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1,900-2,000
1q15: 1,860-1,940 (same ex-FX)
2q15: 1,850-1,900 (same ex-FX
3q15: 1,840-1,860</t>
        </r>
      </text>
    </comment>
    <comment ref="BV10" authorId="3" shapeId="0" xr:uid="{00000000-0006-0000-0400-000006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1,970-2,070
1q16: same
2q16: 1,990-2,050
3q16: 2,000-2,030</t>
        </r>
      </text>
    </comment>
    <comment ref="CA10" authorId="2" shapeId="0" xr:uid="{00000000-0006-0000-0400-000007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2,500 (3,000 in 2020)
Dec 16: 2,050-2,150
4q16: same
1q17: 2,000-2,080
2q17: 2,000
3q17: &lt;2,000</t>
        </r>
      </text>
    </comment>
    <comment ref="CF10" authorId="2" shapeId="0" xr:uid="{00000000-0006-0000-0400-000008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dec 17: 2,100-2,200
1q18: same
2q18: same
3q18: 2,140-2,200</t>
        </r>
      </text>
    </comment>
    <comment ref="CK10" authorId="2" shapeId="0" xr:uid="{00000000-0006-0000-0400-000009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4q18: 2,375-2,475
1q19: same
3q19: 2,340-2,400</t>
        </r>
      </text>
    </comment>
    <comment ref="CP10" authorId="3" shapeId="0" xr:uid="{00000000-0006-0000-0400-00000A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3,000
dec 15: 2,700</t>
        </r>
      </text>
    </comment>
    <comment ref="AU15" authorId="1" shapeId="0" xr:uid="{00000000-0006-0000-0400-00000B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$130-150mn sales contribution from bizjets alone. Up yoy based on a bad comp. Expects similar run rates going forward. 
Bizjets + RJ now representing 25-30% of total sales. </t>
        </r>
      </text>
    </comment>
    <comment ref="AW15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>carral:</t>
        </r>
        <r>
          <rPr>
            <sz val="8"/>
            <color indexed="81"/>
            <rFont val="Tahoma"/>
            <family val="2"/>
          </rPr>
          <t xml:space="preserve">
1q11: Legacy has some upward momentum after 2 yrs of inv correction; seeing signs of life in RJ/BJ
4q11: BA and Airbus accounted for 82% of Aero sales. "Other" Aero total 150mn (+34%)</t>
        </r>
      </text>
    </comment>
    <comment ref="BG15" authorId="4" shapeId="0" xr:uid="{00000000-0006-0000-0400-00000D000000}">
      <text>
        <r>
          <rPr>
            <b/>
            <sz val="9"/>
            <color indexed="81"/>
            <rFont val="Tahoma"/>
            <family val="2"/>
          </rPr>
          <t>gneeti:</t>
        </r>
        <r>
          <rPr>
            <sz val="9"/>
            <color indexed="81"/>
            <rFont val="Tahoma"/>
            <family val="2"/>
          </rPr>
          <t xml:space="preserve">
3q13: up double digits</t>
        </r>
      </text>
    </comment>
    <comment ref="AN18" authorId="5" shapeId="0" xr:uid="{00000000-0006-0000-0400-00000E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1q10: low point</t>
        </r>
      </text>
    </comment>
    <comment ref="AQ18" authorId="5" shapeId="0" xr:uid="{00000000-0006-0000-0400-00000F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1q10: 60mn qtr run rate</t>
        </r>
      </text>
    </comment>
    <comment ref="AT18" authorId="5" shapeId="0" xr:uid="{00000000-0006-0000-0400-000010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1q11: steady improvement each qtr for Wind</t>
        </r>
      </text>
    </comment>
    <comment ref="AW18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carral:</t>
        </r>
        <r>
          <rPr>
            <sz val="8"/>
            <color indexed="81"/>
            <rFont val="Tahoma"/>
            <family val="2"/>
          </rPr>
          <t xml:space="preserve">
1q11: Sequential growth yoy but not explosive as in past</t>
        </r>
      </text>
    </comment>
    <comment ref="BL18" authorId="6" shapeId="0" xr:uid="{00000000-0006-0000-0400-000012000000}">
      <text>
        <r>
          <rPr>
            <b/>
            <sz val="9"/>
            <color indexed="81"/>
            <rFont val="Tahoma"/>
            <family val="2"/>
          </rPr>
          <t>kwondo:</t>
        </r>
        <r>
          <rPr>
            <sz val="9"/>
            <color indexed="81"/>
            <rFont val="Tahoma"/>
            <family val="2"/>
          </rPr>
          <t xml:space="preserve">
2q14: will continue to show yoy improvements</t>
        </r>
      </text>
    </comment>
    <comment ref="AU21" authorId="1" shapeId="0" xr:uid="{00000000-0006-0000-0400-000013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3q11: +7% </t>
        </r>
      </text>
    </comment>
    <comment ref="BG21" authorId="4" shapeId="0" xr:uid="{00000000-0006-0000-0400-000014000000}">
      <text>
        <r>
          <rPr>
            <b/>
            <sz val="9"/>
            <color indexed="81"/>
            <rFont val="Tahoma"/>
            <family val="2"/>
          </rPr>
          <t>gneeti:</t>
        </r>
        <r>
          <rPr>
            <sz val="9"/>
            <color indexed="81"/>
            <rFont val="Tahoma"/>
            <family val="2"/>
          </rPr>
          <t xml:space="preserve">
3q13: up single digit</t>
        </r>
      </text>
    </comment>
    <comment ref="BL21" authorId="6" shapeId="0" xr:uid="{00000000-0006-0000-0400-000015000000}">
      <text>
        <r>
          <rPr>
            <b/>
            <sz val="9"/>
            <color indexed="81"/>
            <rFont val="Tahoma"/>
            <family val="2"/>
          </rPr>
          <t>kwondo:</t>
        </r>
        <r>
          <rPr>
            <sz val="9"/>
            <color indexed="81"/>
            <rFont val="Tahoma"/>
            <family val="2"/>
          </rPr>
          <t xml:space="preserve">
2q14: about the same as 2013
3q14: slightly lower than 2013</t>
        </r>
      </text>
    </comment>
    <comment ref="AQ31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carral:</t>
        </r>
        <r>
          <rPr>
            <sz val="8"/>
            <color indexed="81"/>
            <rFont val="Tahoma"/>
            <family val="2"/>
          </rPr>
          <t xml:space="preserve">
3q10: Moderation in growth - inv correction &amp; program delays</t>
        </r>
      </text>
    </comment>
    <comment ref="AR31" authorId="5" shapeId="0" xr:uid="{00000000-0006-0000-0400-000017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flat to slightly up
Jun 10 IC: 12-16%</t>
        </r>
      </text>
    </comment>
    <comment ref="AU31" authorId="1" shapeId="0" xr:uid="{00000000-0006-0000-0400-000018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Revenues on legacy platforms up 25% on increased build rates. 
Sales to new platforms up 35%. A380 largest contributor given current build rates and HXL has already had a few years of inventory burn. 
</t>
        </r>
      </text>
    </comment>
    <comment ref="AV31" authorId="1" shapeId="0" xr:uid="{00000000-0006-0000-0400-000019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4q11: 20% yoy growth from new a/c (380,350,787,747-8). New a/c comprise 25% of Aero sales. 
Airbus + Boeing legacy sales +15% yoy. Increasing demand from expected rate hike. 
Sales to RJ/bizjets +30% yoy. </t>
        </r>
      </text>
    </comment>
    <comment ref="AW31" authorId="5" shapeId="0" xr:uid="{00000000-0006-0000-0400-00001A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Jun10 IC: 12-16%</t>
        </r>
      </text>
    </comment>
    <comment ref="AX31" authorId="1" shapeId="0" xr:uid="{00000000-0006-0000-0400-00001B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1q12: up yoy from new programs 380/350/787/747 which increased 20%. 
Sales to Boeing + Airbus +20% yoy. 
Bizjet and regional jet sales +15% yoy.</t>
        </r>
      </text>
    </comment>
    <comment ref="BG31" authorId="1" shapeId="0" xr:uid="{00000000-0006-0000-0400-00001C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4q12: &gt;10%
1q13: mid-range yoy growth</t>
        </r>
      </text>
    </comment>
    <comment ref="BL31" authorId="7" shapeId="0" xr:uid="{00000000-0006-0000-0400-00001D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+DD</t>
        </r>
      </text>
    </comment>
    <comment ref="BQ31" authorId="2" shapeId="0" xr:uid="{00000000-0006-0000-0400-00001E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up 8-10%</t>
        </r>
      </text>
    </comment>
    <comment ref="BV31" authorId="3" shapeId="0" xr:uid="{00000000-0006-0000-0400-00001F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up 8-10% 
</t>
        </r>
      </text>
    </comment>
    <comment ref="CA31" authorId="8" shapeId="0" xr:uid="{00000000-0006-0000-0400-000020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+MSD
2q17: slightly down</t>
        </r>
      </text>
    </comment>
    <comment ref="CF31" authorId="2" shapeId="0" xr:uid="{00000000-0006-0000-0400-000021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dec 17: +HSD
4q17: same
1q18: same
2q18: same
3q18: same</t>
        </r>
      </text>
    </comment>
    <comment ref="CK31" authorId="2" shapeId="0" xr:uid="{00000000-0006-0000-0400-000022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4q18: +HSD
1q19: same
may 19: same
may 19: 4-7% CAGR 2018-21
2q19: same</t>
        </r>
      </text>
    </comment>
    <comment ref="CP31" authorId="2" shapeId="0" xr:uid="{00000000-0006-0000-0400-000023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8-12% CAGR through 2020
dec 16: 6-10% CAGR through 2020
dec 17: 6-9% CAGR through 2020
may 19: 4-7% CAGR 2018-21
dec 19: down L-MSD
apr 20: withdrawn</t>
        </r>
      </text>
    </comment>
    <comment ref="CQ31" authorId="9" shapeId="0" xr:uid="{00000000-0006-0000-0400-000024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may 19: 4-7% CAGR 2018-21
apr 20: wothdrawn</t>
        </r>
      </text>
    </comment>
    <comment ref="AN32" authorId="5" shapeId="0" xr:uid="{00000000-0006-0000-0400-000025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significant inventory correction.
1q10a: 5-week plant shutdown</t>
        </r>
      </text>
    </comment>
    <comment ref="AU32" authorId="1" shapeId="0" xr:uid="{00000000-0006-0000-0400-000026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Wind down modestly YoY but up 10% sequentially. 3Q11 was the third straight qtr of sequential growth in wind, a trend they expect to continue given the Vestas backlog. </t>
        </r>
      </text>
    </comment>
    <comment ref="AV32" authorId="1" shapeId="0" xr:uid="{00000000-0006-0000-0400-000027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4q11: yoy driven by wind sales off a bad comp. </t>
        </r>
      </text>
    </comment>
    <comment ref="AW32" authorId="1" shapeId="0" xr:uid="{00000000-0006-0000-0400-000028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wind sales up 15% yoy, grew sequentially in each qtr. </t>
        </r>
      </text>
    </comment>
    <comment ref="BG32" authorId="1" shapeId="0" xr:uid="{00000000-0006-0000-0400-000029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4q12: -SD (wind will be down 15-25% on tax credit expiration), the remaining portion of industrial is up yoy.
Mar 13: expect industrials to be weaker than original guidance</t>
        </r>
      </text>
    </comment>
    <comment ref="BL32" authorId="7" shapeId="0" xr:uid="{00000000-0006-0000-0400-00002A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+MSD</t>
        </r>
      </text>
    </comment>
    <comment ref="BQ32" authorId="2" shapeId="0" xr:uid="{00000000-0006-0000-0400-00002B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+MSD</t>
        </r>
      </text>
    </comment>
    <comment ref="BV32" authorId="3" shapeId="0" xr:uid="{00000000-0006-0000-0400-00002C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up 10-15%, mostly Formax </t>
        </r>
      </text>
    </comment>
    <comment ref="CA32" authorId="8" shapeId="0" xr:uid="{00000000-0006-0000-0400-00002D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stable (wind lower)
1q17: down</t>
        </r>
      </text>
    </comment>
    <comment ref="CF32" authorId="2" shapeId="0" xr:uid="{00000000-0006-0000-0400-00002E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3q17: wind above 2016
dec 17: +DD, wind same
4q17: same
1q18: same
2q18: same
3q18: same</t>
        </r>
      </text>
    </comment>
    <comment ref="CK32" authorId="2" shapeId="0" xr:uid="{00000000-0006-0000-0400-00002F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4q18: +DD
1q19: same
may 19: same
may 19: &gt;10% CAGR 2018-21
2q19: same</t>
        </r>
      </text>
    </comment>
    <comment ref="CP32" authorId="2" shapeId="0" xr:uid="{00000000-0006-0000-0400-000030000000}">
      <text>
        <r>
          <rPr>
            <b/>
            <sz val="9"/>
            <color rgb="FF000000"/>
            <rFont val="Tahoma"/>
            <family val="2"/>
          </rPr>
          <t>Parsons, Gavin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jan 15: 8-12% CAGR through 2020
</t>
        </r>
        <r>
          <rPr>
            <sz val="9"/>
            <color rgb="FF000000"/>
            <rFont val="Tahoma"/>
            <family val="2"/>
          </rPr>
          <t xml:space="preserve">dec 16: same
</t>
        </r>
        <r>
          <rPr>
            <sz val="9"/>
            <color rgb="FF000000"/>
            <rFont val="Tahoma"/>
            <family val="2"/>
          </rPr>
          <t xml:space="preserve">dec 17: &gt;15% CAGR through 2020
</t>
        </r>
        <r>
          <rPr>
            <sz val="9"/>
            <color rgb="FF000000"/>
            <rFont val="Tahoma"/>
            <family val="2"/>
          </rPr>
          <t xml:space="preserve">may 19: &gt;10% CAGR 2018-21
</t>
        </r>
        <r>
          <rPr>
            <sz val="9"/>
            <color rgb="FF000000"/>
            <rFont val="Tahoma"/>
            <family val="2"/>
          </rPr>
          <t xml:space="preserve">dec 19: MSD
</t>
        </r>
        <r>
          <rPr>
            <sz val="9"/>
            <color rgb="FF000000"/>
            <rFont val="Tahoma"/>
            <family val="2"/>
          </rPr>
          <t>apr 20: withdrawn</t>
        </r>
      </text>
    </comment>
    <comment ref="CQ32" authorId="9" shapeId="0" xr:uid="{00000000-0006-0000-0400-000031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may 19: &gt;10% CAGR 2018-21
apr 20: withdrawn</t>
        </r>
      </text>
    </comment>
    <comment ref="AQ33" authorId="5" shapeId="0" xr:uid="{00000000-0006-0000-0400-000032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could see positive yoy comps
3q10: Easier comp bc F-22 decline started 4q09</t>
        </r>
      </text>
    </comment>
    <comment ref="AR33" authorId="5" shapeId="0" xr:uid="{00000000-0006-0000-0400-000033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small decline
Jun 10 IC: slight growth</t>
        </r>
      </text>
    </comment>
    <comment ref="AU33" authorId="1" shapeId="0" xr:uid="{00000000-0006-0000-0400-000034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sales driven by rotocraft, new sales and retrofit which account for 50% of sales. Believes JSF and A400M will offset deterioration in legacy programs. </t>
        </r>
      </text>
    </comment>
    <comment ref="AV33" authorId="1" shapeId="0" xr:uid="{00000000-0006-0000-0400-000035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4q11: down on timing and shipments. </t>
        </r>
      </text>
    </comment>
    <comment ref="AW33" authorId="5" shapeId="0" xr:uid="{00000000-0006-0000-0400-000036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Jun10 IC: modest yoy growth
1q11: SD growth; if helicopters grow DD can offset other declines</t>
        </r>
      </text>
    </comment>
    <comment ref="BB33" authorId="1" shapeId="0" xr:uid="{00000000-0006-0000-0400-000037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3q12: +DD</t>
        </r>
      </text>
    </comment>
    <comment ref="BG33" authorId="1" shapeId="0" xr:uid="{00000000-0006-0000-0400-000038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4q12: +SD 
1q13: same</t>
        </r>
      </text>
    </comment>
    <comment ref="BL33" authorId="7" shapeId="0" xr:uid="{00000000-0006-0000-0400-000039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+MSD</t>
        </r>
      </text>
    </comment>
    <comment ref="BQ33" authorId="2" shapeId="0" xr:uid="{00000000-0006-0000-0400-00003A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stable
2q15: slightly down
3q15: down 7%
</t>
        </r>
      </text>
    </comment>
    <comment ref="BV33" authorId="3" shapeId="0" xr:uid="{00000000-0006-0000-0400-00003B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stable
2q16: down yoy</t>
        </r>
      </text>
    </comment>
    <comment ref="CA33" authorId="8" shapeId="0" xr:uid="{00000000-0006-0000-0400-00003C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stable
1q17: up
2q17: +MSD
3q17: +LSD</t>
        </r>
      </text>
    </comment>
    <comment ref="CF33" authorId="2" shapeId="0" xr:uid="{00000000-0006-0000-0400-00003D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dec 17: stable
4q17: same
1q18: same
2q18: +LSD
3q18: +HSD</t>
        </r>
      </text>
    </comment>
    <comment ref="CI33" authorId="3" shapeId="0" xr:uid="{00000000-0006-0000-0400-00003E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3q19: HSD</t>
        </r>
      </text>
    </comment>
    <comment ref="CK33" authorId="2" shapeId="0" xr:uid="{00000000-0006-0000-0400-00003F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4q18: +DD
1q19: same
may 19: same
may 19: 11-13% CAGR 2018-21
2q19: same</t>
        </r>
      </text>
    </comment>
    <comment ref="CP33" authorId="2" shapeId="0" xr:uid="{00000000-0006-0000-0400-000040000000}">
      <text>
        <r>
          <rPr>
            <b/>
            <sz val="9"/>
            <color rgb="FF000000"/>
            <rFont val="Tahoma"/>
            <family val="2"/>
          </rPr>
          <t>Parsons, Gavin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jan 15: +MSD CAGR through 2020
</t>
        </r>
        <r>
          <rPr>
            <sz val="9"/>
            <color rgb="FF000000"/>
            <rFont val="Tahoma"/>
            <family val="2"/>
          </rPr>
          <t xml:space="preserve">dec 16: 3-5% CAGR through 2020
</t>
        </r>
        <r>
          <rPr>
            <sz val="9"/>
            <color rgb="FF000000"/>
            <rFont val="Tahoma"/>
            <family val="2"/>
          </rPr>
          <t xml:space="preserve">dec 17: same
</t>
        </r>
        <r>
          <rPr>
            <sz val="9"/>
            <color rgb="FF000000"/>
            <rFont val="Tahoma"/>
            <family val="2"/>
          </rPr>
          <t xml:space="preserve">may 19: 11-13% CAGR 2018-21
</t>
        </r>
        <r>
          <rPr>
            <sz val="9"/>
            <color rgb="FF000000"/>
            <rFont val="Tahoma"/>
            <family val="2"/>
          </rPr>
          <t xml:space="preserve">dec 19: HSD
</t>
        </r>
        <r>
          <rPr>
            <sz val="9"/>
            <color rgb="FF000000"/>
            <rFont val="Tahoma"/>
            <family val="2"/>
          </rPr>
          <t>apr 20: withdrawn</t>
        </r>
      </text>
    </comment>
    <comment ref="CQ33" authorId="9" shapeId="0" xr:uid="{00000000-0006-0000-0400-000041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may 19: 11-13% CAGR 2018-21
apr 20: withdrawn</t>
        </r>
      </text>
    </comment>
    <comment ref="AO35" authorId="5" shapeId="0" xr:uid="{00000000-0006-0000-0400-000042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1q10: start to have yoy growth</t>
        </r>
      </text>
    </comment>
    <comment ref="AQ35" authorId="0" shapeId="0" xr:uid="{00000000-0006-0000-0400-000043000000}">
      <text>
        <r>
          <rPr>
            <b/>
            <sz val="8"/>
            <color indexed="81"/>
            <rFont val="Tahoma"/>
            <family val="2"/>
          </rPr>
          <t>carral:</t>
        </r>
        <r>
          <rPr>
            <sz val="8"/>
            <color indexed="81"/>
            <rFont val="Tahoma"/>
            <family val="2"/>
          </rPr>
          <t xml:space="preserve">
3q10: Lighter yoy growth</t>
        </r>
      </text>
    </comment>
    <comment ref="AW35" authorId="5" shapeId="0" xr:uid="{00000000-0006-0000-0400-000044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Jun10 IC: DD</t>
        </r>
      </text>
    </comment>
    <comment ref="BG35" authorId="10" shapeId="0" xr:uid="{00000000-0006-0000-0400-000045000000}">
      <text>
        <r>
          <rPr>
            <b/>
            <sz val="8"/>
            <color indexed="81"/>
            <rFont val="Tahoma"/>
            <family val="2"/>
          </rPr>
          <t>massle:</t>
        </r>
        <r>
          <rPr>
            <sz val="8"/>
            <color indexed="81"/>
            <rFont val="Tahoma"/>
            <family val="2"/>
          </rPr>
          <t xml:space="preserve">
1q13: expect Industrials to be weaker but Space &amp; Defense and Commercial Aero to offset. Total Aero mid-range yoy growth </t>
        </r>
      </text>
    </comment>
    <comment ref="BV35" authorId="2" shapeId="0" xr:uid="{00000000-0006-0000-0400-000046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+DD
4q15: +6.5% (8.5% - 2% from Formax)</t>
        </r>
      </text>
    </comment>
    <comment ref="CA35" authorId="2" shapeId="0" xr:uid="{00000000-0006-0000-0400-000047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+DD</t>
        </r>
      </text>
    </comment>
    <comment ref="CK35" authorId="9" shapeId="0" xr:uid="{00000000-0006-0000-0400-000048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may 19: 6-9% CAGR 2018-21</t>
        </r>
      </text>
    </comment>
    <comment ref="CP35" authorId="8" shapeId="0" xr:uid="{00000000-0006-0000-0400-000049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6-9% CAGR 2015-2020
dec 17: 7-10% CAGR through 2020
may 19: 6-9% CAGR 2018-21
dec 19: flat to LSD
apr 20: withdrawn</t>
        </r>
      </text>
    </comment>
    <comment ref="CQ35" authorId="9" shapeId="0" xr:uid="{00000000-0006-0000-0400-00004A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may 19: 6-9% CAGR 2018-21
apr 20: withdrawn
</t>
        </r>
      </text>
    </comment>
    <comment ref="BC38" authorId="10" shapeId="0" xr:uid="{00000000-0006-0000-0400-00004B000000}">
      <text>
        <r>
          <rPr>
            <b/>
            <sz val="8"/>
            <color indexed="81"/>
            <rFont val="Tahoma"/>
            <family val="2"/>
          </rPr>
          <t>massle:</t>
        </r>
        <r>
          <rPr>
            <sz val="8"/>
            <color indexed="81"/>
            <rFont val="Tahoma"/>
            <family val="2"/>
          </rPr>
          <t xml:space="preserve">
1q13: New programs (A380, A350, B787, B747-8) &gt;30% of segment</t>
        </r>
      </text>
    </comment>
    <comment ref="BD38" authorId="10" shapeId="0" xr:uid="{00000000-0006-0000-0400-00004C000000}">
      <text>
        <r>
          <rPr>
            <b/>
            <sz val="8"/>
            <color indexed="81"/>
            <rFont val="Tahoma"/>
            <family val="2"/>
          </rPr>
          <t>massle:</t>
        </r>
        <r>
          <rPr>
            <sz val="8"/>
            <color indexed="81"/>
            <rFont val="Tahoma"/>
            <family val="2"/>
          </rPr>
          <t xml:space="preserve">
1q13: New programs (A380, A350, B787, B747-8) &gt;30% of segment</t>
        </r>
      </text>
    </comment>
    <comment ref="BQ38" authorId="2" shapeId="0" xr:uid="{00000000-0006-0000-0400-00004D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66%</t>
        </r>
      </text>
    </comment>
    <comment ref="CA38" authorId="8" shapeId="0" xr:uid="{00000000-0006-0000-0400-00004E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72%</t>
        </r>
      </text>
    </comment>
    <comment ref="BQ39" authorId="2" shapeId="0" xr:uid="{00000000-0006-0000-0400-00004F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14%</t>
        </r>
      </text>
    </comment>
    <comment ref="CA39" authorId="8" shapeId="0" xr:uid="{00000000-0006-0000-0400-000050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13%</t>
        </r>
      </text>
    </comment>
    <comment ref="BQ40" authorId="2" shapeId="0" xr:uid="{00000000-0006-0000-0400-000051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20%</t>
        </r>
      </text>
    </comment>
    <comment ref="CA40" authorId="8" shapeId="0" xr:uid="{00000000-0006-0000-0400-000052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15%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Parsons, Gavin [GIR]</author>
    <author>Medart, Mason [GIR]</author>
    <author>Porat, Matthew [GIR]</author>
    <author>krissa</author>
    <author>wachun</author>
    <author>poponn</author>
    <author>carral</author>
    <author>sammun</author>
    <author>khalom</author>
    <author>Correa, Tais [GIR]</author>
    <author>kwondo</author>
  </authors>
  <commentList>
    <comment ref="B11" authorId="0" shapeId="0" xr:uid="{00000000-0006-0000-0500-000001000000}">
      <text>
        <r>
          <rPr>
            <b/>
            <sz val="9"/>
            <color rgb="FF000000"/>
            <rFont val="Tahoma"/>
            <family val="2"/>
          </rPr>
          <t>Parsons, Gavin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CompositesToday est $45mn in 2014 revenue</t>
        </r>
      </text>
    </comment>
    <comment ref="B16" authorId="1" shapeId="0" xr:uid="{00000000-0006-0000-0500-000002000000}">
      <text>
        <r>
          <rPr>
            <b/>
            <sz val="9"/>
            <color rgb="FF000000"/>
            <rFont val="Tahoma"/>
            <family val="2"/>
          </rPr>
          <t>Medart, Mason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$50mn sales in 2018
</t>
        </r>
        <r>
          <rPr>
            <sz val="9"/>
            <color rgb="FF000000"/>
            <rFont val="Tahoma"/>
            <family val="2"/>
          </rPr>
          <t xml:space="preserve">$160mn = 11.9x 2018 adj EBITDA implies $13.4mn in EBITDA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(~27% adj EBITDA margin)</t>
        </r>
      </text>
    </comment>
    <comment ref="CK16" authorId="2" shapeId="0" xr:uid="{00000000-0006-0000-0500-000003000000}">
      <text>
        <r>
          <rPr>
            <b/>
            <sz val="9"/>
            <color rgb="FF000000"/>
            <rFont val="Tahoma"/>
            <family val="2"/>
          </rPr>
          <t>Porat, Matthew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4q18: slightly more than 50</t>
        </r>
      </text>
    </comment>
    <comment ref="B18" authorId="3" shapeId="0" xr:uid="{00000000-0006-0000-0500-000004000000}">
      <text>
        <r>
          <rPr>
            <b/>
            <sz val="8"/>
            <color rgb="FF000000"/>
            <rFont val="Tahoma"/>
            <family val="2"/>
          </rPr>
          <t>krissa: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expect revenue loss of 69 mn , source: factset, part of engineered product division</t>
        </r>
      </text>
    </comment>
    <comment ref="AN26" authorId="4" shapeId="0" xr:uid="{00000000-0006-0000-0500-000005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weakest first quarter</t>
        </r>
      </text>
    </comment>
    <comment ref="AR26" authorId="5" shapeId="0" xr:uid="{00000000-0006-0000-0500-000006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4q09: flat to slightly down</t>
        </r>
      </text>
    </comment>
    <comment ref="AW26" authorId="6" shapeId="0" xr:uid="{00000000-0006-0000-0500-000007000000}">
      <text>
        <r>
          <rPr>
            <b/>
            <sz val="8"/>
            <color indexed="81"/>
            <rFont val="Tahoma"/>
            <family val="2"/>
          </rPr>
          <t>carral:</t>
        </r>
        <r>
          <rPr>
            <sz val="8"/>
            <color indexed="81"/>
            <rFont val="Tahoma"/>
            <family val="2"/>
          </rPr>
          <t xml:space="preserve">
Dec10 PR: 1,225-1,300
4q10: same
1q11: 1,2750 - 1,350
2q11: 1,325-1,375</t>
        </r>
      </text>
    </comment>
    <comment ref="BB26" authorId="7" shapeId="0" xr:uid="{00000000-0006-0000-0500-000008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4q11: 1,500 - 1,600
1q12: 1,550 - 1,650
2q12: same
3q12: 1,560 - 1,590</t>
        </r>
      </text>
    </comment>
    <comment ref="BG26" authorId="7" shapeId="0" xr:uid="{00000000-0006-0000-0500-000009000000}">
      <text>
        <r>
          <rPr>
            <b/>
            <sz val="8"/>
            <color rgb="FF000000"/>
            <rFont val="Tahoma"/>
            <family val="2"/>
          </rPr>
          <t>sammun: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4q12: 1,640 - 1,740
</t>
        </r>
        <r>
          <rPr>
            <sz val="8"/>
            <color rgb="FF000000"/>
            <rFont val="Tahoma"/>
            <family val="2"/>
          </rPr>
          <t xml:space="preserve">1q13: same
</t>
        </r>
        <r>
          <rPr>
            <sz val="8"/>
            <color rgb="FF000000"/>
            <rFont val="Tahoma"/>
            <family val="2"/>
          </rPr>
          <t xml:space="preserve">2q13: same
</t>
        </r>
        <r>
          <rPr>
            <sz val="8"/>
            <color rgb="FF000000"/>
            <rFont val="Tahoma"/>
            <family val="2"/>
          </rPr>
          <t>3q13: 1,655 - 1,685</t>
        </r>
      </text>
    </comment>
    <comment ref="BL26" authorId="8" shapeId="0" xr:uid="{00000000-0006-0000-0500-00000A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1,800-1,880
4q13: same
1q14: same
2q14: 1,810-1,860
3q14: 1,830-1,860
jan15: 1,855</t>
        </r>
      </text>
    </comment>
    <comment ref="BQ26" authorId="0" shapeId="0" xr:uid="{00000000-0006-0000-0500-00000B000000}">
      <text>
        <r>
          <rPr>
            <b/>
            <sz val="8"/>
            <color rgb="FF000000"/>
            <rFont val="Tahoma"/>
            <family val="2"/>
          </rPr>
          <t>Parsons, Gavin [GIR]: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jan 15: 1,900-2,000
</t>
        </r>
        <r>
          <rPr>
            <sz val="8"/>
            <color rgb="FF000000"/>
            <rFont val="Tahoma"/>
            <family val="2"/>
          </rPr>
          <t xml:space="preserve">1q15: 1,860-1,940 (same ex-FX)
</t>
        </r>
        <r>
          <rPr>
            <sz val="8"/>
            <color rgb="FF000000"/>
            <rFont val="Tahoma"/>
            <family val="2"/>
          </rPr>
          <t xml:space="preserve">2q15: 1,850-1,900 (same ex-FX)
</t>
        </r>
        <r>
          <rPr>
            <sz val="8"/>
            <color rgb="FF000000"/>
            <rFont val="Tahoma"/>
            <family val="2"/>
          </rPr>
          <t>3q15: 1,840-1,860</t>
        </r>
      </text>
    </comment>
    <comment ref="BV26" authorId="2" shapeId="0" xr:uid="{00000000-0006-0000-0500-00000C000000}">
      <text>
        <r>
          <rPr>
            <b/>
            <sz val="9"/>
            <color rgb="FF000000"/>
            <rFont val="Tahoma"/>
            <family val="2"/>
          </rPr>
          <t>Porat, Matthew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4q15: 1,970-2,070
</t>
        </r>
        <r>
          <rPr>
            <sz val="9"/>
            <color rgb="FF000000"/>
            <rFont val="Tahoma"/>
            <family val="2"/>
          </rPr>
          <t xml:space="preserve">1q16: same
</t>
        </r>
        <r>
          <rPr>
            <sz val="9"/>
            <color rgb="FF000000"/>
            <rFont val="Tahoma"/>
            <family val="2"/>
          </rPr>
          <t xml:space="preserve">2q16: 1,990-2,050
</t>
        </r>
        <r>
          <rPr>
            <sz val="9"/>
            <color rgb="FF000000"/>
            <rFont val="Tahoma"/>
            <family val="2"/>
          </rPr>
          <t>3q16: 2,000-2,030</t>
        </r>
      </text>
    </comment>
    <comment ref="CA26" authorId="0" shapeId="0" xr:uid="{00000000-0006-0000-0500-00000D000000}">
      <text>
        <r>
          <rPr>
            <b/>
            <sz val="9"/>
            <color rgb="FF000000"/>
            <rFont val="Tahoma"/>
            <family val="2"/>
          </rPr>
          <t>Parsons, Gavin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jan 15: 2,500 (3,000 in 2020)
</t>
        </r>
        <r>
          <rPr>
            <sz val="9"/>
            <color rgb="FF000000"/>
            <rFont val="Tahoma"/>
            <family val="2"/>
          </rPr>
          <t xml:space="preserve">dec 16: 2,050-2,150
</t>
        </r>
        <r>
          <rPr>
            <sz val="9"/>
            <color rgb="FF000000"/>
            <rFont val="Tahoma"/>
            <family val="2"/>
          </rPr>
          <t xml:space="preserve">4q16: same
</t>
        </r>
        <r>
          <rPr>
            <sz val="9"/>
            <color rgb="FF000000"/>
            <rFont val="Tahoma"/>
            <family val="2"/>
          </rPr>
          <t xml:space="preserve">1q17: 2,000-2,080
</t>
        </r>
        <r>
          <rPr>
            <sz val="9"/>
            <color rgb="FF000000"/>
            <rFont val="Tahoma"/>
            <family val="2"/>
          </rPr>
          <t xml:space="preserve">2q17: 2,000
</t>
        </r>
        <r>
          <rPr>
            <sz val="9"/>
            <color rgb="FF000000"/>
            <rFont val="Tahoma"/>
            <family val="2"/>
          </rPr>
          <t xml:space="preserve">3q17: &lt;2,000
</t>
        </r>
        <r>
          <rPr>
            <sz val="9"/>
            <color rgb="FF000000"/>
            <rFont val="Tahoma"/>
            <family val="2"/>
          </rPr>
          <t>dec 17: same</t>
        </r>
      </text>
    </comment>
    <comment ref="CF26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dec 17: 2,100-2,200
4q17: same
1q18: same
2q18: same
3q18: 2,140-2,200</t>
        </r>
      </text>
    </comment>
    <comment ref="CK26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4q18: 2,375-2,475
1q19: same
2q19: same
3q19: 2,340-2,400</t>
        </r>
      </text>
    </comment>
    <comment ref="CP26" authorId="2" shapeId="0" xr:uid="{00000000-0006-0000-0500-000010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3,000
dec 15: 2,700
dec 17: 2,550
1q20: withdrawn</t>
        </r>
      </text>
    </comment>
    <comment ref="BQ41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3q15: +3% CC</t>
        </r>
      </text>
    </comment>
    <comment ref="BV41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+DD
4q15: +6.5%</t>
        </r>
      </text>
    </comment>
    <comment ref="CA41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+DD
Dec 16: 4% (3.6% Const currency)</t>
        </r>
      </text>
    </comment>
    <comment ref="CK41" authorId="1" shapeId="0" xr:uid="{00000000-0006-0000-0500-000014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may 19: 6-9% 2019-21</t>
        </r>
      </text>
    </comment>
    <comment ref="CP41" authorId="9" shapeId="0" xr:uid="{00000000-0006-0000-0500-000015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</t>
        </r>
        <r>
          <rPr>
            <sz val="8"/>
            <color indexed="81"/>
            <rFont val="Tahoma"/>
            <family val="2"/>
          </rPr>
          <t>ec 16: 6-9% 2015-2020
dec 17: 7-10% 
may 19: 6-9% 2019-21
dec  19: flat to LSD
apr 20: withdrawn</t>
        </r>
      </text>
    </comment>
    <comment ref="CQ41" authorId="1" shapeId="0" xr:uid="{00000000-0006-0000-0500-000016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may 19: 6-9% 2019-21
apr 20: withdrawn</t>
        </r>
      </text>
    </comment>
    <comment ref="CR41" authorId="0" shapeId="0" xr:uid="{00000000-0006-0000-0500-000017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may 2019: 7-10% long-term
apr 20: withdrawn</t>
        </r>
      </text>
    </comment>
    <comment ref="AC46" authorId="5" shapeId="0" xr:uid="{00000000-0006-0000-0500-000018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5-10%
2q07: upper-end of the range</t>
        </r>
      </text>
    </comment>
    <comment ref="AH46" authorId="5" shapeId="0" xr:uid="{00000000-0006-0000-0500-000019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14% CAGR thru 2010
12/6/07: 10-15% for '08</t>
        </r>
      </text>
    </comment>
    <comment ref="AM46" authorId="5" shapeId="0" xr:uid="{00000000-0006-0000-0500-00001A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14% CAGR thru 2010
1q09: no official guidance, but talked about -5%</t>
        </r>
      </text>
    </comment>
    <comment ref="AR46" authorId="5" shapeId="0" xr:uid="{00000000-0006-0000-0500-00001B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14% CAGR thru 2010</t>
        </r>
      </text>
    </comment>
    <comment ref="AW46" authorId="5" shapeId="0" xr:uid="{00000000-0006-0000-0500-00001C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14% CAGR thru 2010</t>
        </r>
      </text>
    </comment>
    <comment ref="BV46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+DD
4q15: +8.5% (~2% from Formax)</t>
        </r>
      </text>
    </comment>
    <comment ref="CA46" authorId="0" shapeId="0" xr:uid="{00000000-0006-0000-0500-00001E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+DD</t>
        </r>
      </text>
    </comment>
    <comment ref="BZ62" authorId="2" shapeId="0" xr:uid="{00000000-0006-0000-0500-00001F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1q17: stronger than normal</t>
        </r>
      </text>
    </comment>
    <comment ref="Y72" authorId="5" shapeId="0" xr:uid="{00000000-0006-0000-0500-000020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weaker in 1H than 2H</t>
        </r>
      </text>
    </comment>
    <comment ref="Z72" authorId="5" shapeId="0" xr:uid="{00000000-0006-0000-0500-000021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weaker in 1H than 2H</t>
        </r>
      </text>
    </comment>
    <comment ref="AC72" authorId="5" shapeId="0" xr:uid="{00000000-0006-0000-0500-000022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flat to slightly up</t>
        </r>
      </text>
    </comment>
    <comment ref="BQ72" authorId="0" shapeId="0" xr:uid="{00000000-0006-0000-0500-000023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up 8-10%</t>
        </r>
      </text>
    </comment>
    <comment ref="BV72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4q15: up 8-10%</t>
        </r>
      </text>
    </comment>
    <comment ref="AC73" authorId="5" shapeId="0" xr:uid="{00000000-0006-0000-0500-000025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mid-teens</t>
        </r>
      </text>
    </comment>
    <comment ref="BQ73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+MSD</t>
        </r>
      </text>
    </comment>
    <comment ref="BV73" authorId="0" shapeId="0" xr:uid="{00000000-0006-0000-0500-000027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4q15: up double digits</t>
        </r>
      </text>
    </comment>
    <comment ref="AC74" authorId="5" shapeId="0" xr:uid="{00000000-0006-0000-0500-000028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10%</t>
        </r>
      </text>
    </comment>
    <comment ref="BQ74" authorId="0" shapeId="0" xr:uid="{00000000-0006-0000-0500-000029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stable</t>
        </r>
      </text>
    </comment>
    <comment ref="BV74" authorId="0" shapeId="0" xr:uid="{00000000-0006-0000-0500-00002A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4q15: stable</t>
        </r>
      </text>
    </comment>
    <comment ref="AS85" authorId="4" shapeId="0" xr:uid="{00000000-0006-0000-0500-00002B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1q11: stock comp 6.4mn; 1Q10 was 5.6mn</t>
        </r>
      </text>
    </comment>
    <comment ref="CF99" authorId="0" shapeId="0" xr:uid="{00000000-0006-0000-0500-00002C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1q18: 12-14% 2Q-4Q
2q18: 12-14% range
3q18: same</t>
        </r>
      </text>
    </comment>
    <comment ref="AC103" authorId="5" shapeId="0" xr:uid="{00000000-0006-0000-0500-00002D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11-12%
2q07: same</t>
        </r>
      </text>
    </comment>
    <comment ref="AH103" authorId="5" shapeId="0" xr:uid="{00000000-0006-0000-0500-00002E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12-12.5%</t>
        </r>
      </text>
    </comment>
    <comment ref="AJ103" authorId="5" shapeId="0" xr:uid="{00000000-0006-0000-0500-00002F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1q09: looks similar to 1Q</t>
        </r>
      </text>
    </comment>
    <comment ref="AL103" authorId="4" shapeId="0" xr:uid="{00000000-0006-0000-0500-000030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8.3% w/o legal fees</t>
        </r>
      </text>
    </comment>
    <comment ref="AR103" authorId="5" shapeId="0" xr:uid="{00000000-0006-0000-0500-000031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mid-teens within 3-4 years</t>
        </r>
      </text>
    </comment>
    <comment ref="AU103" authorId="6" shapeId="0" xr:uid="{00000000-0006-0000-0500-000032000000}">
      <text>
        <r>
          <rPr>
            <b/>
            <sz val="8"/>
            <color indexed="81"/>
            <rFont val="Tahoma"/>
            <family val="2"/>
          </rPr>
          <t>carral:</t>
        </r>
        <r>
          <rPr>
            <sz val="8"/>
            <color indexed="81"/>
            <rFont val="Tahoma"/>
            <family val="2"/>
          </rPr>
          <t xml:space="preserve">
1q11: Typical 2H seasonality and neg iFX</t>
        </r>
      </text>
    </comment>
    <comment ref="AV103" authorId="6" shapeId="0" xr:uid="{00000000-0006-0000-0500-000033000000}">
      <text>
        <r>
          <rPr>
            <b/>
            <sz val="8"/>
            <color indexed="81"/>
            <rFont val="Tahoma"/>
            <family val="2"/>
          </rPr>
          <t>carral:</t>
        </r>
        <r>
          <rPr>
            <sz val="8"/>
            <color indexed="81"/>
            <rFont val="Tahoma"/>
            <family val="2"/>
          </rPr>
          <t xml:space="preserve">
1q11: Typical 2H seasonality and neg iFX</t>
        </r>
      </text>
    </comment>
    <comment ref="AW103" authorId="5" shapeId="0" xr:uid="{00000000-0006-0000-0500-000034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mid-teens within 3-4 years</t>
        </r>
      </text>
    </comment>
    <comment ref="AV104" authorId="7" shapeId="0" xr:uid="{00000000-0006-0000-0500-000035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3q11: expects 4q op margins to be lower based on normal seasonality. </t>
        </r>
      </text>
    </comment>
    <comment ref="BL104" authorId="10" shapeId="0" xr:uid="{00000000-0006-0000-0500-000036000000}">
      <text>
        <r>
          <rPr>
            <b/>
            <sz val="9"/>
            <color indexed="81"/>
            <rFont val="Tahoma"/>
            <family val="2"/>
          </rPr>
          <t>kwondo: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2q14: 17% in 2H14</t>
        </r>
      </text>
    </comment>
    <comment ref="BR104" authorId="2" shapeId="0" xr:uid="{00000000-0006-0000-0500-000037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lower than remaining quarters</t>
        </r>
      </text>
    </comment>
    <comment ref="CG104" authorId="2" shapeId="0" xr:uid="{00000000-0006-0000-0500-000038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4q18: lower vs subsequent</t>
        </r>
      </text>
    </comment>
    <comment ref="AR112" authorId="4" shapeId="0" xr:uid="{00000000-0006-0000-0500-000039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1q10: 20% incremental margins going forward</t>
        </r>
      </text>
    </comment>
    <comment ref="AW112" authorId="4" shapeId="0" xr:uid="{00000000-0006-0000-0500-00003A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1q10: 20% incremental margins going forward
Jun 10 IC: &gt; 20% 
1q11: same</t>
        </r>
      </text>
    </comment>
    <comment ref="BB112" authorId="4" shapeId="0" xr:uid="{00000000-0006-0000-0500-00003B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1q10: 20% incremental margins going forward
Jun 10 IC: &gt; 20% </t>
        </r>
      </text>
    </comment>
    <comment ref="BL112" authorId="8" shapeId="0" xr:uid="{00000000-0006-0000-0500-00003C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23%+
3q14: same
jan 15: 23%</t>
        </r>
      </text>
    </comment>
    <comment ref="BQ112" authorId="0" shapeId="0" xr:uid="{00000000-0006-0000-0500-00003D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25%
3q15: same</t>
        </r>
      </text>
    </comment>
    <comment ref="BV112" authorId="0" shapeId="0" xr:uid="{00000000-0006-0000-0500-00003E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25%</t>
        </r>
      </text>
    </comment>
    <comment ref="CA112" authorId="0" shapeId="0" xr:uid="{00000000-0006-0000-0500-00003F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25%
Dec 16: 25% a challenge
</t>
        </r>
      </text>
    </comment>
    <comment ref="CF112" authorId="2" shapeId="0" xr:uid="{00000000-0006-0000-0500-000040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2q17: 25% target</t>
        </r>
      </text>
    </comment>
    <comment ref="AH113" authorId="5" shapeId="0" xr:uid="{00000000-0006-0000-0500-000041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&gt;20%</t>
        </r>
      </text>
    </comment>
    <comment ref="AU121" authorId="7" shapeId="0" xr:uid="{00000000-0006-0000-0500-000042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Revenues on legacy platforms up 25% on increased build rates. 
Sales to new platforms up 35%. </t>
        </r>
      </text>
    </comment>
    <comment ref="AY136" authorId="8" shapeId="0" xr:uid="{00000000-0006-0000-0500-000043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2q12: insurance settlement one-time payment. </t>
        </r>
      </text>
    </comment>
    <comment ref="AY149" authorId="8" shapeId="0" xr:uid="{00000000-0006-0000-0500-000044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2q12: adjusted for one-time insurance settlement payment.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krissa</author>
    <author>wachun</author>
    <author>sammun</author>
    <author>khalom</author>
    <author>Parsons, Gavin [GIR]</author>
    <author>Porat, Matthew [GIR]</author>
    <author>carral</author>
    <author>Correa, Tais [GIR]</author>
    <author>poponn</author>
    <author>Medart, Mason [GIR]</author>
    <author>massle</author>
  </authors>
  <commentList>
    <comment ref="Y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taken from  1Q08 filings to adjust for restatement</t>
        </r>
      </text>
    </comment>
    <comment ref="AN6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weakest first quarter</t>
        </r>
      </text>
    </comment>
    <comment ref="AR6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flat to slightly down vs. '09
1q10: better than before
Jun10 IC: 1,128 - 1,170</t>
        </r>
      </text>
    </comment>
    <comment ref="AW6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Dec '10 PR: 1,225-1,300
4q10: same
1q11: 1,275-1,350
2q11: 1,325-1,375
3q11: 1,375-1,400</t>
        </r>
      </text>
    </comment>
    <comment ref="BB6" authorId="2" shapeId="0" xr:uid="{00000000-0006-0000-0600-000005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dec 11: 1,500 - 1,600
4q11: same
1q12: 1,550 - 1,650
2q12: same
3q12: 1,560 - 1,590</t>
        </r>
      </text>
    </comment>
    <comment ref="BG6" authorId="3" shapeId="0" xr:uid="{00000000-0006-0000-0600-000006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4q12: 1,640 - 1,740
1q13: same
2q13: same
3q13: 1,655 - 1,685</t>
        </r>
      </text>
    </comment>
    <comment ref="BL6" authorId="3" shapeId="0" xr:uid="{00000000-0006-0000-0600-000007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1,800-1,880
4q13: same
1q14: same
2q14: 1,810-1,860
3q14: 1,830-1,860
jan 15: 1,855</t>
        </r>
      </text>
    </comment>
    <comment ref="BQ6" authorId="4" shapeId="0" xr:uid="{00000000-0006-0000-0600-000008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1,900-2,000
1q15: 1,860-1,940 (same ex-FX)
2q15: 1,850-1,900 (same ex-FX)
3q15: 1,840-1,860</t>
        </r>
      </text>
    </comment>
    <comment ref="BV6" authorId="5" shapeId="0" xr:uid="{00000000-0006-0000-0600-000009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1,970-2,070
1q16: same
2q16: 1,990-2,050
3q16: 2,000-2,030</t>
        </r>
      </text>
    </comment>
    <comment ref="CA6" authorId="4" shapeId="0" xr:uid="{00000000-0006-0000-0600-00000A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2,500
dec 16: 2,050-2,150
4q16: same
1q17: 2,000-2,080
2q17: 2,000
3q17: &lt;2,000
dec 17: same</t>
        </r>
      </text>
    </comment>
    <comment ref="CF6" authorId="4" shapeId="0" xr:uid="{00000000-0006-0000-0600-00000B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dec 17: 2,100-2,200
4q17: same
1q18: same
2q18: same
3q18: 2,140-2,200</t>
        </r>
      </text>
    </comment>
    <comment ref="CK6" authorId="4" shapeId="0" xr:uid="{00000000-0006-0000-0600-00000C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4q18: 2,375-2,475
1q19: same
2q19: same
3q19: 2,340-2,400</t>
        </r>
      </text>
    </comment>
    <comment ref="CP6" authorId="4" shapeId="0" xr:uid="{00000000-0006-0000-0600-00000D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3,000 in 2020
4q15: same
dec 17: 2,550
</t>
        </r>
      </text>
    </comment>
    <comment ref="AW9" authorId="6" shapeId="0" xr:uid="{00000000-0006-0000-0600-00000E000000}">
      <text>
        <r>
          <rPr>
            <b/>
            <sz val="8"/>
            <color indexed="81"/>
            <rFont val="Tahoma"/>
            <family val="2"/>
          </rPr>
          <t>carral:</t>
        </r>
        <r>
          <rPr>
            <sz val="8"/>
            <color indexed="81"/>
            <rFont val="Tahoma"/>
            <family val="2"/>
          </rPr>
          <t xml:space="preserve">
1q11: flattish -To creep up, not climb up with revs</t>
        </r>
      </text>
    </comment>
    <comment ref="BM9" authorId="4" shapeId="0" xr:uid="{00000000-0006-0000-0600-00000F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6 higher</t>
        </r>
      </text>
    </comment>
    <comment ref="BU9" authorId="5" shapeId="0" xr:uid="{00000000-0006-0000-0600-000010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3q16: largest </t>
        </r>
      </text>
    </comment>
    <comment ref="CA9" authorId="5" shapeId="0" xr:uid="{00000000-0006-0000-0600-000011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3q16: some inflation
</t>
        </r>
      </text>
    </comment>
    <comment ref="CB9" authorId="4" shapeId="0" xr:uid="{00000000-0006-0000-0600-000012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dec 17: 8 &gt; 2-4Q</t>
        </r>
      </text>
    </comment>
    <comment ref="CG9" authorId="5" shapeId="0" xr:uid="{00000000-0006-0000-0600-000013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4q18: higher in 1q vs subsequent by ~8mn</t>
        </r>
      </text>
    </comment>
    <comment ref="BQ10" authorId="4" shapeId="0" xr:uid="{00000000-0006-0000-0600-000014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up 8-10%</t>
        </r>
      </text>
    </comment>
    <comment ref="BV10" authorId="5" shapeId="0" xr:uid="{00000000-0006-0000-0600-000015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+8-10% </t>
        </r>
      </text>
    </comment>
    <comment ref="CA10" authorId="7" shapeId="0" xr:uid="{00000000-0006-0000-0600-000016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10% higher </t>
        </r>
      </text>
    </comment>
    <comment ref="CF10" authorId="5" shapeId="0" xr:uid="{00000000-0006-0000-0600-000017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Dec 17: +DD%</t>
        </r>
      </text>
    </comment>
    <comment ref="CK10" authorId="5" shapeId="0" xr:uid="{00000000-0006-0000-0600-000018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4q18: +DD%</t>
        </r>
      </text>
    </comment>
    <comment ref="AR12" authorId="1" shapeId="0" xr:uid="{00000000-0006-0000-0600-000019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flat to down slightly due to increasing depreciation</t>
        </r>
      </text>
    </comment>
    <comment ref="AC13" authorId="8" shapeId="0" xr:uid="{00000000-0006-0000-0600-00001A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~30
3q06: 5/qtr run rate </t>
        </r>
      </text>
    </comment>
    <comment ref="AR13" authorId="1" shapeId="0" xr:uid="{00000000-0006-0000-0600-00001B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5mn higher than '09</t>
        </r>
      </text>
    </comment>
    <comment ref="AW13" authorId="1" shapeId="0" xr:uid="{00000000-0006-0000-0600-00001C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Jul 10 refi: decrease by 5mn
Dec '10 refi: decrease by another5mn</t>
        </r>
      </text>
    </comment>
    <comment ref="CF13" authorId="4" shapeId="0" xr:uid="{00000000-0006-0000-0600-00001D000000}">
      <text>
        <r>
          <rPr>
            <b/>
            <sz val="9"/>
            <color rgb="FF000000"/>
            <rFont val="Tahoma"/>
            <family val="2"/>
          </rPr>
          <t>Parsons, Gavin [GIR]: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1q18: 2-4Q similar to slightly higher than 1Q</t>
        </r>
      </text>
    </comment>
    <comment ref="AS14" authorId="1" shapeId="0" xr:uid="{00000000-0006-0000-0600-00001E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Dec13 PR: 4.9mn pretax charge
1q11: 5.7mn pretax benefit on UK pension curtailment [4.1mn post tax] </t>
        </r>
      </text>
    </comment>
    <comment ref="AN16" authorId="1" shapeId="0" xr:uid="{00000000-0006-0000-0600-00001F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3mn of tax credits
1q10a: 3.5mn credit</t>
        </r>
      </text>
    </comment>
    <comment ref="BG16" authorId="2" shapeId="0" xr:uid="{00000000-0006-0000-0600-000020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4q12: +30 yoy</t>
        </r>
      </text>
    </comment>
    <comment ref="BT16" authorId="5" shapeId="0" xr:uid="{00000000-0006-0000-0600-000021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3q16: 6.6 favorable adjustment</t>
        </r>
      </text>
    </comment>
    <comment ref="BV16" authorId="5" shapeId="0" xr:uid="{00000000-0006-0000-0600-000022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 +25-30 yoy</t>
        </r>
      </text>
    </comment>
    <comment ref="AH26" authorId="8" shapeId="0" xr:uid="{00000000-0006-0000-0600-000023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$0.90 - $0.95
2q08: $0.96 - $1.01 (reiterated $0.90 - $0.95 ex $0.06 one time benefit in 2q)</t>
        </r>
      </text>
    </comment>
    <comment ref="AM26" authorId="8" shapeId="0" xr:uid="{00000000-0006-0000-0600-000024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4q08: moderate growth off of $0.82</t>
        </r>
      </text>
    </comment>
    <comment ref="AV26" authorId="2" shapeId="0" xr:uid="{00000000-0006-0000-0600-000025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Tax benefit drives adjusted EPS of $0.33</t>
        </r>
      </text>
    </comment>
    <comment ref="AW26" authorId="1" shapeId="0" xr:uid="{00000000-0006-0000-0600-000026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Dec10 PR: $0.90 - $0.98
4q10: same
1q11: $0.95 - $1.05
2q11: $1.05 - $1.12
3q11: $1.18 - $1.23</t>
        </r>
      </text>
    </comment>
    <comment ref="BB26" authorId="2" shapeId="0" xr:uid="{00000000-0006-0000-0600-000027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Dec 11: $1.33 - $1.45
4q11: same
1q12: $1.45 - $1.55
2q12: same
3q12: $1.54 - $1.59</t>
        </r>
      </text>
    </comment>
    <comment ref="BG26" authorId="2" shapeId="0" xr:uid="{00000000-0006-0000-0600-000028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4q12: $1.66 - $1.78
1q13: $1.73 - $1.83
2q13: same
3q13: $1.80 - $1.86</t>
        </r>
      </text>
    </comment>
    <comment ref="BL26" authorId="3" shapeId="0" xr:uid="{00000000-0006-0000-0600-000029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$2.00-$2.12
4q13: same
1q14: same
2q14: $2.06-$2.14 (FX impacts may shave off 2.5 cents)
3q14: $2.10-$2.16
jan 15: $2.16</t>
        </r>
      </text>
    </comment>
    <comment ref="BQ26" authorId="4" shapeId="0" xr:uid="{00000000-0006-0000-0600-00002A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$2.26-$2.38
1q15: $2.33-$2.43 [excludes 0.12 tax benefits]
2q15: same
3q15: $2.28-$2.34 (excludes 0.12 of 1H tax benefit)</t>
        </r>
      </text>
    </comment>
    <comment ref="BV26" authorId="5" shapeId="0" xr:uid="{00000000-0006-0000-0600-00002B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$2.44-$2.56
1q16: same
2q16: $2.48-$2.56
3q16: $2.52-$2.58 (excluding tax benefit of $0.07)</t>
        </r>
      </text>
    </comment>
    <comment ref="CA26" authorId="7" shapeId="0" xr:uid="{00000000-0006-0000-0600-00002C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$2.64-$2.76
4q16: same
1q17: $2.64-$2.76 (excluding $0.10 tax benefit)
2q17: same
3q17: $2.64-2.$72 (adj for $0.10 + $0.05 tax benefits); $2.79-$2.87 (reported)</t>
        </r>
      </text>
    </comment>
    <comment ref="CF26" authorId="4" shapeId="0" xr:uid="{00000000-0006-0000-0600-00002D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dec 17: $2.80-$2.94
4q17: $2.96-$3.10
1q18: same
2q18: same
3q18: $2.99-$3.07 adj
reported: $3.05 adj</t>
        </r>
      </text>
    </comment>
    <comment ref="CK26" authorId="4" shapeId="0" xr:uid="{00000000-0006-0000-0600-00002E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4q18: $3.38-$3.52 adj
1q19: same
may 19: same
2q19: $3.43-$3.53
3q19: same</t>
        </r>
      </text>
    </comment>
    <comment ref="CP26" authorId="4" shapeId="0" xr:uid="{00000000-0006-0000-0600-00002F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$4.50 in 2020
4q15: same
4q19: up L-MSD
1q20: withdrawn</t>
        </r>
      </text>
    </comment>
    <comment ref="CL30" authorId="4" shapeId="0" xr:uid="{00000000-0006-0000-0600-000030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WWD deal-related</t>
        </r>
      </text>
    </comment>
    <comment ref="AC35" authorId="8" shapeId="0" xr:uid="{00000000-0006-0000-0600-000031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95.5-96.5</t>
        </r>
      </text>
    </comment>
    <comment ref="BL35" authorId="3" shapeId="0" xr:uid="{00000000-0006-0000-0600-000032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~102
2q14: ~ 99.2
3q14: ~99</t>
        </r>
      </text>
    </comment>
    <comment ref="BQ35" authorId="4" shapeId="0" xr:uid="{00000000-0006-0000-0600-000033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flat</t>
        </r>
      </text>
    </comment>
    <comment ref="BV35" authorId="5" shapeId="0" xr:uid="{00000000-0006-0000-0600-000034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~96
2q16: ~95</t>
        </r>
      </text>
    </comment>
    <comment ref="CA35" authorId="7" shapeId="0" xr:uid="{00000000-0006-0000-0600-000035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Dec 16: offset dilution from higher interest</t>
        </r>
      </text>
    </comment>
    <comment ref="CP35" authorId="4" shapeId="0" xr:uid="{00000000-0006-0000-0600-000036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4q19: flat yoy
1q20: withdrawn</t>
        </r>
      </text>
    </comment>
    <comment ref="BL47" authorId="3" shapeId="0" xr:uid="{00000000-0006-0000-0600-000037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+12 yoy</t>
        </r>
      </text>
    </comment>
    <comment ref="AR48" authorId="1" shapeId="0" xr:uid="{00000000-0006-0000-0600-000038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4q09: fairly flat</t>
        </r>
      </text>
    </comment>
    <comment ref="CA48" authorId="7" shapeId="0" xr:uid="{00000000-0006-0000-0600-000039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500</t>
        </r>
      </text>
    </comment>
    <comment ref="AM51" authorId="8" shapeId="0" xr:uid="{00000000-0006-0000-0600-00003A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4q08: between 2007 and 2008 levels</t>
        </r>
      </text>
    </comment>
    <comment ref="AU51" authorId="2" shapeId="0" xr:uid="{00000000-0006-0000-0600-00003B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3q11: mgt noted good leverage on the higher volume. </t>
        </r>
      </text>
    </comment>
    <comment ref="AW51" authorId="6" shapeId="0" xr:uid="{00000000-0006-0000-0600-00003C000000}">
      <text>
        <r>
          <rPr>
            <b/>
            <sz val="8"/>
            <color indexed="81"/>
            <rFont val="Tahoma"/>
            <family val="2"/>
          </rPr>
          <t>carral:</t>
        </r>
        <r>
          <rPr>
            <sz val="8"/>
            <color indexed="81"/>
            <rFont val="Tahoma"/>
            <family val="2"/>
          </rPr>
          <t xml:space="preserve">
1q11: 30% incremental GM leverage</t>
        </r>
      </text>
    </comment>
    <comment ref="CK52" authorId="5" shapeId="0" xr:uid="{00000000-0006-0000-0600-00003D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4q18: +DD increase</t>
        </r>
      </text>
    </comment>
    <comment ref="CC53" authorId="9" shapeId="0" xr:uid="{00000000-0006-0000-0600-00003E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2q18: a little lumpy q/q, but this range is sustainable</t>
        </r>
      </text>
    </comment>
    <comment ref="CG53" authorId="5" shapeId="0" xr:uid="{00000000-0006-0000-0600-00003F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4q18: higher in 1q vs subsequent by ~8mn</t>
        </r>
      </text>
    </comment>
    <comment ref="BR55" authorId="5" shapeId="0" xr:uid="{00000000-0006-0000-0600-000040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lower than in remaining 2016 quarters</t>
        </r>
      </text>
    </comment>
    <comment ref="AC56" authorId="8" shapeId="0" xr:uid="{00000000-0006-0000-0600-000041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38-40%
3q06: 39%</t>
        </r>
      </text>
    </comment>
    <comment ref="AM56" authorId="1" shapeId="0" xr:uid="{00000000-0006-0000-0600-000042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3q09: ~30%</t>
        </r>
      </text>
    </comment>
    <comment ref="AR56" authorId="1" shapeId="0" xr:uid="{00000000-0006-0000-0600-000043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3q09: 30% going forward
4q09: same
1q10: same</t>
        </r>
      </text>
    </comment>
    <comment ref="AV56" authorId="2" shapeId="0" xr:uid="{00000000-0006-0000-0600-000044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3q11: 31%
4q11: benefit from tax adjustments of $5.8mn. Excluding benefit rate is 29.5%</t>
        </r>
      </text>
    </comment>
    <comment ref="AW56" authorId="1" shapeId="0" xr:uid="{00000000-0006-0000-0600-000045000000}">
      <text>
        <r>
          <rPr>
            <b/>
            <sz val="8"/>
            <color indexed="81"/>
            <rFont val="Tahoma"/>
            <family val="2"/>
          </rPr>
          <t>wachun:</t>
        </r>
        <r>
          <rPr>
            <sz val="8"/>
            <color indexed="81"/>
            <rFont val="Tahoma"/>
            <family val="2"/>
          </rPr>
          <t xml:space="preserve">
Dec10 PR: 32%
4q10: 31-32%
1q11: 32%
3q11: 31%
4q11: ex benefit in 4q, effective rate is 29.4%</t>
        </r>
      </text>
    </comment>
    <comment ref="BB56" authorId="2" shapeId="0" xr:uid="{00000000-0006-0000-0600-000046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4q11: 32%
1q12: same
2q12: same</t>
        </r>
      </text>
    </comment>
    <comment ref="BC56" authorId="10" shapeId="0" xr:uid="{00000000-0006-0000-0600-000047000000}">
      <text>
        <r>
          <rPr>
            <b/>
            <sz val="8"/>
            <color indexed="81"/>
            <rFont val="Tahoma"/>
            <family val="2"/>
          </rPr>
          <t>massle:</t>
        </r>
        <r>
          <rPr>
            <sz val="8"/>
            <color indexed="81"/>
            <rFont val="Tahoma"/>
            <family val="2"/>
          </rPr>
          <t xml:space="preserve">
1q13: Benefitted from extension of '12-'13 R&amp;D tax credits.  Full retroactive benefit from '12 was taken in this q (-1%)</t>
        </r>
      </text>
    </comment>
    <comment ref="BG56" authorId="2" shapeId="0" xr:uid="{00000000-0006-0000-0600-000048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4q12: 32%
1q13: 30.5%
2q13: same
3q13: same</t>
        </r>
      </text>
    </comment>
    <comment ref="BL56" authorId="3" shapeId="0" xr:uid="{00000000-0006-0000-0600-000049000000}">
      <text>
        <r>
          <rPr>
            <b/>
            <sz val="8"/>
            <color indexed="81"/>
            <rFont val="Tahoma"/>
            <family val="2"/>
          </rPr>
          <t>khalom:</t>
        </r>
        <r>
          <rPr>
            <sz val="8"/>
            <color indexed="81"/>
            <rFont val="Tahoma"/>
            <family val="2"/>
          </rPr>
          <t xml:space="preserve">
dec 13: 31.5%
4q13: same
1q14: same
2q14: 31.2% for 2H14</t>
        </r>
      </text>
    </comment>
    <comment ref="BQ56" authorId="4" shapeId="0" xr:uid="{00000000-0006-0000-0600-00004A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30.5%
2q15: same (excluding benefits)
3q15: same </t>
        </r>
      </text>
    </comment>
    <comment ref="BV56" authorId="5" shapeId="0" xr:uid="{00000000-0006-0000-0600-00004B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30.5%
3q16: same</t>
        </r>
      </text>
    </comment>
    <comment ref="BW56" authorId="4" shapeId="0" xr:uid="{00000000-0006-0000-0600-00004C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1q17: $0.10 benefit</t>
        </r>
      </text>
    </comment>
    <comment ref="BY56" authorId="5" shapeId="0" xr:uid="{00000000-0006-0000-0600-00004D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3q17: $0.05 benefit</t>
        </r>
      </text>
    </comment>
    <comment ref="CA56" authorId="7" shapeId="0" xr:uid="{00000000-0006-0000-0600-00004E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30%
2q17: 27% adj
3q17: 26% adj</t>
        </r>
      </text>
    </comment>
    <comment ref="CE56" authorId="9" shapeId="0" xr:uid="{00000000-0006-0000-0600-00004F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3q18: 24%</t>
        </r>
      </text>
    </comment>
    <comment ref="CF56" authorId="5" shapeId="0" xr:uid="{00000000-0006-0000-0600-000050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2q17: 'towards 30%'
dec 17: 29%
4q17: 25%
1q18: same
2q18: below 25%
3q18: 22%</t>
        </r>
      </text>
    </comment>
    <comment ref="CI56" authorId="4" shapeId="0" xr:uid="{00000000-0006-0000-0600-000051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2q19: 24%</t>
        </r>
      </text>
    </comment>
    <comment ref="CJ56" authorId="4" shapeId="0" xr:uid="{00000000-0006-0000-0600-000052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2q19: 24%
3q19: same</t>
        </r>
      </text>
    </comment>
    <comment ref="CK56" authorId="9" shapeId="0" xr:uid="{00000000-0006-0000-0600-000053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3q18: 24% 
4q18: same
1q19: same</t>
        </r>
      </text>
    </comment>
    <comment ref="CP56" authorId="4" shapeId="0" xr:uid="{00000000-0006-0000-0600-000054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4q19: 23%
1q20: same</t>
        </r>
      </text>
    </comment>
    <comment ref="AC60" authorId="8" shapeId="0" xr:uid="{00000000-0006-0000-0600-000055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12/12/06: 5-10%
2q07: upper-end of the range</t>
        </r>
      </text>
    </comment>
    <comment ref="AH60" authorId="8" shapeId="0" xr:uid="{00000000-0006-0000-0600-000056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14% CAGR thru 2010
12/6/07: 10-15% for '08</t>
        </r>
      </text>
    </comment>
    <comment ref="AM60" authorId="8" shapeId="0" xr:uid="{00000000-0006-0000-0600-000057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14% CAGR thru 2010
1q09: no official guidance, but talked about -5%</t>
        </r>
      </text>
    </comment>
    <comment ref="AR60" authorId="8" shapeId="0" xr:uid="{00000000-0006-0000-0600-000058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14% CAGR thru 2010
4q09: flat to slightly up
Jun10 IC:  +DD</t>
        </r>
      </text>
    </comment>
    <comment ref="AW60" authorId="8" shapeId="0" xr:uid="{00000000-0006-0000-0600-000059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14% CAGR thru 2010
Jun10 IC: +DD</t>
        </r>
      </text>
    </comment>
    <comment ref="BB60" authorId="8" shapeId="0" xr:uid="{00000000-0006-0000-0600-00005A000000}">
      <text>
        <r>
          <rPr>
            <b/>
            <sz val="8"/>
            <color indexed="81"/>
            <rFont val="Tahoma"/>
            <family val="2"/>
          </rPr>
          <t>poponn:</t>
        </r>
        <r>
          <rPr>
            <sz val="8"/>
            <color indexed="81"/>
            <rFont val="Tahoma"/>
            <family val="2"/>
          </rPr>
          <t xml:space="preserve">
12/6/07: 14% CAGR thru 2010
Jun10 IC:  +DD</t>
        </r>
      </text>
    </comment>
    <comment ref="BV60" authorId="4" shapeId="0" xr:uid="{00000000-0006-0000-0600-00005B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+DD</t>
        </r>
      </text>
    </comment>
    <comment ref="CA60" authorId="4" shapeId="0" xr:uid="{00000000-0006-0000-0600-00005C000000}">
      <text>
        <r>
          <rPr>
            <b/>
            <sz val="8"/>
            <color indexed="81"/>
            <rFont val="Tahoma"/>
            <family val="2"/>
          </rPr>
          <t>Parsons, Gavin [GIR]:</t>
        </r>
        <r>
          <rPr>
            <sz val="8"/>
            <color indexed="81"/>
            <rFont val="Tahoma"/>
            <family val="2"/>
          </rPr>
          <t xml:space="preserve">
jan 15: +DD</t>
        </r>
      </text>
    </comment>
    <comment ref="CK64" authorId="4" shapeId="0" xr:uid="{00000000-0006-0000-0600-00005D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may 19: double digit 2019-2021</t>
        </r>
      </text>
    </comment>
    <comment ref="CP64" authorId="7" shapeId="0" xr:uid="{00000000-0006-0000-0600-00005E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double digit through 2020
dec 17: same
may 19: double digit 2019-2021
4q19: L-MSD
1q20: withdrawn</t>
        </r>
      </text>
    </comment>
    <comment ref="CQ64" authorId="4" shapeId="0" xr:uid="{00000000-0006-0000-0600-00005F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may 19: double digit 2019-2021
1q20: withdrawn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sammun</author>
    <author>Porat, Matthew [GIR]</author>
    <author>Correa, Tais [GIR]</author>
    <author>Parsons, Gavin [GIR]</author>
    <author>Medart, Mason [GIR]</author>
  </authors>
  <commentList>
    <comment ref="AV68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3q11: not expecting working capital to increase in the qtr. </t>
        </r>
      </text>
    </comment>
    <comment ref="BV77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4q15: target &lt;2.5x</t>
        </r>
      </text>
    </comment>
    <comment ref="CA77" authorId="2" shapeId="0" xr:uid="{00000000-0006-0000-0700-000003000000}">
      <text>
        <r>
          <rPr>
            <b/>
            <sz val="9"/>
            <color indexed="81"/>
            <rFont val="Tahoma"/>
            <family val="2"/>
          </rPr>
          <t>Correa, Tais [GIR]:</t>
        </r>
        <r>
          <rPr>
            <sz val="9"/>
            <color indexed="81"/>
            <rFont val="Tahoma"/>
            <family val="2"/>
          </rPr>
          <t xml:space="preserve">
Dec 16: &lt;2.5X</t>
        </r>
      </text>
    </comment>
    <comment ref="CF77" authorId="1" shapeId="0" xr:uid="{00000000-0006-0000-0700-000004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Dec 17: &lt;2.5X</t>
        </r>
      </text>
    </comment>
    <comment ref="CK79" authorId="3" shapeId="0" xr:uid="{00000000-0006-0000-0700-000005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may 19: 1.5-2.0X target</t>
        </r>
      </text>
    </comment>
    <comment ref="CP79" authorId="3" shapeId="0" xr:uid="{00000000-0006-0000-0700-000006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4q19: 1.5-2.0X target
1q20: withdrawn</t>
        </r>
      </text>
    </comment>
    <comment ref="CG80" authorId="4" shapeId="0" xr:uid="{00000000-0006-0000-0700-000007000000}">
      <text>
        <r>
          <rPr>
            <b/>
            <sz val="9"/>
            <color indexed="81"/>
            <rFont val="Tahoma"/>
            <family val="2"/>
          </rPr>
          <t>Medart, Mason [GIR]:</t>
        </r>
        <r>
          <rPr>
            <sz val="9"/>
            <color indexed="81"/>
            <rFont val="Tahoma"/>
            <family val="2"/>
          </rPr>
          <t xml:space="preserve">
1q19: reduce to 1.5x-2.0x next few Qs</t>
        </r>
      </text>
    </comment>
    <comment ref="CS80" authorId="1" shapeId="0" xr:uid="{00000000-0006-0000-0700-000008000000}">
      <text>
        <r>
          <rPr>
            <b/>
            <sz val="9"/>
            <color indexed="81"/>
            <rFont val="Tahoma"/>
            <family val="2"/>
          </rPr>
          <t>Porat, Matthew [GIR]:</t>
        </r>
        <r>
          <rPr>
            <sz val="9"/>
            <color indexed="81"/>
            <rFont val="Tahoma"/>
            <family val="2"/>
          </rPr>
          <t xml:space="preserve">
4q18: LT objective is 1.5-2.0X</t>
        </r>
      </text>
    </comment>
    <comment ref="BQ85" authorId="3" shapeId="0" xr:uid="{00000000-0006-0000-0700-000009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jan 15: &gt;14% during capex rampup, then increases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krissa</author>
    <author>sammun</author>
    <author>shenzh</author>
    <author>Parsons, Gavin [GIR]</author>
  </authors>
  <commentList>
    <comment ref="C2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reported diluted EPS is 1.74, as the company has included effect of diluted securities of 6.198 mn in net income for calculating diluted EPS</t>
        </r>
      </text>
    </comment>
    <comment ref="D2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reported diluted EPS is 1.24, as the company has included effect of diluted securities of 6.226 mn in net income for calculating diluted EPS</t>
        </r>
      </text>
    </comment>
    <comment ref="F25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reported diluted EPS is 1.32 as the company has adjusted net income for affect of dilutive convertible securities by 6.2 mn</t>
        </r>
      </text>
    </comment>
    <comment ref="AU92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sammun:</t>
        </r>
        <r>
          <rPr>
            <sz val="8"/>
            <color indexed="81"/>
            <rFont val="Tahoma"/>
            <family val="2"/>
          </rPr>
          <t xml:space="preserve">
Pension curtailment</t>
        </r>
      </text>
    </comment>
    <comment ref="F104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sale of Bellingham aircraft interior business</t>
        </r>
      </text>
    </comment>
    <comment ref="AA125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rounding off error</t>
        </r>
      </text>
    </comment>
    <comment ref="AD12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rounding off error</t>
        </r>
      </text>
    </comment>
    <comment ref="X132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restated used for comparison</t>
        </r>
      </text>
    </comment>
    <comment ref="X133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restated used for comparison</t>
        </r>
      </text>
    </comment>
    <comment ref="C135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fibre and fabrics</t>
        </r>
      </text>
    </comment>
    <comment ref="X142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restated used for comparison</t>
        </r>
      </text>
    </comment>
    <comment ref="X143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restated used for comparison</t>
        </r>
      </text>
    </comment>
    <comment ref="C169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krissa: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R171" authorId="1" shapeId="0" xr:uid="{00000000-0006-0000-0200-00000E000000}">
      <text>
        <r>
          <rPr>
            <b/>
            <sz val="8"/>
            <color indexed="81"/>
            <rFont val="Tahoma"/>
            <family val="2"/>
          </rPr>
          <t>sammun:
france, spain, austria</t>
        </r>
      </text>
    </comment>
    <comment ref="BA192" authorId="2" shapeId="0" xr:uid="{00000000-0006-0000-0200-00000F000000}">
      <text>
        <r>
          <rPr>
            <b/>
            <sz val="9"/>
            <color indexed="81"/>
            <rFont val="Tahoma"/>
            <family val="2"/>
          </rPr>
          <t>shenzh:</t>
        </r>
        <r>
          <rPr>
            <sz val="9"/>
            <color indexed="81"/>
            <rFont val="Tahoma"/>
            <family val="2"/>
          </rPr>
          <t xml:space="preserve">
Dec 12 plan of $50mn</t>
        </r>
      </text>
    </comment>
    <comment ref="BE192" authorId="2" shapeId="0" xr:uid="{00000000-0006-0000-0200-000010000000}">
      <text>
        <r>
          <rPr>
            <b/>
            <sz val="9"/>
            <color indexed="81"/>
            <rFont val="Tahoma"/>
            <family val="2"/>
          </rPr>
          <t>shenzh:</t>
        </r>
        <r>
          <rPr>
            <sz val="9"/>
            <color indexed="81"/>
            <rFont val="Tahoma"/>
            <family val="2"/>
          </rPr>
          <t xml:space="preserve">
Jul 2013 plan for $150mn</t>
        </r>
      </text>
    </comment>
    <comment ref="B201" authorId="2" shapeId="0" xr:uid="{00000000-0006-0000-0200-000011000000}">
      <text>
        <r>
          <rPr>
            <b/>
            <sz val="9"/>
            <color indexed="81"/>
            <rFont val="Tahoma"/>
            <family val="2"/>
          </rPr>
          <t>shenzh:</t>
        </r>
        <r>
          <rPr>
            <sz val="9"/>
            <color indexed="81"/>
            <rFont val="Tahoma"/>
            <family val="2"/>
          </rPr>
          <t xml:space="preserve">
Net periodic pension expense </t>
        </r>
      </text>
    </comment>
    <comment ref="B213" authorId="3" shapeId="0" xr:uid="{00000000-0006-0000-0200-000012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deferred tax asset</t>
        </r>
      </text>
    </comment>
    <comment ref="BI213" authorId="3" shapeId="0" xr:uid="{00000000-0006-0000-0200-000013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not given</t>
        </r>
      </text>
    </comment>
    <comment ref="BJ213" authorId="3" shapeId="0" xr:uid="{00000000-0006-0000-0200-000014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not given</t>
        </r>
      </text>
    </comment>
    <comment ref="B219" authorId="3" shapeId="0" xr:uid="{00000000-0006-0000-0200-000015000000}">
      <text>
        <r>
          <rPr>
            <b/>
            <sz val="9"/>
            <color indexed="81"/>
            <rFont val="Tahoma"/>
            <family val="2"/>
          </rPr>
          <t>Parsons, Gavin [GIR]:</t>
        </r>
        <r>
          <rPr>
            <sz val="9"/>
            <color indexed="81"/>
            <rFont val="Tahoma"/>
            <family val="2"/>
          </rPr>
          <t xml:space="preserve">
stock-based compensation</t>
        </r>
      </text>
    </comment>
  </commentList>
</comments>
</file>

<file path=xl/sharedStrings.xml><?xml version="1.0" encoding="utf-8"?>
<sst xmlns="http://schemas.openxmlformats.org/spreadsheetml/2006/main" count="1730" uniqueCount="593">
  <si>
    <t>1Q04</t>
  </si>
  <si>
    <t>2Q04</t>
  </si>
  <si>
    <t>3Q04</t>
  </si>
  <si>
    <t>4Q04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</si>
  <si>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</si>
  <si>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</si>
  <si>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</si>
  <si>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</si>
  <si>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</si>
  <si>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</si>
  <si>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</si>
  <si>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</si>
  <si>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</si>
  <si>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</si>
  <si>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</si>
  <si>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</si>
  <si>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>1Q08</t>
  </si>
  <si>
    <t>2Q08</t>
  </si>
  <si>
    <t>3Q08</t>
  </si>
  <si>
    <t>4Q08</t>
  </si>
  <si>
    <t>1Q09</t>
  </si>
  <si>
    <t>2Q09</t>
  </si>
  <si>
    <t>3Q09</t>
  </si>
  <si>
    <t>4Q09</t>
  </si>
  <si>
    <t>Income Statement</t>
  </si>
  <si>
    <t>Income tax expense</t>
  </si>
  <si>
    <t>Net income, continuing ops.</t>
  </si>
  <si>
    <t>Discontinued ops. &amp; non recurring items</t>
  </si>
  <si>
    <t>Net income reported</t>
  </si>
  <si>
    <t>Basic EPS, continuing ops.</t>
  </si>
  <si>
    <t>Basic EPS, reported</t>
  </si>
  <si>
    <t>Diluted EPS, reported</t>
  </si>
  <si>
    <t>Basic</t>
  </si>
  <si>
    <t>Diluted</t>
  </si>
  <si>
    <t>Assets</t>
  </si>
  <si>
    <t>Cash and cash equivalents</t>
  </si>
  <si>
    <t>Accounts receivable, net</t>
  </si>
  <si>
    <t>Inventories, net</t>
  </si>
  <si>
    <t>Prepaid expenses and other current assets</t>
  </si>
  <si>
    <t>Total current assets</t>
  </si>
  <si>
    <t xml:space="preserve"> </t>
  </si>
  <si>
    <t>Net property, plant and equipment</t>
  </si>
  <si>
    <t>Goodwill and other intangible assets</t>
  </si>
  <si>
    <t>Investments in affiliated companies</t>
  </si>
  <si>
    <t>Deferred tax assets</t>
  </si>
  <si>
    <t>Other assets</t>
  </si>
  <si>
    <t>Total assets</t>
  </si>
  <si>
    <t>Accounts payable</t>
  </si>
  <si>
    <t>Accrued compensation and benefits</t>
  </si>
  <si>
    <t>Accrued interest</t>
  </si>
  <si>
    <t>Business consolidation and restructuring liabilities</t>
  </si>
  <si>
    <t>Other accrued liabilities</t>
  </si>
  <si>
    <t>Total current liabilities</t>
  </si>
  <si>
    <t>Long-term retirement obligations</t>
  </si>
  <si>
    <t>Other non-current liabilities</t>
  </si>
  <si>
    <t>Total liabilities</t>
  </si>
  <si>
    <t>Additional paid-in capital</t>
  </si>
  <si>
    <t>Retained earnings (Accumulated deficit)</t>
  </si>
  <si>
    <t>Accumulated other comprehensive (loss) income</t>
  </si>
  <si>
    <t>Total stockholders' equity</t>
  </si>
  <si>
    <t>Total liabilities and stockholders' equity</t>
  </si>
  <si>
    <t>Net income</t>
  </si>
  <si>
    <t>Net income from continuing operations</t>
  </si>
  <si>
    <t>Depreciation and amortization</t>
  </si>
  <si>
    <t>Deferred income taxes (benefit)</t>
  </si>
  <si>
    <t>Business consolidation and restructuring expenses</t>
  </si>
  <si>
    <t>Business consolidation and restructuring payments</t>
  </si>
  <si>
    <t>Loss on early retirement of debt</t>
  </si>
  <si>
    <t>Dividends from affiliated companies</t>
  </si>
  <si>
    <t>Share-based compensation</t>
  </si>
  <si>
    <t>Changes in assets and liabilities:</t>
  </si>
  <si>
    <t>Increase in accounts receivable</t>
  </si>
  <si>
    <t>Increase in inventories</t>
  </si>
  <si>
    <t>Other, net</t>
  </si>
  <si>
    <t>Insurance recoveries on property damage</t>
  </si>
  <si>
    <t>Net proceeds from sale of discontinued operations</t>
  </si>
  <si>
    <t>Repayments and redemption of long-term debt</t>
  </si>
  <si>
    <t>Activity under stock plans and other</t>
  </si>
  <si>
    <t>Net Sales</t>
  </si>
  <si>
    <t>Cost of sales</t>
  </si>
  <si>
    <t>Gross Profit</t>
  </si>
  <si>
    <t>Other Income (expense), Net</t>
  </si>
  <si>
    <t>EBIT</t>
  </si>
  <si>
    <t>Interest expense</t>
  </si>
  <si>
    <t>Other non-operating income (expense), net</t>
  </si>
  <si>
    <t>EBT</t>
  </si>
  <si>
    <t>Diluted EPS, continuing ops.</t>
  </si>
  <si>
    <t>SG&amp;A</t>
  </si>
  <si>
    <t>Research and development expense</t>
  </si>
  <si>
    <t>Common stock</t>
  </si>
  <si>
    <t>Composite Materials</t>
  </si>
  <si>
    <t>Engineered Products</t>
  </si>
  <si>
    <t>Corporate &amp; Other</t>
  </si>
  <si>
    <t>Total</t>
  </si>
  <si>
    <t>Commercial Aerospace</t>
  </si>
  <si>
    <t xml:space="preserve">Industrial </t>
  </si>
  <si>
    <t>Assets of discontinued operations</t>
  </si>
  <si>
    <t>Liabilities of discontinued operations</t>
  </si>
  <si>
    <t>Proceeds from the issuance of long-term debt</t>
  </si>
  <si>
    <t>Issuance costs related to debt and equity offerings</t>
  </si>
  <si>
    <t>Debt retirement costs</t>
  </si>
  <si>
    <t>Equity in earnings of affiliates</t>
  </si>
  <si>
    <t xml:space="preserve"> Composites </t>
  </si>
  <si>
    <t xml:space="preserve"> Reinforcements </t>
  </si>
  <si>
    <t xml:space="preserve"> Structures </t>
  </si>
  <si>
    <t>Electronics</t>
  </si>
  <si>
    <t>Proceeds from sale of assets</t>
  </si>
  <si>
    <t>Investment/dividends  in affiliated companies</t>
  </si>
  <si>
    <t>Others</t>
  </si>
  <si>
    <t>Space &amp; Defense</t>
  </si>
  <si>
    <t>Segment Data</t>
  </si>
  <si>
    <t>($ mn)</t>
  </si>
  <si>
    <t>Acquisitions</t>
  </si>
  <si>
    <t>Divestures</t>
  </si>
  <si>
    <t>Bellingham Bancorp - 4/00</t>
  </si>
  <si>
    <t>Acquired Revenue</t>
  </si>
  <si>
    <t>Divested Revenue</t>
  </si>
  <si>
    <t>Revenue</t>
  </si>
  <si>
    <t>Revenue Mix</t>
  </si>
  <si>
    <t>Organic Revenue Y/Y Growth</t>
  </si>
  <si>
    <t>Revenue Y/Y Growth</t>
  </si>
  <si>
    <t>Operating Income</t>
  </si>
  <si>
    <t>Operating Income Mix</t>
  </si>
  <si>
    <t>Operating Margin</t>
  </si>
  <si>
    <t>Operating Income Y/Y Growth</t>
  </si>
  <si>
    <t>Operating Income Q/Q growth</t>
  </si>
  <si>
    <t>($ mn, except per share data)</t>
  </si>
  <si>
    <t>Calculation of EBITDA</t>
  </si>
  <si>
    <t>D&amp;A</t>
  </si>
  <si>
    <t>EBITDA</t>
  </si>
  <si>
    <t>Margin analysis</t>
  </si>
  <si>
    <t>Gross margin</t>
  </si>
  <si>
    <t>R&amp;D</t>
  </si>
  <si>
    <t>EBITDA margin</t>
  </si>
  <si>
    <t>EBIT margin</t>
  </si>
  <si>
    <t>Effective tax rate</t>
  </si>
  <si>
    <t>Net margin</t>
  </si>
  <si>
    <t>Y/Y growth</t>
  </si>
  <si>
    <t>Diluted EPS, continuing</t>
  </si>
  <si>
    <t>Q/Q growth</t>
  </si>
  <si>
    <t>Balance Sheet</t>
  </si>
  <si>
    <t>Cash Flow</t>
  </si>
  <si>
    <t>Operating activities</t>
  </si>
  <si>
    <t>Capital structure</t>
  </si>
  <si>
    <t>Cash</t>
  </si>
  <si>
    <t>Cash per share</t>
  </si>
  <si>
    <t>Equity</t>
  </si>
  <si>
    <t>Debt</t>
  </si>
  <si>
    <t>Net debt</t>
  </si>
  <si>
    <t>Debt/capital</t>
  </si>
  <si>
    <t>Net debt/capital</t>
  </si>
  <si>
    <t>Working capital analysis</t>
  </si>
  <si>
    <t>Working capital</t>
  </si>
  <si>
    <t>Days sales outstanding (DSO)</t>
  </si>
  <si>
    <t>Days payable outstanding (DPO)</t>
  </si>
  <si>
    <t>Inventory turnover</t>
  </si>
  <si>
    <t>Days inventory</t>
  </si>
  <si>
    <t>Cash conversion (days)</t>
  </si>
  <si>
    <t>Asset turnover</t>
  </si>
  <si>
    <t>Liquidity</t>
  </si>
  <si>
    <t>Current ratio</t>
  </si>
  <si>
    <t>Interest coverage ratio</t>
  </si>
  <si>
    <t>Net debt/EBITDA</t>
  </si>
  <si>
    <t>Profitability</t>
  </si>
  <si>
    <t>Return on assets (ROA)</t>
  </si>
  <si>
    <t>CROCI</t>
  </si>
  <si>
    <t>Return on invested capital (ROIC)</t>
  </si>
  <si>
    <t>Return on equity (ROE)</t>
  </si>
  <si>
    <t>Cash from operations</t>
  </si>
  <si>
    <t>Capex</t>
  </si>
  <si>
    <t>Free cash flow</t>
  </si>
  <si>
    <t>FCF/NI</t>
  </si>
  <si>
    <t>Less: Treasury stock</t>
  </si>
  <si>
    <t>Dividends paid</t>
  </si>
  <si>
    <t>Total operating margin</t>
  </si>
  <si>
    <t>Liabilities and shareholder's equity</t>
  </si>
  <si>
    <t xml:space="preserve">Commitments and contingencies </t>
  </si>
  <si>
    <t>Increase in cash and cash equivalents</t>
  </si>
  <si>
    <t>Cash and cash equivalents - beginning of period</t>
  </si>
  <si>
    <t>Cash and cash equivalents - end of period</t>
  </si>
  <si>
    <t>Cash paid for business acquisitions</t>
  </si>
  <si>
    <t>Historical Segments</t>
  </si>
  <si>
    <t>Total acquired revenue</t>
  </si>
  <si>
    <t>Total divested revenue</t>
  </si>
  <si>
    <t>Revenue Q/Q Growth</t>
  </si>
  <si>
    <t>Seasonality</t>
  </si>
  <si>
    <t>Revenue (by end market)</t>
  </si>
  <si>
    <t>Geographical Breakdown</t>
  </si>
  <si>
    <t>Sales - % United States</t>
  </si>
  <si>
    <t>Sales - % Others</t>
  </si>
  <si>
    <t>Share buy back (No. of shares plan)</t>
  </si>
  <si>
    <t>$</t>
  </si>
  <si>
    <t>Shares</t>
  </si>
  <si>
    <t>Avg price</t>
  </si>
  <si>
    <t>Previous remaining authority</t>
  </si>
  <si>
    <t>Expired authority</t>
  </si>
  <si>
    <t>Added authority</t>
  </si>
  <si>
    <t>New remaining authority</t>
  </si>
  <si>
    <t>Dividends</t>
  </si>
  <si>
    <t>Dividend/share</t>
  </si>
  <si>
    <t>Pension</t>
  </si>
  <si>
    <t>Benefit obligation</t>
  </si>
  <si>
    <t>Fair value of plan assets</t>
  </si>
  <si>
    <t>Unfunded Pension status</t>
  </si>
  <si>
    <t>Adjustment to equity (Comprehensive Other Inc.)</t>
  </si>
  <si>
    <t>Stock compensation expense (pre-tax)</t>
  </si>
  <si>
    <t>Sales - % UK</t>
  </si>
  <si>
    <t>Revenue (by end market) Y/Y Growth</t>
  </si>
  <si>
    <t>1Q10</t>
  </si>
  <si>
    <t>2Q10</t>
  </si>
  <si>
    <t>3Q10</t>
  </si>
  <si>
    <t>4Q10</t>
  </si>
  <si>
    <t>1Q11</t>
  </si>
  <si>
    <t>2Q11</t>
  </si>
  <si>
    <t>3Q11</t>
  </si>
  <si>
    <t>4Q11</t>
  </si>
  <si>
    <t>2020E</t>
  </si>
  <si>
    <t>Pension Expense</t>
  </si>
  <si>
    <t>Pension Expense/Share</t>
  </si>
  <si>
    <t>Benefit plan adjustments to equity</t>
  </si>
  <si>
    <t>Pension-adjusted Equity</t>
  </si>
  <si>
    <t>Pension-adjusted Debt</t>
  </si>
  <si>
    <t>Sales - % Canada</t>
  </si>
  <si>
    <t>Sales - % Brazil</t>
  </si>
  <si>
    <t>Sales - % Other Americas</t>
  </si>
  <si>
    <t>Sales - Total % EMEA</t>
  </si>
  <si>
    <t>Sales - % Middle East</t>
  </si>
  <si>
    <t>Sales - % Russia</t>
  </si>
  <si>
    <t>Sales - % Other EMEA</t>
  </si>
  <si>
    <t>Sales - % Japan</t>
  </si>
  <si>
    <t>Sales - % India</t>
  </si>
  <si>
    <t>Sales -% Consumer (C)</t>
  </si>
  <si>
    <t>Sales -% Industry (I)</t>
  </si>
  <si>
    <t>Sales -% Government (G)</t>
  </si>
  <si>
    <t>Accumulated depreciation</t>
  </si>
  <si>
    <t>Net PP&amp;E</t>
  </si>
  <si>
    <t>Incremental Margin</t>
  </si>
  <si>
    <t>Common shares outstanding</t>
  </si>
  <si>
    <t xml:space="preserve">Common shares outstanding </t>
  </si>
  <si>
    <t>Notes payable and current maturities of debt</t>
  </si>
  <si>
    <t>Long-term notes payable and debt</t>
  </si>
  <si>
    <t>(Loss) income from discontinued operations</t>
  </si>
  <si>
    <t>Amortization of debt discount and deferred financing</t>
  </si>
  <si>
    <t>Equity in earnings and gain on sale of investments</t>
  </si>
  <si>
    <t>Excess tax benefits and other items</t>
  </si>
  <si>
    <t>Decrease in prepaid expenses and others</t>
  </si>
  <si>
    <t>Decrease in accounts payable and accrued</t>
  </si>
  <si>
    <t>Capital expenditures</t>
  </si>
  <si>
    <t>Proceeds from sale of an investment</t>
  </si>
  <si>
    <t>Repayments of capital lease obligations and other</t>
  </si>
  <si>
    <t>Cash provided by operating activities of disc ops.</t>
  </si>
  <si>
    <t>Cash from Financing</t>
  </si>
  <si>
    <t>Cash from Operations</t>
  </si>
  <si>
    <t>Cash from Investing</t>
  </si>
  <si>
    <t>Effect of exchange rate changes</t>
  </si>
  <si>
    <t>Liabilities and Shareholder's Equity</t>
  </si>
  <si>
    <t>(Inc) Decrease in prepaid expenses and others</t>
  </si>
  <si>
    <t>(Dec) Increase in accounts payable and accrued</t>
  </si>
  <si>
    <t>Decrease (Inc) in accounts receivable</t>
  </si>
  <si>
    <t>Decrease (Inc) in inventories</t>
  </si>
  <si>
    <t>HXL Segment Data</t>
  </si>
  <si>
    <t>HXL Income Statement</t>
  </si>
  <si>
    <t>HXL Cash Flow</t>
  </si>
  <si>
    <t>HXL Balance Sheet</t>
  </si>
  <si>
    <t>Sales - % Vestas</t>
  </si>
  <si>
    <t>Sales - % Boeing Aerospace</t>
  </si>
  <si>
    <t>Sales - % Boeing Defense</t>
  </si>
  <si>
    <t>Sales - % Airbus Aerospace</t>
  </si>
  <si>
    <t>Sales - % Airbus Defense</t>
  </si>
  <si>
    <t>Pension income (expense)</t>
  </si>
  <si>
    <t>Sales - % Central &amp; Eastern Europe</t>
  </si>
  <si>
    <t>Purchase of treasury stock</t>
  </si>
  <si>
    <t>Total segment margin</t>
  </si>
  <si>
    <t>Segment operating income</t>
  </si>
  <si>
    <t>HXL Build up</t>
  </si>
  <si>
    <t>Revenue Segment</t>
  </si>
  <si>
    <t>Revenue End Market</t>
  </si>
  <si>
    <t>Total corporate &amp; other</t>
  </si>
  <si>
    <t>Gross fixed assets</t>
  </si>
  <si>
    <t>Employees</t>
  </si>
  <si>
    <t>FCF/share</t>
  </si>
  <si>
    <t>Sales (%) SMB</t>
  </si>
  <si>
    <t>1Q12</t>
  </si>
  <si>
    <t>2Q12</t>
  </si>
  <si>
    <t>3Q12</t>
  </si>
  <si>
    <t>4Q12</t>
  </si>
  <si>
    <t>Sales - % RJBJ</t>
  </si>
  <si>
    <t>&lt; 10%</t>
  </si>
  <si>
    <t>Boeing Aircraft Build rates</t>
  </si>
  <si>
    <t>Airbus Aircraft Build rates</t>
  </si>
  <si>
    <t>A318</t>
  </si>
  <si>
    <t>A319</t>
  </si>
  <si>
    <t>A320</t>
  </si>
  <si>
    <t>A321</t>
  </si>
  <si>
    <t>A350</t>
  </si>
  <si>
    <t>A380</t>
  </si>
  <si>
    <t>yoy growth</t>
  </si>
  <si>
    <t>Total Commercial Aerospace</t>
  </si>
  <si>
    <t>Sales - % Austria</t>
  </si>
  <si>
    <t>Sales - % France</t>
  </si>
  <si>
    <t>Sales - % Germany</t>
  </si>
  <si>
    <t>Sales - % Spain</t>
  </si>
  <si>
    <t>Sales - Total % Asia (incl Australia &amp; New Zealand)</t>
  </si>
  <si>
    <t>Sales - % from Captive Financing Business</t>
  </si>
  <si>
    <t>Operating Earnings - % from Captive Financing Business</t>
  </si>
  <si>
    <t>Inter-Segment Mix</t>
  </si>
  <si>
    <t>End Market Mix</t>
  </si>
  <si>
    <t>Industrial</t>
  </si>
  <si>
    <t>1Q13</t>
  </si>
  <si>
    <t>2Q13</t>
  </si>
  <si>
    <t>3Q13</t>
  </si>
  <si>
    <t>4Q13</t>
  </si>
  <si>
    <t>1Q14</t>
  </si>
  <si>
    <t>2Q14</t>
  </si>
  <si>
    <t>3Q14</t>
  </si>
  <si>
    <t>4Q14</t>
  </si>
  <si>
    <t>2021E</t>
  </si>
  <si>
    <t>2022E</t>
  </si>
  <si>
    <t>ESO Expense and other</t>
  </si>
  <si>
    <t>Cash used for investing activities of disc ops.</t>
  </si>
  <si>
    <t>Commodities Exposure - Sales</t>
  </si>
  <si>
    <t>Commodities Exposure - Expense</t>
  </si>
  <si>
    <t>FX Exposure - Sales</t>
  </si>
  <si>
    <t>% of total cash balance held overseas (outside the US)</t>
  </si>
  <si>
    <t>Sales - % Other commodity</t>
  </si>
  <si>
    <t>Expense - % Oil/Petrol/Fuel</t>
  </si>
  <si>
    <t>Sales - % FX: British Pounds/Pence</t>
  </si>
  <si>
    <t>Sales - % Argentina</t>
  </si>
  <si>
    <t>Sales - % Chile</t>
  </si>
  <si>
    <t>Sales - % Colombia</t>
  </si>
  <si>
    <t>Sales - % Mexico</t>
  </si>
  <si>
    <t>Sales - % Venezuela</t>
  </si>
  <si>
    <t>Sales - % FX: Euro</t>
  </si>
  <si>
    <t>Sales - % Total Africa</t>
  </si>
  <si>
    <t>Sales - % FX: New Russian Ruble</t>
  </si>
  <si>
    <t>Sales - % FX: U.S. Dollar</t>
  </si>
  <si>
    <t>Sales - % FX: Brazilian Real</t>
  </si>
  <si>
    <t>Sales - % FX: Japanese Yen</t>
  </si>
  <si>
    <t>Sales - % FX: Chinese Renminbi</t>
  </si>
  <si>
    <t>Sales - % FX: Indian Rupee</t>
  </si>
  <si>
    <t>Sales - % FX: Canadian Dollar</t>
  </si>
  <si>
    <t>Sales - % FX: Mexican Peso</t>
  </si>
  <si>
    <t>Sales - % FX: Colombian Peso</t>
  </si>
  <si>
    <t>Sales - % FX: Argentine Peso</t>
  </si>
  <si>
    <t>Sales - % FX: Chilean Peso</t>
  </si>
  <si>
    <t>Sales - % FX: Venezuelan bolivar</t>
  </si>
  <si>
    <t>Expense - % Oil derivatives/NGLs/plastics</t>
  </si>
  <si>
    <t>Expense - % Nat Gas</t>
  </si>
  <si>
    <t>Expense - % Gold</t>
  </si>
  <si>
    <t>Expense - % Copper</t>
  </si>
  <si>
    <t>Expense - % Silver</t>
  </si>
  <si>
    <t>Expense - % Platinum</t>
  </si>
  <si>
    <t>Expense - % Palladium</t>
  </si>
  <si>
    <t>Expense - % Aluminium</t>
  </si>
  <si>
    <t>Expense - % Nickel</t>
  </si>
  <si>
    <t>Expense - % Zinc</t>
  </si>
  <si>
    <t>Expense - % Steel</t>
  </si>
  <si>
    <t>Expense - % Glass</t>
  </si>
  <si>
    <t>Expense - % Rubber</t>
  </si>
  <si>
    <t>Expense - % Water</t>
  </si>
  <si>
    <t>Expense - % Other commodity</t>
  </si>
  <si>
    <t>Sales - Total % Americas</t>
  </si>
  <si>
    <t>Sales - % Western Europe-Ex UK</t>
  </si>
  <si>
    <t>Sales - % China</t>
  </si>
  <si>
    <t>Sales - % Other Asia</t>
  </si>
  <si>
    <t>Sales - % Industry Sub-Segment: Financial Services</t>
  </si>
  <si>
    <t>Sales - % FX: Other Currency</t>
  </si>
  <si>
    <t>Sales - % Other (Non-Commodity) sales sources</t>
  </si>
  <si>
    <t>Expense - % Other (Non-Commodity) cost</t>
  </si>
  <si>
    <t>One time items</t>
  </si>
  <si>
    <t>Corporate</t>
  </si>
  <si>
    <t xml:space="preserve">Total </t>
  </si>
  <si>
    <t>Adjusted Operating Income</t>
  </si>
  <si>
    <t>Adjusted Operating Margin</t>
  </si>
  <si>
    <t>Net Operating Loss carry-forward</t>
  </si>
  <si>
    <t>Deferred Income Tax - Non-current asset</t>
  </si>
  <si>
    <t>Deferred Income Tax - Non-current liability</t>
  </si>
  <si>
    <t>Cash held overseas</t>
  </si>
  <si>
    <t>Investment/dividends in affiliated companies</t>
  </si>
  <si>
    <t>Cash Dividend/Share</t>
  </si>
  <si>
    <t>Dividend payout ratio</t>
  </si>
  <si>
    <t>Common stock dividends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</si>
  <si>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</si>
  <si>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</si>
  <si>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</si>
  <si>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</si>
  <si>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</si>
  <si>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</si>
  <si>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</si>
  <si>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</si>
  <si>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</si>
  <si>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</si>
  <si>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</si>
  <si>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</si>
  <si>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Formax - 1/16</t>
  </si>
  <si>
    <t>International Exposure - Sales, detailed</t>
  </si>
  <si>
    <t xml:space="preserve">   Canada</t>
  </si>
  <si>
    <t xml:space="preserve">   US</t>
  </si>
  <si>
    <t xml:space="preserve">   Other N.America</t>
  </si>
  <si>
    <t xml:space="preserve">   Argentina</t>
  </si>
  <si>
    <t xml:space="preserve">   Brazil</t>
  </si>
  <si>
    <t xml:space="preserve">   Chile</t>
  </si>
  <si>
    <t xml:space="preserve">   Colombia</t>
  </si>
  <si>
    <t xml:space="preserve">   Mexico</t>
  </si>
  <si>
    <t xml:space="preserve">   Venezuela</t>
  </si>
  <si>
    <t xml:space="preserve">   Other S.Americas</t>
  </si>
  <si>
    <t xml:space="preserve">   Austria</t>
  </si>
  <si>
    <t xml:space="preserve">   Belgium</t>
  </si>
  <si>
    <t xml:space="preserve">   France</t>
  </si>
  <si>
    <t xml:space="preserve">   Germany</t>
  </si>
  <si>
    <t xml:space="preserve">   Greece</t>
  </si>
  <si>
    <t xml:space="preserve">   Ireland</t>
  </si>
  <si>
    <t xml:space="preserve">   Italy</t>
  </si>
  <si>
    <t xml:space="preserve">   Netherlands</t>
  </si>
  <si>
    <t xml:space="preserve">   Norway</t>
  </si>
  <si>
    <t xml:space="preserve">   Portugal</t>
  </si>
  <si>
    <t xml:space="preserve">   Spain</t>
  </si>
  <si>
    <t xml:space="preserve">   Sweden</t>
  </si>
  <si>
    <t xml:space="preserve">   Switzerland</t>
  </si>
  <si>
    <t xml:space="preserve">   UK</t>
  </si>
  <si>
    <t xml:space="preserve">   Other W.Europe</t>
  </si>
  <si>
    <t xml:space="preserve">   Poland</t>
  </si>
  <si>
    <t xml:space="preserve">   Russia</t>
  </si>
  <si>
    <t xml:space="preserve">   Turkey</t>
  </si>
  <si>
    <t xml:space="preserve">   Other CEE</t>
  </si>
  <si>
    <t xml:space="preserve">   Saudi Arabia</t>
  </si>
  <si>
    <t xml:space="preserve">   UAE</t>
  </si>
  <si>
    <t xml:space="preserve">   Other Middle East</t>
  </si>
  <si>
    <t xml:space="preserve">   Nigeria</t>
  </si>
  <si>
    <t xml:space="preserve">   South Africa</t>
  </si>
  <si>
    <t xml:space="preserve">   Other Africa</t>
  </si>
  <si>
    <t xml:space="preserve">   Hong Kong</t>
  </si>
  <si>
    <t xml:space="preserve">   Japan</t>
  </si>
  <si>
    <t xml:space="preserve">   Singapore</t>
  </si>
  <si>
    <t xml:space="preserve">   South Korea</t>
  </si>
  <si>
    <t xml:space="preserve">   Taiwan</t>
  </si>
  <si>
    <t xml:space="preserve">   Other Developed Asia</t>
  </si>
  <si>
    <t xml:space="preserve">   China</t>
  </si>
  <si>
    <t xml:space="preserve">   India</t>
  </si>
  <si>
    <t xml:space="preserve">   Indonesia</t>
  </si>
  <si>
    <t xml:space="preserve">   Thailand</t>
  </si>
  <si>
    <t xml:space="preserve">   Other Emerging Asia</t>
  </si>
  <si>
    <t xml:space="preserve">   Australia</t>
  </si>
  <si>
    <t xml:space="preserve">   N.Zealand</t>
  </si>
  <si>
    <t>Sales - % Industry Sub-segment: Oil &amp; Gas End Market</t>
  </si>
  <si>
    <t>1Q18</t>
  </si>
  <si>
    <t>2Q18</t>
  </si>
  <si>
    <t>3Q18</t>
  </si>
  <si>
    <t>4Q18</t>
  </si>
  <si>
    <t>International Exposure - Expenses</t>
  </si>
  <si>
    <t>COGS, % from US</t>
  </si>
  <si>
    <t>COGS, % from Non-US</t>
  </si>
  <si>
    <t>SG&amp;A, % from US</t>
  </si>
  <si>
    <t>SG&amp;A, % from Non-US</t>
  </si>
  <si>
    <t>Debt - Geographical and Fixed / Floating exposure</t>
  </si>
  <si>
    <t>% of local currency debt with floating interest</t>
  </si>
  <si>
    <t>% of local currency floating debt with hedged rate</t>
  </si>
  <si>
    <t xml:space="preserve">  2020E</t>
  </si>
  <si>
    <t>Structil - 10/17</t>
  </si>
  <si>
    <t>1Q19</t>
  </si>
  <si>
    <t>2Q19</t>
  </si>
  <si>
    <t>3Q19</t>
  </si>
  <si>
    <t>4Q19</t>
  </si>
  <si>
    <t xml:space="preserve">  2021E</t>
  </si>
  <si>
    <t xml:space="preserve">  2022E</t>
  </si>
  <si>
    <t xml:space="preserve">  2023E</t>
  </si>
  <si>
    <t>1Q20</t>
  </si>
  <si>
    <t>2Q20</t>
  </si>
  <si>
    <t>3Q20</t>
  </si>
  <si>
    <t>4Q20</t>
  </si>
  <si>
    <t>2Q20E</t>
  </si>
  <si>
    <t>3Q20E</t>
  </si>
  <si>
    <t>4Q20E</t>
  </si>
  <si>
    <t>ARC Technologies - 1/19</t>
  </si>
  <si>
    <t>Repayments of senior credit facility</t>
  </si>
  <si>
    <t>737-700</t>
  </si>
  <si>
    <t>737-800</t>
  </si>
  <si>
    <t>737-900</t>
  </si>
  <si>
    <t>737-7 MAX</t>
  </si>
  <si>
    <t>737-8 MAX</t>
  </si>
  <si>
    <t>737-9 MAX</t>
  </si>
  <si>
    <t>737-10 MAX</t>
  </si>
  <si>
    <t>737-200 MAX</t>
  </si>
  <si>
    <t>Content  $</t>
  </si>
  <si>
    <t>Total 737</t>
  </si>
  <si>
    <t>Total 767</t>
  </si>
  <si>
    <t>777-200</t>
  </si>
  <si>
    <t>777-300</t>
  </si>
  <si>
    <t>777F</t>
  </si>
  <si>
    <t>777-8X</t>
  </si>
  <si>
    <t>777-9X</t>
  </si>
  <si>
    <t>Total 777</t>
  </si>
  <si>
    <t>787-8</t>
  </si>
  <si>
    <t>787-9</t>
  </si>
  <si>
    <t>787-10</t>
  </si>
  <si>
    <t>Total 787</t>
  </si>
  <si>
    <t>BBJ</t>
  </si>
  <si>
    <t>NG Content  $mn</t>
  </si>
  <si>
    <t>MAX Content  $mn</t>
  </si>
  <si>
    <t>777 Content  $</t>
  </si>
  <si>
    <t>777X Content  $</t>
  </si>
  <si>
    <t>Total Boeing</t>
  </si>
  <si>
    <t>Yoy change</t>
  </si>
  <si>
    <t>Total A350</t>
  </si>
  <si>
    <t>Total A380</t>
  </si>
  <si>
    <t>A330ceo</t>
  </si>
  <si>
    <t>A330neo</t>
  </si>
  <si>
    <t>Total A220</t>
  </si>
  <si>
    <t>Total 747</t>
  </si>
  <si>
    <t>MAX as a % of deliveries</t>
  </si>
  <si>
    <t>777X as a % of deliveries</t>
  </si>
  <si>
    <t>737 units</t>
  </si>
  <si>
    <t>747-8 units</t>
  </si>
  <si>
    <t>767 units</t>
  </si>
  <si>
    <t>777 units</t>
  </si>
  <si>
    <t>787 units</t>
  </si>
  <si>
    <t>A220 units</t>
  </si>
  <si>
    <t>Total Units</t>
  </si>
  <si>
    <t>Composite Mix</t>
  </si>
  <si>
    <t>Debt / EBITDA</t>
  </si>
  <si>
    <t>2023E</t>
  </si>
  <si>
    <t>Total Airbus</t>
  </si>
  <si>
    <t>True-up/timing plug</t>
  </si>
  <si>
    <t>737 rate</t>
  </si>
  <si>
    <t>777 rate</t>
  </si>
  <si>
    <t>787 rate</t>
  </si>
  <si>
    <t>A320 units</t>
  </si>
  <si>
    <t>A320 rate</t>
  </si>
  <si>
    <t>A350 rate</t>
  </si>
  <si>
    <t>A330neo Content  $</t>
  </si>
  <si>
    <t>A320neo units</t>
  </si>
  <si>
    <t>Total A320neo</t>
  </si>
  <si>
    <t>neo as a % of deliveries</t>
  </si>
  <si>
    <t>A320ceo units</t>
  </si>
  <si>
    <t>Total A320ceo</t>
  </si>
  <si>
    <t>A330ceo Content  $</t>
  </si>
  <si>
    <t>Total A330</t>
  </si>
  <si>
    <t>A330 rate</t>
  </si>
  <si>
    <t>Sales - % Europe (Other than UK)</t>
  </si>
  <si>
    <t>Price</t>
  </si>
  <si>
    <t>IRR</t>
  </si>
  <si>
    <t>Base</t>
  </si>
  <si>
    <t>Upside</t>
  </si>
  <si>
    <t>Downside</t>
  </si>
  <si>
    <t>Bull Case</t>
  </si>
  <si>
    <t>FY 2024</t>
  </si>
  <si>
    <t>Multiple</t>
  </si>
  <si>
    <t>Historic EV EBITDA</t>
  </si>
  <si>
    <t>Net Debt</t>
  </si>
  <si>
    <t>EV</t>
  </si>
  <si>
    <t>EV/EBITDA</t>
  </si>
  <si>
    <t>Shares Out</t>
  </si>
  <si>
    <t>FY 2023</t>
  </si>
  <si>
    <t>Implied P/L</t>
  </si>
  <si>
    <t>Buyback @ 3%</t>
  </si>
  <si>
    <t>Current Price</t>
  </si>
  <si>
    <t>($ millions)</t>
  </si>
  <si>
    <t>Neutral Rating Case</t>
  </si>
  <si>
    <t>Very Bear Case</t>
  </si>
  <si>
    <t>Conservative Base Case</t>
  </si>
  <si>
    <t>Adjusted Incremental Margin</t>
  </si>
  <si>
    <t>Adjusted EPS</t>
  </si>
  <si>
    <t>Adjustments to net income</t>
  </si>
  <si>
    <t>Book value price</t>
  </si>
  <si>
    <t>Shares Out. (MM)</t>
  </si>
  <si>
    <t>Market Cap</t>
  </si>
  <si>
    <t>Total Debt</t>
  </si>
  <si>
    <t>52 Wk. Range</t>
  </si>
  <si>
    <t>26.73 - 81</t>
  </si>
  <si>
    <t>PE (LTM)</t>
  </si>
  <si>
    <t>Enterprise Value</t>
  </si>
  <si>
    <t>Growth Rate</t>
  </si>
  <si>
    <t>Margin</t>
  </si>
  <si>
    <t>($ in millions)</t>
  </si>
  <si>
    <t>Amount</t>
  </si>
  <si>
    <t>Revolver ($1b Avail.)</t>
  </si>
  <si>
    <t>adj.</t>
  </si>
  <si>
    <t>$300m Senior Notes</t>
  </si>
  <si>
    <t>$400m Senior Notes</t>
  </si>
  <si>
    <t>Total Secured Debt</t>
  </si>
  <si>
    <t>Maturity</t>
  </si>
  <si>
    <t>Mkt. Val.</t>
  </si>
  <si>
    <t>Rate</t>
  </si>
  <si>
    <t>EBITDA Multiple</t>
  </si>
  <si>
    <t>Book</t>
  </si>
  <si>
    <t>Market</t>
  </si>
  <si>
    <t>LTM EBITDA as of 1Q 2020</t>
  </si>
  <si>
    <t>Less: Cash</t>
  </si>
  <si>
    <t>Credit Metrics</t>
  </si>
  <si>
    <t>Debt/Capital</t>
  </si>
  <si>
    <t>Net Debt/Capital</t>
  </si>
  <si>
    <t>Op. Margin</t>
  </si>
  <si>
    <t>Total Segment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</si>
</sst>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#,##0.0"/>
    <numFmt numFmtId="166" formatCode="0.0"/>
    <numFmt numFmtId="167" formatCode="_(* #,##0.0_);_(* \(#,##0.0\);_(* &quot;-&quot;??_);_(@_)"/>
    <numFmt numFmtId="168" formatCode="0.0%"/>
    <numFmt numFmtId="169" formatCode="0.0_);\(0.0\)"/>
    <numFmt numFmtId="170" formatCode="#,##0.0_);\(#,##0.0\)"/>
    <numFmt numFmtId="171" formatCode="0.000"/>
    <numFmt numFmtId="172" formatCode="0.00\x"/>
    <numFmt numFmtId="173" formatCode="_(* #,##0_);_(* \(#,##0\);_(* &quot;-&quot;??_);_(@_)"/>
    <numFmt numFmtId="174" formatCode="0_);\(0\)"/>
    <numFmt numFmtId="175" formatCode="0.0\x_);\(0.0\)"/>
    <numFmt numFmtId="176" formatCode="#,##0.0\x_);\(#,##0.0\x\)"/>
    <numFmt numFmtId="177" formatCode="&quot;$&quot;#,##0.0_);\(&quot;$&quot;#,##0.0\)"/>
    <numFmt numFmtId="178" formatCode="#,##0_);\(#,##0\);_(&quot;-&quot;_)"/>
    <numFmt numFmtId="179" formatCode="0.0\x"/>
    <numFmt numFmtId="180" formatCode="&quot;$&quot;#,##0.000_);\(&quot;$&quot;#,##0.000\)"/>
    <numFmt numFmtId="181" formatCode="&quot;$&quot;#,##0.0_);[Red]\(&quot;$&quot;#,##0.0\)"/>
    <numFmt numFmtId="182" formatCode="0.0_)\%;\(0.0\)\%;0.0_)\%;@_)_%"/>
    <numFmt numFmtId="183" formatCode="#,##0.0_)_%;\(#,##0.0\)_%;0.0_)_%;@_)_%"/>
    <numFmt numFmtId="184" formatCode="#,##0.0_);\(#,##0.0\);#,##0.0_);@_)"/>
    <numFmt numFmtId="185" formatCode="&quot;$&quot;_(#,##0.00_);&quot;$&quot;\(#,##0.00\)"/>
    <numFmt numFmtId="186" formatCode="&quot;$&quot;_(#,##0.00_);&quot;$&quot;\(#,##0.00\);&quot;$&quot;_(0.00_);@_)"/>
    <numFmt numFmtId="187" formatCode="#,##0.00_);\(#,##0.00\);0.00_);@_)"/>
    <numFmt numFmtId="188" formatCode="\€_(#,##0.00_);\€\(#,##0.00\);\€_(0.00_);@_)"/>
    <numFmt numFmtId="189" formatCode="#,##0.0_)\x;\(#,##0.0\)\x"/>
    <numFmt numFmtId="190" formatCode="#,##0_)\x;\(#,##0\)\x;0_)\x;@_)_x"/>
    <numFmt numFmtId="191" formatCode="#,##0.0_)\x;\(#,##0.0\)\x;0.0_)\x;@_)_x"/>
    <numFmt numFmtId="192" formatCode="#,##0.0_)_x;\(#,##0.0\)_x"/>
    <numFmt numFmtId="193" formatCode="#,##0_)_x;\(#,##0\)_x;0_)_x;@_)_x"/>
    <numFmt numFmtId="194" formatCode="#,##0.0_)_x;\(#,##0.0\)_x;0.0_)_x;@_)_x"/>
    <numFmt numFmtId="195" formatCode="0.0_)\%;\(0.0\)\%"/>
    <numFmt numFmtId="196" formatCode="#,##0.0_)_%;\(#,##0.0\)_%"/>
    <numFmt numFmtId="197" formatCode="#,##0;\(#,##0\)"/>
    <numFmt numFmtId="198" formatCode="0\A"/>
    <numFmt numFmtId="199" formatCode="0.00_)"/>
    <numFmt numFmtId="200" formatCode="0\p"/>
    <numFmt numFmtId="201" formatCode="\$0.00;\(\$0.00\)"/>
    <numFmt numFmtId="202" formatCode="0.0&quot;  &quot;"/>
    <numFmt numFmtId="203" formatCode="_-* #,##0_-;\(#,##0\);_-* &quot;–&quot;_-;_-@_-"/>
    <numFmt numFmtId="204" formatCode="#,##0.00;;;[White]General"/>
    <numFmt numFmtId="205" formatCode="_(* #,##0.00000_);_(* \(#,##0.00000\);_(* &quot;-&quot;??_);_(@_)"/>
    <numFmt numFmtId="206" formatCode="#,##0.000_);[Red]\(#,##0.000\)"/>
    <numFmt numFmtId="207" formatCode="&quot;$&quot;0.0"/>
    <numFmt numFmtId="208" formatCode="#,##0;\(#,##0\);\–;@"/>
    <numFmt numFmtId="209" formatCode="_(&quot;CHF&quot;* #,##0.0_);_(&quot;CHF&quot;* \(#,##0.0\);_(&quot;CHF&quot;* &quot;-&quot;??_);_(@_)"/>
    <numFmt numFmtId="210" formatCode="&quot;$&quot;#,##0.00"/>
    <numFmt numFmtId="211" formatCode="#,##0.00\x_);\(#,##0.00\x\);_(&quot;-&quot;_)"/>
    <numFmt numFmtId="212" formatCode="#,##0.00\x_);\(#,##0.00\x\)"/>
    <numFmt numFmtId="213" formatCode="#,##0_);\(#,##0\);_(&quot;-&quot;_);"/>
    <numFmt numFmtId="214" formatCode="#,##0.000_);\(#,##0.000\)"/>
    <numFmt numFmtId="215" formatCode="&quot;£&quot;_(#,##0.00_);&quot;£&quot;\(#,##0.00\);&quot;£&quot;_(0.00_);@_)"/>
    <numFmt numFmtId="216" formatCode="0.0;\(0.0\)"/>
    <numFmt numFmtId="217" formatCode="#,##0.00000;\(#,##0.00000\)"/>
    <numFmt numFmtId="218" formatCode="&quot;£&quot;0.00\b\n"/>
    <numFmt numFmtId="219" formatCode="#,##0.0;\-#,##0.0"/>
    <numFmt numFmtId="220" formatCode="0.00;\(0.00\)"/>
    <numFmt numFmtId="221" formatCode="_-* #,##0.000_-;\-* #,##0.000_-;_-* &quot;-&quot;??_-;_-@_-"/>
    <numFmt numFmtId="222" formatCode="#,##0.000"/>
    <numFmt numFmtId="223" formatCode="yyyy"/>
    <numFmt numFmtId="224" formatCode="#,##0.0_);[Red]\(#,##0.0\)"/>
    <numFmt numFmtId="225" formatCode="&quot;$&quot;#\ ??/??"/>
    <numFmt numFmtId="226" formatCode="0.000_)"/>
    <numFmt numFmtId="227" formatCode="\¥#,##0.00_);\(\¥#,##0.00\)"/>
    <numFmt numFmtId="228" formatCode="\£#,##0.00_);\(\£#,##0.00\)"/>
    <numFmt numFmtId="229" formatCode="\A\ &quot;$&quot;#,##0.00\ ;\(\A\ &quot;$&quot;#,##0.00\)"/>
    <numFmt numFmtId="230" formatCode="\F\F\r\ \ #,##0.00_);\F\F\r\ \ \(#,##0.00\)"/>
    <numFmt numFmtId="231" formatCode="&quot;$&quot;#,##0.000\ ;\(&quot;$&quot;#,##0.000\)"/>
    <numFmt numFmtId="232" formatCode="#,##0.0\x"/>
    <numFmt numFmtId="233" formatCode="#,##0.0\A"/>
    <numFmt numFmtId="234" formatCode="_(* #,##0_);_(* \(#,##0\);_(* &quot;----&quot;_);_(@_)"/>
    <numFmt numFmtId="235" formatCode="_(* #,##0.00_);_(* \(#,##0.00\);_(* &quot;-----&quot;_);_(@_)"/>
    <numFmt numFmtId="236" formatCode="_(* #,##0.00_);_(* \(#,##0.00\);_(* &quot;---&quot;_);_(@_)"/>
    <numFmt numFmtId="237" formatCode="_(* #,##0.0_);_(* \(#,##0.0\);_(* &quot;----&quot;_);_(@_)"/>
    <numFmt numFmtId="238" formatCode="0.0\x_)_);&quot;NM&quot;_x_)_);0.0\x_)_);@_%_)"/>
    <numFmt numFmtId="239" formatCode="0.00%;\(0.00%\)"/>
    <numFmt numFmtId="240" formatCode="0.0%_);[Red]\(0.0%\)"/>
    <numFmt numFmtId="241" formatCode="_([$€-2]* #,##0.00_);_([$€-2]* \(#,##0.00\);_([$€-2]* &quot;-&quot;??_)"/>
    <numFmt numFmtId="242" formatCode="0.0%_);\(0.0%\)"/>
    <numFmt numFmtId="243" formatCode="&quot;$&quot;#,##0.00&quot;A&quot;;[Red]\(&quot;$&quot;#,##0.00\)&quot;A&quot;"/>
    <numFmt numFmtId="244" formatCode="&quot;$&quot;#,##0.00&quot;E&quot;;[Red]\(&quot;$&quot;#,##0.00\)&quot;E&quot;"/>
    <numFmt numFmtId="245" formatCode="#,##0.0;[Red]\(#,##0.0\)"/>
    <numFmt numFmtId="246" formatCode="#,##0.0___);\(#,##0.0__\)"/>
    <numFmt numFmtId="247" formatCode="#,##0;[Red]\(#,##0\);&quot;-&quot;"/>
    <numFmt numFmtId="248" formatCode="#,##0.0;\(#,##0.0\);&quot;-&quot;"/>
    <numFmt numFmtId="249" formatCode="#,##0.00;\(#,##0.00\);&quot;-&quot;"/>
    <numFmt numFmtId="250" formatCode="#,##0.000;\(#,##0.000\);&quot;-&quot;"/>
    <numFmt numFmtId="251" formatCode="&quot;$&quot;#,##0;[Red]\ &quot;$&quot;\(#,##0\);&quot;-&quot;"/>
    <numFmt numFmtId="252" formatCode="&quot;$&quot;#,##0.0;\(&quot;$&quot;#,##0.0\);&quot;-&quot;"/>
    <numFmt numFmtId="253" formatCode="&quot;$&quot;#,##0.00;\(&quot;$&quot;#,##0.00\);&quot;-&quot;"/>
    <numFmt numFmtId="254" formatCode="&quot;$&quot;#,##0.00_)\ \ ;\(&quot;$&quot;#,##0.00\)\ \ "/>
    <numFmt numFmtId="255" formatCode="#,##0.0&quot; days&quot;;[Red]\(#,##0.0&quot; days&quot;\);&quot;-&quot;"/>
    <numFmt numFmtId="256" formatCode="0&quot;E&quot;"/>
    <numFmt numFmtId="257" formatCode="#,##0;[Red]\(#,##0\)"/>
    <numFmt numFmtId="258" formatCode="&quot;$&quot;#,##0.0_%_);\(&quot;$&quot;#,##0.0\)_%"/>
    <numFmt numFmtId="259" formatCode="&quot;$&quot;#,##0.00_%_);\(&quot;$&quot;#,##0.00\)_%"/>
    <numFmt numFmtId="260" formatCode="0.0\x_)_);&quot;NM    &quot;;0.0\x_)_)"/>
    <numFmt numFmtId="261" formatCode="&quot;$&quot;#,##0.0_)\ \ ;\(&quot;$&quot;#,##0.0\)\ \ "/>
    <numFmt numFmtId="262" formatCode="#,##0.00_);\(&quot;$&quot;#,##0.00\)"/>
    <numFmt numFmtId="263" formatCode="0.0\ \x\ \ \ \ ;&quot;NM      &quot;;\ 0.0\ \x\ \ \ \ "/>
    <numFmt numFmtId="264" formatCode="0.0%_)\ \ ;\(0.0%\)\ \ "/>
    <numFmt numFmtId="265" formatCode="#,##0\ &quot;DM&quot;;\-#,##0\ &quot;DM&quot;"/>
    <numFmt numFmtId="266" formatCode="#,##0\ &quot;DM&quot;;[Red]\-#,##0\ &quot;DM&quot;"/>
    <numFmt numFmtId="267" formatCode="#,##0.0\x;[Red]\(#,##0.0\x\);&quot;-&quot;"/>
    <numFmt numFmtId="268" formatCode="#,##0.0___);\(#,##0.0\)__\)"/>
    <numFmt numFmtId="269" formatCode="#,##0.00_)\ \ ;\(#,##0.00\)\ \ "/>
    <numFmt numFmtId="270" formatCode="#,##0.0%;\(#,##0.0%\)"/>
    <numFmt numFmtId="271" formatCode="#,##0.000%;[Red]\(#,##0.000%\);&quot;-&quot;"/>
    <numFmt numFmtId="272" formatCode="#,##0.0_)\ \ ;\(#,##0.0\)\ \ "/>
    <numFmt numFmtId="273" formatCode="#,##0.0_%_);\(#,##0.0\)_%"/>
    <numFmt numFmtId="274" formatCode="#,##0.000;[Red]\(#,##0.000\)"/>
    <numFmt numFmtId="275" formatCode="0.0\ \ \ ;\(0.0\)\ \ \ "/>
    <numFmt numFmtId="276" formatCode="0.0%;[Red]\-0.0%"/>
    <numFmt numFmtId="277" formatCode="#,##0.0&quot; years &quot;;\(#,##0.0&quot; years &quot;\);&quot;-&quot;"/>
    <numFmt numFmtId="278" formatCode="#,##0.0\ ;\(#,##0.0\)"/>
    <numFmt numFmtId="279" formatCode="0.0_)"/>
    <numFmt numFmtId="280" formatCode="\C&quot;$&quot;\ #,##0.00_);\C&quot;$&quot;\ \(#,##0.00\);\C&quot;$&quot;\ 0.00_)"/>
    <numFmt numFmtId="281" formatCode="0.0\x_);[Red]\(0.0\x\)"/>
    <numFmt numFmtId="282" formatCode="&quot;$&quot;#,##0\ ;\(&quot;$&quot;#,##0\)"/>
    <numFmt numFmtId="283" formatCode="#,##0.0\%_);\(#,##0.0\%\);#,##0.0\%_);@_)"/>
    <numFmt numFmtId="284" formatCode="_(* #,##0.0%;_(* #,##0.0%"/>
    <numFmt numFmtId="285" formatCode="#,##0.00&quot; F&quot;_);[Red]\(#,##0.00&quot; F&quot;\)"/>
    <numFmt numFmtId="286" formatCode="#,##0;[Red]#,##0"/>
    <numFmt numFmtId="287" formatCode="yyyy&quot;-&quot;m&quot;-&quot;d"/>
    <numFmt numFmtId="288" formatCode="yy&quot;/&quot;m&quot;/&quot;d"/>
    <numFmt numFmtId="289" formatCode="yyyy&quot;년&quot;\ m&quot;월&quot;"/>
    <numFmt numFmtId="290" formatCode="_(* #,##0.00_);_(* &quot;?&quot;&quot;?&quot;&quot;?&quot;&quot;?&quot;&quot;?&quot;&quot;?&quot;&quot;?&quot;&quot;?&quot;\(#,##0.00&quot;?&quot;&quot;?&quot;&quot;?&quot;&quot;?&quot;&quot;?&quot;&quot;?&quot;&quot;?&quot;&quot;?&quot;\);_(* &quot;-&quot;??_);_(@_)"/>
    <numFmt numFmtId="291" formatCode="_-&quot;?* #,##0_-;&quot;&quot;?&quot;&quot;?&quot;&quot;?&quot;&quot;?&quot;&quot;?&quot;&quot;?&quot;&quot;?&quot;\-&quot;?* #,##0_-;_-&quot;&quot;?&quot;* &quot;-&quot;_-;_-@_-"/>
    <numFmt numFmtId="292" formatCode="_-&quot;?* #,##0.00_-;&quot;&quot;?&quot;&quot;?&quot;&quot;?&quot;&quot;?&quot;&quot;?&quot;&quot;?&quot;&quot;?&quot;\-&quot;?* #,##0.00_-;_-&quot;&quot;?&quot;* &quot;-&quot;??_-;_-@_-"/>
    <numFmt numFmtId="293" formatCode="#,##0.0_);&quot;?&quot;&quot;?&quot;&quot;?&quot;&quot;?&quot;&quot;?&quot;&quot;?&quot;&quot;?&quot;&quot;?&quot;\(#,##0.0&quot;?&quot;&quot;?&quot;&quot;?&quot;&quot;?&quot;&quot;?&quot;&quot;?&quot;&quot;?&quot;&quot;?&quot;\)"/>
    <numFmt numFmtId="294" formatCode="#,###,##0"/>
    <numFmt numFmtId="295" formatCode="_(&quot;$&quot;#,##0_)&quot;millions&quot;;\(&quot;$&quot;#,##0\)&quot; millions&quot;"/>
    <numFmt numFmtId="296" formatCode="&quot;$&quot;#,##0.00_)\ \ \ ;\(&quot;$&quot;#,##0.00\)\ \ \ "/>
    <numFmt numFmtId="297" formatCode="&quot;$&quot;#,##0.00&quot;*&quot;\ \ ;\(&quot;$&quot;#,##0.00\)&quot;*&quot;\ \ "/>
    <numFmt numFmtId="298" formatCode="&quot;$&quot;#,##0.00\A_)\ ;\(&quot;$&quot;#,##0.00\A\)\ \ "/>
    <numFmt numFmtId="299" formatCode="@\ \ \ \ \ "/>
    <numFmt numFmtId="300" formatCode="&quot;$&quot;#,##0.00\A\ \ \ \ ;\(&quot;$&quot;#,##0.00\A\)\ \ \ \ "/>
    <numFmt numFmtId="301" formatCode="&quot;$&quot;#,##0.00&quot;E&quot;\ \ \ \ ;\(&quot;$&quot;#,##0.00&quot;E&quot;\)\ \ \ \ "/>
    <numFmt numFmtId="302" formatCode="#,##0.00\A\ \ \ \ ;\(#,##0.00\A\)\ \ \ \ "/>
    <numFmt numFmtId="303" formatCode="#,##0.00&quot;E&quot;\ \ \ \ ;\(#,##0.00&quot;E&quot;\)\ \ \ \ "/>
    <numFmt numFmtId="304" formatCode="&quot;$&quot;#,##0.00_)\ \ \ \ \ ;\(&quot;$&quot;#,##0.00\)\ \ \ \ \ "/>
    <numFmt numFmtId="305" formatCode="0%\ \ \ \ \ \ \ "/>
    <numFmt numFmtId="306" formatCode="&quot;$&quot;#,##0\ &quot;MM&quot;;\(&quot;$&quot;#,##0.00\ &quot;MM&quot;\)"/>
    <numFmt numFmtId="307" formatCode="_(&quot;$&quot;* #,##0_)\ &quot;millions&quot;;_(&quot;$&quot;* \(#,##0\)&quot; millions&quot;"/>
    <numFmt numFmtId="308" formatCode="0.0\ "/>
    <numFmt numFmtId="309" formatCode="0.0%\ \ \ \ \ "/>
    <numFmt numFmtId="310" formatCode="0.00\ \ \ \ "/>
    <numFmt numFmtId="311" formatCode="@\ "/>
    <numFmt numFmtId="312" formatCode="&quot;$&quot;@"/>
    <numFmt numFmtId="313" formatCode="0\ &quot;bps&quot;"/>
    <numFmt numFmtId="314" formatCode="&quot;$&quot;#,##0"/>
    <numFmt numFmtId="315" formatCode="_([$$-409]* #,##0.00_);_([$$-409]* \(#,##0.00\);_([$$-409]* &quot;-&quot;??_);_(@_)"/>
    <numFmt numFmtId="316" formatCode="[$$-409]#,##0_);\([$$-409]#,##0\)"/>
    <numFmt numFmtId="317" formatCode="[$$-409]#,##0.00_);\([$$-409]#,##0.00\)"/>
    <numFmt numFmtId="318" formatCode="0.0%_);\(0.0%\);&quot;–&quot;_)"/>
    <numFmt numFmtId="319" formatCode="&quot;$&quot;#,##0_);\(&quot;$&quot;#,##0\);\–_);&quot;–&quot;_)"/>
    <numFmt numFmtId="320" formatCode="#,##0_);\(#,##0\);\–_);&quot;–&quot;_)"/>
    <numFmt numFmtId="321" formatCode="\L\+0"/>
    <numFmt numFmtId="322" formatCode="#,##0.0_);\(#,##0.0\);\–_);&quot;–&quot;_)"/>
    <numFmt numFmtId="323" formatCode="m/d/yy;@"/>
    <numFmt numFmtId="324" formatCode="_(0.00&quot;%&quot;_);\(0.00&quot;%&quot;\);_(&quot;–&quot;_)_%;@_)_%"/>
    <numFmt numFmtId="325" formatCode="0.0\x_);\(0.0\x\);&quot;–&quot;_)"/>
    <numFmt numFmtId="326" formatCode="&quot;$&quot;#,##0.0_);\(&quot;$&quot;#,##0.0\);\–_);&quot;–&quot;_)"/>
    <numFmt numFmtId="327" formatCode="0000&quot;E&quot;"/>
    <numFmt numFmtId="328" formatCode="0000"/>
    <numFmt numFmtId="329" formatCode="0%_);\(0%\);&quot;–&quot;_)"/>
    <numFmt numFmtId="330" formatCode="_(&quot;$&quot;#,##0.0_)_%;_(\(&quot;$&quot;#,##0.0\)_%;_(&quot;–&quot;_)_%;@_(_%"/>
    <numFmt numFmtId="331" formatCode="_(&quot;$&quot;#,##0_)_%;_(\(&quot;$&quot;#,##0\)_%;_(&quot;–&quot;_)_%;@_(_%"/>
  </numFmts>
  <fonts count="279">
    <font>
      <sz val="9"/>
      <name val="Arial"/>
    </font>
    <font>
      <sz val="11"/>
      <color theme="1"/>
      <name val="Univers LT Std 55"/>
      <family val="2"/>
      <scheme val="minor"/>
    </font>
    <font>
      <sz val="11"/>
      <color theme="1"/>
      <name val="Univers LT Std 55"/>
      <family val="2"/>
      <scheme val="minor"/>
    </font>
    <font>
      <sz val="11"/>
      <color theme="1"/>
      <name val="Univers LT Std 55"/>
      <family val="2"/>
      <scheme val="minor"/>
    </font>
    <font>
      <sz val="11"/>
      <color theme="1"/>
      <name val="Univers LT Std 55"/>
      <family val="2"/>
      <scheme val="minor"/>
    </font>
    <font>
      <sz val="11"/>
      <color theme="1"/>
      <name val="Univers LT Std 55"/>
      <family val="2"/>
      <scheme val="minor"/>
    </font>
    <font>
      <sz val="11"/>
      <color theme="1"/>
      <name val="Univers LT Std 55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9"/>
      <name val="Arial"/>
      <family val="2"/>
    </font>
    <font>
      <i/>
      <sz val="10"/>
      <color indexed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Helvetica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name val="Helvetica"/>
      <family val="2"/>
    </font>
    <font>
      <i/>
      <sz val="8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sz val="9"/>
      <color indexed="16"/>
      <name val="Arial"/>
      <family val="2"/>
    </font>
    <font>
      <sz val="9"/>
      <color indexed="12"/>
      <name val="Arial"/>
      <family val="2"/>
    </font>
    <font>
      <b/>
      <sz val="10"/>
      <color indexed="9"/>
      <name val="Arial"/>
      <family val="2"/>
    </font>
    <font>
      <b/>
      <sz val="9"/>
      <color indexed="12"/>
      <name val="Arial"/>
      <family val="2"/>
    </font>
    <font>
      <i/>
      <sz val="9"/>
      <name val="Arial"/>
      <family val="2"/>
    </font>
    <font>
      <sz val="10"/>
      <name val="GS TheSans"/>
      <family val="2"/>
    </font>
    <font>
      <sz val="8"/>
      <name val="Tahoma"/>
      <family val="2"/>
    </font>
    <font>
      <b/>
      <sz val="10"/>
      <name val="MS Sans Serif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name val="Times"/>
      <family val="1"/>
    </font>
    <font>
      <b/>
      <sz val="12"/>
      <name val="Tms Rmn"/>
    </font>
    <font>
      <sz val="9"/>
      <color indexed="9"/>
      <name val="Times New Roman"/>
      <family val="1"/>
    </font>
    <font>
      <sz val="8"/>
      <color indexed="12"/>
      <name val="Tms Rmn"/>
    </font>
    <font>
      <b/>
      <i/>
      <sz val="8"/>
      <name val="Arial"/>
      <family val="2"/>
    </font>
    <font>
      <b/>
      <sz val="10"/>
      <name val="Bookman"/>
      <family val="1"/>
    </font>
    <font>
      <b/>
      <sz val="24"/>
      <name val="Times New Roman"/>
      <family val="1"/>
    </font>
    <font>
      <b/>
      <sz val="14"/>
      <name val="Book Antiqua"/>
      <family val="1"/>
    </font>
    <font>
      <sz val="11"/>
      <color indexed="12"/>
      <name val="Book Antiqua"/>
      <family val="1"/>
    </font>
    <font>
      <b/>
      <u/>
      <sz val="7"/>
      <name val="Helvetica"/>
      <family val="2"/>
    </font>
    <font>
      <sz val="9"/>
      <name val="Times New Roman"/>
      <family val="1"/>
    </font>
    <font>
      <sz val="10"/>
      <name val="Book Antiqua"/>
      <family val="1"/>
    </font>
    <font>
      <sz val="7"/>
      <name val="Arial"/>
      <family val="2"/>
    </font>
    <font>
      <b/>
      <sz val="8.5"/>
      <color indexed="1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8"/>
      <name val="Book Antiqua"/>
      <family val="1"/>
    </font>
    <font>
      <sz val="10"/>
      <name val="MS Sans Serif"/>
      <family val="2"/>
    </font>
    <font>
      <b/>
      <sz val="10"/>
      <name val="Palatino"/>
      <family val="1"/>
    </font>
    <font>
      <b/>
      <sz val="14"/>
      <name val="Arial"/>
      <family val="2"/>
    </font>
    <font>
      <sz val="8"/>
      <name val="Book Antiqua"/>
      <family val="1"/>
    </font>
    <font>
      <i/>
      <sz val="7"/>
      <name val="Book Antiqua"/>
      <family val="1"/>
    </font>
    <font>
      <sz val="8"/>
      <color indexed="9"/>
      <name val="Arial"/>
      <family val="2"/>
    </font>
    <font>
      <b/>
      <i/>
      <sz val="16"/>
      <name val="Helv"/>
    </font>
    <font>
      <sz val="10"/>
      <color indexed="72"/>
      <name val="System"/>
      <family val="2"/>
    </font>
    <font>
      <b/>
      <sz val="14"/>
      <name val="Times New Roman"/>
      <family val="1"/>
    </font>
    <font>
      <sz val="10"/>
      <name val="Palatino"/>
      <family val="1"/>
    </font>
    <font>
      <sz val="8"/>
      <name val="Helv"/>
      <family val="2"/>
    </font>
    <font>
      <sz val="10"/>
      <name val="Times New Roman"/>
      <family val="1"/>
    </font>
    <font>
      <sz val="8"/>
      <name val="Helv"/>
    </font>
    <font>
      <sz val="12"/>
      <name val="Helvetica"/>
      <family val="2"/>
    </font>
    <font>
      <b/>
      <sz val="14"/>
      <name val="Bookman"/>
      <family val="1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12"/>
      <color indexed="16"/>
      <name val="Arial"/>
      <family val="2"/>
    </font>
    <font>
      <sz val="7"/>
      <name val="Times New Roman"/>
      <family val="1"/>
    </font>
    <font>
      <b/>
      <u/>
      <sz val="9"/>
      <name val="Arial"/>
      <family val="2"/>
    </font>
    <font>
      <b/>
      <u/>
      <sz val="14"/>
      <name val="Book Antiqua"/>
      <family val="1"/>
    </font>
    <font>
      <b/>
      <sz val="10"/>
      <name val="Book Antiqua"/>
      <family val="1"/>
    </font>
    <font>
      <b/>
      <sz val="7"/>
      <name val="Arial"/>
      <family val="2"/>
    </font>
    <font>
      <b/>
      <sz val="10"/>
      <name val="Times New Roman"/>
      <family val="1"/>
    </font>
    <font>
      <u/>
      <sz val="9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Helvetica"/>
      <family val="2"/>
    </font>
    <font>
      <u/>
      <sz val="11"/>
      <color theme="10"/>
      <name val="Univers LT Std 55"/>
      <family val="2"/>
    </font>
    <font>
      <sz val="9"/>
      <color theme="1"/>
      <name val="Times New Roman"/>
      <family val="2"/>
    </font>
    <font>
      <sz val="10"/>
      <color indexed="8"/>
      <name val="MS Sans Serif"/>
      <family val="2"/>
    </font>
    <font>
      <sz val="10"/>
      <name val="Univers LT Std 65 Bold"/>
      <family val="2"/>
    </font>
    <font>
      <u/>
      <sz val="11"/>
      <color theme="10"/>
      <name val="Calibri"/>
      <family val="2"/>
    </font>
    <font>
      <i/>
      <sz val="10"/>
      <name val="Helv"/>
    </font>
    <font>
      <sz val="10"/>
      <name val="Helv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0"/>
      <color indexed="10"/>
      <name val="Times New Roman"/>
      <family val="1"/>
    </font>
    <font>
      <sz val="8"/>
      <name val="Times New Roman"/>
      <family val="1"/>
    </font>
    <font>
      <b/>
      <sz val="10"/>
      <name val="GS TheSans"/>
      <family val="2"/>
    </font>
    <font>
      <i/>
      <sz val="10"/>
      <name val="Times New Roman"/>
      <family val="1"/>
    </font>
    <font>
      <b/>
      <sz val="8"/>
      <color indexed="8"/>
      <name val="Arial"/>
      <family val="2"/>
    </font>
    <font>
      <sz val="8"/>
      <color indexed="49"/>
      <name val="Times New Roman"/>
      <family val="1"/>
    </font>
    <font>
      <sz val="10"/>
      <name val="Times"/>
      <family val="1"/>
    </font>
    <font>
      <sz val="8"/>
      <name val="Tms Rmn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12"/>
      <name val="Arial"/>
      <family val="2"/>
    </font>
    <font>
      <b/>
      <sz val="8"/>
      <name val="TimesNewRomanPS"/>
      <family val="1"/>
    </font>
    <font>
      <sz val="8"/>
      <color indexed="12"/>
      <name val="Helv"/>
      <family val="2"/>
    </font>
    <font>
      <sz val="8.5"/>
      <name val="Arial Narrow"/>
      <family val="2"/>
    </font>
    <font>
      <sz val="8"/>
      <color indexed="12"/>
      <name val="Arial Narrow"/>
      <family val="2"/>
    </font>
    <font>
      <sz val="8.5"/>
      <color indexed="49"/>
      <name val="Arial Narrow"/>
      <family val="2"/>
    </font>
    <font>
      <sz val="10"/>
      <name val="System"/>
      <family val="2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b/>
      <i/>
      <u/>
      <sz val="8.5"/>
      <color indexed="12"/>
      <name val="Arial Narrow"/>
      <family val="2"/>
    </font>
    <font>
      <sz val="8.5"/>
      <color indexed="12"/>
      <name val="Arial Narrow"/>
      <family val="2"/>
    </font>
    <font>
      <b/>
      <sz val="8.5"/>
      <name val="Arial Narrow"/>
      <family val="2"/>
    </font>
    <font>
      <sz val="8"/>
      <name val="Palatino"/>
      <family val="1"/>
    </font>
    <font>
      <b/>
      <sz val="8"/>
      <name val="Times New Roman"/>
      <family val="1"/>
    </font>
    <font>
      <sz val="8"/>
      <color indexed="14"/>
      <name val="Arial Narrow"/>
      <family val="2"/>
    </font>
    <font>
      <b/>
      <sz val="9.5"/>
      <color indexed="10"/>
      <name val="MS Sans Serif"/>
      <family val="2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sz val="6"/>
      <name val="Palatino"/>
      <family val="1"/>
    </font>
    <font>
      <sz val="28"/>
      <name val="Helvetica-Black"/>
    </font>
    <font>
      <sz val="10"/>
      <name val="Helvetica-Black"/>
    </font>
    <font>
      <sz val="18"/>
      <name val="Helvetica-Black"/>
    </font>
    <font>
      <sz val="18"/>
      <name val="Palatino"/>
      <family val="1"/>
    </font>
    <font>
      <i/>
      <sz val="14"/>
      <name val="Palatino"/>
      <family val="1"/>
    </font>
    <font>
      <sz val="8"/>
      <color indexed="16"/>
      <name val="Palatino"/>
      <family val="1"/>
    </font>
    <font>
      <sz val="8"/>
      <color indexed="12"/>
      <name val="Palatino"/>
      <family val="1"/>
    </font>
    <font>
      <i/>
      <sz val="8"/>
      <name val="Tms Rmn"/>
    </font>
    <font>
      <sz val="8"/>
      <color indexed="10"/>
      <name val="Times New Roman"/>
      <family val="1"/>
    </font>
    <font>
      <sz val="8"/>
      <color indexed="18"/>
      <name val="Times New Roman"/>
      <family val="1"/>
    </font>
    <font>
      <b/>
      <sz val="8"/>
      <color indexed="12"/>
      <name val="Arial Narrow"/>
      <family val="2"/>
    </font>
    <font>
      <sz val="8"/>
      <name val="GS TheSans"/>
      <family val="2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b/>
      <sz val="8"/>
      <name val="Arial Narrow"/>
      <family val="2"/>
    </font>
    <font>
      <sz val="9"/>
      <color indexed="21"/>
      <name val="Helvetica-Black"/>
    </font>
    <font>
      <b/>
      <sz val="9"/>
      <name val="Palatino"/>
      <family val="1"/>
    </font>
    <font>
      <sz val="9"/>
      <name val="Palatino"/>
      <family val="1"/>
    </font>
    <font>
      <sz val="9"/>
      <name val="Helvetica-Black"/>
    </font>
    <font>
      <b/>
      <sz val="14"/>
      <color indexed="8"/>
      <name val="Times New Roman"/>
      <family val="1"/>
    </font>
    <font>
      <sz val="8"/>
      <name val="Helvetica-Narrow"/>
      <family val="2"/>
    </font>
    <font>
      <b/>
      <sz val="7"/>
      <name val="Helvetica-Narrow"/>
      <family val="2"/>
    </font>
    <font>
      <sz val="12"/>
      <color indexed="8"/>
      <name val="Palatino"/>
      <family val="1"/>
    </font>
    <font>
      <sz val="12"/>
      <name val="Palatino"/>
      <family val="1"/>
    </font>
    <font>
      <sz val="11"/>
      <name val="Helvetica-Black"/>
    </font>
    <font>
      <sz val="11"/>
      <color indexed="8"/>
      <name val="Helvetica-Black"/>
    </font>
    <font>
      <sz val="11"/>
      <name val="Helvetica-Black"/>
      <family val="2"/>
    </font>
    <font>
      <b/>
      <sz val="10"/>
      <color indexed="16"/>
      <name val="Times New Roman"/>
      <family val="1"/>
    </font>
    <font>
      <b/>
      <sz val="8"/>
      <color indexed="18"/>
      <name val="Times New Roman"/>
      <family val="1"/>
    </font>
    <font>
      <b/>
      <sz val="8"/>
      <name val="Palatino"/>
      <family val="1"/>
    </font>
    <font>
      <u val="double"/>
      <sz val="8"/>
      <color indexed="8"/>
      <name val="Arial"/>
      <family val="2"/>
    </font>
    <font>
      <u/>
      <sz val="8"/>
      <name val="Tms Rmn"/>
    </font>
    <font>
      <sz val="8"/>
      <color indexed="12"/>
      <name val="Times New Roman"/>
      <family val="1"/>
    </font>
    <font>
      <sz val="8.5"/>
      <color indexed="14"/>
      <name val="Arial Narrow"/>
      <family val="2"/>
    </font>
    <font>
      <sz val="12"/>
      <name val="宋体"/>
      <charset val="134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0"/>
      <name val="GillSans"/>
      <family val="2"/>
    </font>
    <font>
      <sz val="10"/>
      <name val="Tms Rmn"/>
    </font>
    <font>
      <sz val="9"/>
      <name val="Helv"/>
    </font>
    <font>
      <sz val="11"/>
      <name val="Tms Rmn"/>
    </font>
    <font>
      <sz val="10"/>
      <color indexed="12"/>
      <name val="Book Antiqua"/>
      <family val="1"/>
    </font>
    <font>
      <b/>
      <sz val="11"/>
      <name val="Book Antiqua"/>
      <family val="1"/>
    </font>
    <font>
      <b/>
      <sz val="11"/>
      <color indexed="56"/>
      <name val="Calibri"/>
      <family val="2"/>
    </font>
    <font>
      <b/>
      <sz val="9"/>
      <name val="Helv"/>
    </font>
    <font>
      <b/>
      <sz val="6"/>
      <color indexed="18"/>
      <name val="Arial"/>
      <family val="2"/>
    </font>
    <font>
      <i/>
      <sz val="9"/>
      <color indexed="8"/>
      <name val="Arial"/>
      <family val="2"/>
    </font>
    <font>
      <b/>
      <sz val="11"/>
      <color indexed="63"/>
      <name val="Calibri"/>
      <family val="2"/>
    </font>
    <font>
      <b/>
      <sz val="20"/>
      <color indexed="8"/>
      <name val="Helvetica"/>
      <family val="2"/>
    </font>
    <font>
      <u/>
      <sz val="10"/>
      <name val="GillSans"/>
      <family val="2"/>
    </font>
    <font>
      <sz val="10"/>
      <name val="GillSans Light"/>
      <family val="2"/>
    </font>
    <font>
      <b/>
      <sz val="14"/>
      <color indexed="9"/>
      <name val="Arial"/>
      <family val="2"/>
    </font>
    <font>
      <b/>
      <i/>
      <sz val="8"/>
      <color indexed="9"/>
      <name val="Arial"/>
      <family val="2"/>
    </font>
    <font>
      <sz val="7"/>
      <color indexed="17"/>
      <name val="Times New Roman"/>
      <family val="1"/>
    </font>
    <font>
      <sz val="7"/>
      <color indexed="18"/>
      <name val="Times New Roman"/>
      <family val="1"/>
    </font>
    <font>
      <b/>
      <sz val="12"/>
      <name val="GillSans"/>
      <family val="2"/>
    </font>
    <font>
      <sz val="9"/>
      <name val="Book Antiqua"/>
      <family val="1"/>
    </font>
    <font>
      <i/>
      <sz val="8"/>
      <name val="Times New Roman"/>
      <family val="1"/>
    </font>
    <font>
      <b/>
      <sz val="10"/>
      <color indexed="37"/>
      <name val="Arial"/>
      <family val="2"/>
    </font>
    <font>
      <b/>
      <sz val="12"/>
      <color indexed="8"/>
      <name val="Arial"/>
      <family val="2"/>
    </font>
    <font>
      <b/>
      <i/>
      <sz val="12"/>
      <color indexed="10"/>
      <name val="Arial"/>
      <family val="2"/>
    </font>
    <font>
      <u/>
      <sz val="11"/>
      <name val="GillSans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i/>
      <sz val="10"/>
      <color indexed="8"/>
      <name val="Arial"/>
      <family val="2"/>
    </font>
    <font>
      <u/>
      <sz val="10"/>
      <name val="Helv"/>
    </font>
    <font>
      <b/>
      <u/>
      <sz val="10"/>
      <name val="Times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i/>
      <sz val="9"/>
      <name val="Arial"/>
      <family val="2"/>
    </font>
    <font>
      <i/>
      <sz val="9"/>
      <color theme="4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9"/>
      <name val="Cambria"/>
      <family val="1"/>
    </font>
    <font>
      <b/>
      <sz val="9"/>
      <name val="Cambria"/>
      <family val="1"/>
    </font>
    <font>
      <u val="singleAccounting"/>
      <sz val="9"/>
      <name val="Cambria"/>
      <family val="1"/>
    </font>
    <font>
      <b/>
      <u val="singleAccounting"/>
      <sz val="9"/>
      <name val="Cambria"/>
      <family val="1"/>
    </font>
    <font>
      <i/>
      <sz val="9"/>
      <name val="Cambria"/>
      <family val="1"/>
    </font>
    <font>
      <b/>
      <sz val="9"/>
      <color rgb="FF0000FF"/>
      <name val="Cambria"/>
      <family val="1"/>
    </font>
    <font>
      <b/>
      <u/>
      <sz val="9"/>
      <name val="Cambria"/>
      <family val="1"/>
    </font>
    <font>
      <b/>
      <i/>
      <sz val="9"/>
      <name val="Cambria"/>
      <family val="1"/>
    </font>
    <font>
      <b/>
      <sz val="10"/>
      <name val="Cambria"/>
      <family val="1"/>
    </font>
    <font>
      <i/>
      <sz val="10"/>
      <name val="Cambria"/>
      <family val="1"/>
    </font>
    <font>
      <b/>
      <i/>
      <sz val="10"/>
      <name val="Cambria"/>
      <family val="1"/>
    </font>
    <font>
      <b/>
      <sz val="9"/>
      <color indexed="16"/>
      <name val="Cambria"/>
      <family val="1"/>
    </font>
    <font>
      <u/>
      <sz val="9"/>
      <name val="Cambria"/>
      <family val="1"/>
    </font>
    <font>
      <sz val="9"/>
      <color indexed="16"/>
      <name val="Cambria"/>
      <family val="1"/>
    </font>
    <font>
      <u/>
      <sz val="9"/>
      <color indexed="12"/>
      <name val="Cambria"/>
      <family val="1"/>
    </font>
    <font>
      <sz val="9"/>
      <color rgb="FFFF0000"/>
      <name val="Cambria"/>
      <family val="1"/>
    </font>
    <font>
      <sz val="9"/>
      <color indexed="12"/>
      <name val="Cambria"/>
      <family val="1"/>
    </font>
    <font>
      <sz val="9"/>
      <color theme="1"/>
      <name val="Cambria"/>
      <family val="1"/>
    </font>
    <font>
      <sz val="9"/>
      <color indexed="8"/>
      <name val="Cambria"/>
      <family val="1"/>
    </font>
    <font>
      <sz val="10"/>
      <name val="Cambria"/>
      <family val="1"/>
    </font>
    <font>
      <sz val="11"/>
      <name val="Cambria"/>
      <family val="1"/>
    </font>
    <font>
      <i/>
      <sz val="11"/>
      <name val="Cambria"/>
      <family val="1"/>
    </font>
    <font>
      <b/>
      <sz val="12"/>
      <color rgb="FFFFFFFF"/>
      <name val="Cambria"/>
      <family val="1"/>
    </font>
    <font>
      <b/>
      <sz val="10"/>
      <color rgb="FFFFFFFF"/>
      <name val="Cambria"/>
      <family val="1"/>
    </font>
    <font>
      <i/>
      <sz val="10"/>
      <color rgb="FFFFFFFF"/>
      <name val="Cambria"/>
      <family val="1"/>
    </font>
    <font>
      <i/>
      <sz val="9"/>
      <color indexed="12"/>
      <name val="Cambria"/>
      <family val="1"/>
    </font>
    <font>
      <b/>
      <sz val="12"/>
      <color indexed="9"/>
      <name val="Cambria"/>
      <family val="1"/>
    </font>
    <font>
      <i/>
      <sz val="10"/>
      <color indexed="9"/>
      <name val="Cambria"/>
      <family val="1"/>
    </font>
    <font>
      <b/>
      <sz val="9"/>
      <color indexed="8"/>
      <name val="Cambria"/>
      <family val="1"/>
    </font>
    <font>
      <u/>
      <sz val="9"/>
      <color indexed="16"/>
      <name val="Cambria"/>
      <family val="1"/>
    </font>
    <font>
      <sz val="9"/>
      <color rgb="FF0000FF"/>
      <name val="Cambria"/>
      <family val="1"/>
    </font>
    <font>
      <b/>
      <sz val="9"/>
      <color rgb="FFFFFFFF"/>
      <name val="Cambria"/>
      <family val="1"/>
    </font>
    <font>
      <b/>
      <i/>
      <sz val="9"/>
      <color rgb="FFFFFFFF"/>
      <name val="Cambria"/>
      <family val="1"/>
    </font>
    <font>
      <b/>
      <u val="singleAccounting"/>
      <sz val="9"/>
      <color rgb="FFFFFFFF"/>
      <name val="Cambria"/>
      <family val="1"/>
    </font>
    <font>
      <b/>
      <sz val="11"/>
      <color indexed="9"/>
      <name val="Cambria"/>
      <family val="1"/>
    </font>
    <font>
      <b/>
      <sz val="11"/>
      <name val="Cambria"/>
      <family val="1"/>
    </font>
    <font>
      <i/>
      <sz val="11"/>
      <color indexed="9"/>
      <name val="Cambria"/>
      <family val="1"/>
    </font>
    <font>
      <i/>
      <u/>
      <sz val="11"/>
      <name val="Cambria"/>
      <family val="1"/>
    </font>
    <font>
      <sz val="11"/>
      <color indexed="12"/>
      <name val="Cambria"/>
      <family val="1"/>
    </font>
    <font>
      <sz val="11"/>
      <color indexed="16"/>
      <name val="Cambria"/>
      <family val="1"/>
    </font>
    <font>
      <i/>
      <sz val="11"/>
      <color indexed="12"/>
      <name val="Cambria"/>
      <family val="1"/>
    </font>
    <font>
      <sz val="11"/>
      <color indexed="8"/>
      <name val="Cambria"/>
      <family val="1"/>
    </font>
    <font>
      <b/>
      <sz val="11"/>
      <color indexed="8"/>
      <name val="Cambria"/>
      <family val="1"/>
    </font>
    <font>
      <sz val="11"/>
      <color rgb="FF0000FF"/>
      <name val="Cambria"/>
      <family val="1"/>
    </font>
    <font>
      <b/>
      <sz val="11"/>
      <color rgb="FFFFFFFF"/>
      <name val="Cambria"/>
      <family val="1"/>
    </font>
    <font>
      <sz val="11"/>
      <color rgb="FFFFFFFF"/>
      <name val="Cambria"/>
      <family val="1"/>
    </font>
    <font>
      <b/>
      <i/>
      <sz val="11"/>
      <name val="Cambria"/>
      <family val="1"/>
    </font>
    <font>
      <i/>
      <sz val="9"/>
      <color rgb="FF0000FF"/>
      <name val="Cambria"/>
      <family val="1"/>
    </font>
    <font>
      <i/>
      <sz val="9"/>
      <color rgb="FF000000"/>
      <name val="Cambria"/>
      <family val="1"/>
    </font>
    <font>
      <u/>
      <sz val="11"/>
      <name val="Cambria"/>
      <family val="1"/>
    </font>
    <font>
      <u/>
      <sz val="11"/>
      <color indexed="12"/>
      <name val="Cambria"/>
      <family val="1"/>
    </font>
    <font>
      <sz val="11"/>
      <color rgb="FF800000"/>
      <name val="Cambria"/>
      <family val="1"/>
    </font>
    <font>
      <sz val="11"/>
      <color theme="1"/>
      <name val="Cambria"/>
      <family val="1"/>
    </font>
    <font>
      <b/>
      <i/>
      <sz val="11"/>
      <color rgb="FFFFFFFF"/>
      <name val="Cambria"/>
      <family val="1"/>
    </font>
    <font>
      <b/>
      <u/>
      <sz val="11"/>
      <name val="Cambria"/>
      <family val="1"/>
    </font>
  </fonts>
  <fills count="6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3"/>
      </patternFill>
    </fill>
    <fill>
      <patternFill patternType="gray0625">
        <fgColor indexed="10"/>
        <bgColor indexed="9"/>
      </patternFill>
    </fill>
    <fill>
      <patternFill patternType="solid">
        <fgColor indexed="18"/>
        <bgColor indexed="64"/>
      </patternFill>
    </fill>
    <fill>
      <patternFill patternType="lightGray">
        <fgColor indexed="14"/>
        <bgColor indexed="9"/>
      </patternFill>
    </fill>
    <fill>
      <patternFill patternType="lightGray">
        <fgColor indexed="15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10"/>
      </patternFill>
    </fill>
    <fill>
      <patternFill patternType="lightGray">
        <fgColor indexed="22"/>
        <bgColor indexed="9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0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lightGray">
        <fgColor indexed="9"/>
      </patternFill>
    </fill>
    <fill>
      <patternFill patternType="gray0625">
        <fgColor indexed="13"/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solid">
        <fgColor indexed="13"/>
      </patternFill>
    </fill>
    <fill>
      <patternFill patternType="solid">
        <fgColor indexed="6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6"/>
        <bgColor indexed="64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indexed="2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9"/>
      </left>
      <right style="thick">
        <color indexed="9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thick">
        <color indexed="18"/>
      </bottom>
      <diagonal/>
    </border>
    <border>
      <left style="medium">
        <color indexed="9"/>
      </left>
      <right style="medium">
        <color indexed="49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/>
      <diagonal/>
    </border>
    <border>
      <left style="dashed">
        <color rgb="FFFF0000"/>
      </left>
      <right style="dashed">
        <color rgb="FFFF0000"/>
      </right>
      <top/>
      <bottom/>
      <diagonal/>
    </border>
    <border>
      <left style="dashed">
        <color rgb="FFFF0000"/>
      </left>
      <right style="dashed">
        <color rgb="FFFF0000"/>
      </right>
      <top style="thin">
        <color rgb="FF000000"/>
      </top>
      <bottom style="dashed">
        <color rgb="FFFF0000"/>
      </bottom>
      <diagonal/>
    </border>
    <border>
      <left/>
      <right/>
      <top style="medium">
        <color rgb="FF000000"/>
      </top>
      <bottom/>
      <diagonal/>
    </border>
  </borders>
  <cellStyleXfs count="3422">
    <xf numFmtId="37" fontId="0" fillId="0" borderId="0" applyFill="0" applyBorder="0" applyProtection="0"/>
    <xf numFmtId="7" fontId="25" fillId="0" borderId="0" applyFill="0" applyBorder="0" applyProtection="0">
      <alignment horizontal="right"/>
    </xf>
    <xf numFmtId="178" fontId="25" fillId="0" borderId="1" applyFill="0" applyBorder="0" applyProtection="0"/>
    <xf numFmtId="9" fontId="25" fillId="0" borderId="1" applyFill="0" applyBorder="0" applyProtection="0"/>
    <xf numFmtId="0" fontId="6" fillId="0" borderId="0"/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32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32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33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32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32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32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33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34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32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32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32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8" fontId="3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9" borderId="0" applyNumberFormat="0" applyFont="0" applyAlignment="0" applyProtection="0"/>
    <xf numFmtId="189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33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34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32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32" fillId="0" borderId="0" applyFont="0" applyFill="0" applyBorder="0" applyAlignment="0" applyProtection="0"/>
    <xf numFmtId="190" fontId="32" fillId="0" borderId="0" applyFont="0" applyFill="0" applyBorder="0" applyAlignment="0" applyProtection="0"/>
    <xf numFmtId="190" fontId="32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32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32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3" fontId="33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193" fontId="34" fillId="0" borderId="0" applyFont="0" applyFill="0" applyBorder="0" applyProtection="0">
      <alignment horizontal="right"/>
    </xf>
    <xf numFmtId="194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3" fontId="32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32" fillId="0" borderId="0" applyFont="0" applyFill="0" applyBorder="0" applyProtection="0">
      <alignment horizontal="right"/>
    </xf>
    <xf numFmtId="193" fontId="32" fillId="0" borderId="0" applyFont="0" applyFill="0" applyBorder="0" applyProtection="0">
      <alignment horizontal="right"/>
    </xf>
    <xf numFmtId="193" fontId="32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193" fontId="32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193" fontId="32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5" fontId="11" fillId="0" borderId="0" applyFont="0" applyFill="0" applyBorder="0" applyAlignment="0" applyProtection="0"/>
    <xf numFmtId="182" fontId="11" fillId="0" borderId="0" applyFont="0" applyFill="0" applyBorder="0" applyProtection="0">
      <alignment horizontal="right"/>
    </xf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83" fontId="11" fillId="0" borderId="0" applyFont="0" applyFill="0" applyBorder="0" applyProtection="0">
      <alignment horizontal="right"/>
    </xf>
    <xf numFmtId="183" fontId="11" fillId="0" borderId="0" applyFont="0" applyFill="0" applyBorder="0" applyProtection="0">
      <alignment horizontal="right"/>
    </xf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17" fillId="0" borderId="26" applyNumberFormat="0" applyFill="0" applyAlignment="0" applyProtection="0"/>
    <xf numFmtId="0" fontId="17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26" applyNumberFormat="0" applyFill="0" applyAlignment="0" applyProtection="0"/>
    <xf numFmtId="0" fontId="17" fillId="0" borderId="26" applyNumberFormat="0" applyFill="0" applyAlignment="0" applyProtection="0"/>
    <xf numFmtId="0" fontId="37" fillId="0" borderId="28" applyNumberFormat="0" applyFill="0" applyProtection="0">
      <alignment horizontal="center"/>
    </xf>
    <xf numFmtId="0" fontId="37" fillId="0" borderId="0" applyNumberFormat="0" applyFill="0" applyBorder="0" applyProtection="0">
      <alignment horizontal="left"/>
    </xf>
    <xf numFmtId="0" fontId="38" fillId="0" borderId="0" applyNumberFormat="0" applyFill="0" applyBorder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0" fontId="38" fillId="0" borderId="0" applyNumberFormat="0" applyFill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197" fontId="39" fillId="10" borderId="0" applyNumberFormat="0" applyFont="0" applyBorder="0" applyAlignment="0">
      <alignment horizontal="right"/>
    </xf>
    <xf numFmtId="198" fontId="40" fillId="10" borderId="3" applyFont="0">
      <alignment horizontal="right"/>
    </xf>
    <xf numFmtId="0" fontId="9" fillId="0" borderId="0" applyNumberFormat="0" applyFill="0" applyBorder="0" applyAlignment="0" applyProtection="0"/>
    <xf numFmtId="0" fontId="41" fillId="0" borderId="0"/>
    <xf numFmtId="2" fontId="18" fillId="0" borderId="0" applyNumberFormat="0" applyBorder="0" applyAlignment="0"/>
    <xf numFmtId="165" fontId="42" fillId="0" borderId="0"/>
    <xf numFmtId="0" fontId="43" fillId="0" borderId="0" applyNumberFormat="0" applyFill="0" applyBorder="0" applyAlignment="0"/>
    <xf numFmtId="0" fontId="44" fillId="0" borderId="0" applyNumberFormat="0" applyFill="0" applyBorder="0" applyAlignment="0" applyProtection="0"/>
    <xf numFmtId="0" fontId="29" fillId="11" borderId="29">
      <alignment horizontal="center"/>
    </xf>
    <xf numFmtId="2" fontId="9" fillId="12" borderId="0" applyNumberFormat="0" applyFont="0" applyBorder="0" applyAlignment="0" applyProtection="0"/>
    <xf numFmtId="199" fontId="9" fillId="13" borderId="0" applyNumberFormat="0" applyFont="0" applyBorder="0" applyAlignment="0">
      <protection locked="0"/>
    </xf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99" fontId="46" fillId="0" borderId="0" applyNumberFormat="0" applyFill="0" applyBorder="0" applyProtection="0">
      <alignment horizontal="right"/>
    </xf>
    <xf numFmtId="200" fontId="11" fillId="0" borderId="0">
      <protection locked="0"/>
    </xf>
    <xf numFmtId="0" fontId="47" fillId="0" borderId="0" applyNumberFormat="0" applyFill="0" applyBorder="0">
      <alignment horizontal="right"/>
    </xf>
    <xf numFmtId="38" fontId="48" fillId="0" borderId="0" applyNumberFormat="0" applyFill="0" applyBorder="0">
      <alignment vertical="center"/>
    </xf>
    <xf numFmtId="8" fontId="49" fillId="0" borderId="30">
      <protection locked="0"/>
    </xf>
    <xf numFmtId="200" fontId="11" fillId="0" borderId="0">
      <protection locked="0"/>
    </xf>
    <xf numFmtId="14" fontId="50" fillId="0" borderId="0">
      <alignment horizontal="right"/>
    </xf>
    <xf numFmtId="0" fontId="16" fillId="0" borderId="0"/>
    <xf numFmtId="201" fontId="51" fillId="0" borderId="0" applyFont="0" applyFill="0" applyBorder="0" applyAlignment="0" applyProtection="0">
      <alignment horizontal="right"/>
    </xf>
    <xf numFmtId="0" fontId="18" fillId="0" borderId="0" applyNumberFormat="0" applyAlignment="0"/>
    <xf numFmtId="202" fontId="9" fillId="14" borderId="13" applyNumberFormat="0" applyFont="0" applyBorder="0" applyAlignment="0" applyProtection="0">
      <alignment horizontal="right"/>
    </xf>
    <xf numFmtId="168" fontId="52" fillId="0" borderId="0" applyNumberFormat="0" applyFont="0" applyAlignment="0">
      <alignment vertical="center"/>
    </xf>
    <xf numFmtId="200" fontId="11" fillId="0" borderId="0">
      <protection locked="0"/>
    </xf>
    <xf numFmtId="0" fontId="53" fillId="0" borderId="0" applyNumberFormat="0" applyFill="0" applyBorder="0" applyAlignment="0" applyProtection="0"/>
    <xf numFmtId="1" fontId="9" fillId="0" borderId="0" applyNumberFormat="0" applyBorder="0" applyAlignment="0" applyProtection="0"/>
    <xf numFmtId="203" fontId="54" fillId="0" borderId="0">
      <alignment vertical="center"/>
    </xf>
    <xf numFmtId="49" fontId="53" fillId="0" borderId="0">
      <alignment horizontal="right"/>
    </xf>
    <xf numFmtId="49" fontId="55" fillId="0" borderId="0">
      <alignment horizontal="right"/>
    </xf>
    <xf numFmtId="203" fontId="56" fillId="0" borderId="0">
      <alignment vertical="center"/>
    </xf>
    <xf numFmtId="168" fontId="57" fillId="0" borderId="0" applyNumberFormat="0" applyFill="0" applyBorder="0">
      <alignment horizontal="left" vertical="center"/>
    </xf>
    <xf numFmtId="0" fontId="20" fillId="0" borderId="0"/>
    <xf numFmtId="0" fontId="58" fillId="15" borderId="0" applyNumberFormat="0" applyFont="0" applyBorder="0" applyAlignment="0" applyProtection="0"/>
    <xf numFmtId="204" fontId="11" fillId="0" borderId="0" applyNumberFormat="0" applyFill="0" applyBorder="0" applyAlignment="0" applyProtection="0"/>
    <xf numFmtId="0" fontId="59" fillId="0" borderId="0"/>
    <xf numFmtId="0" fontId="60" fillId="0" borderId="0"/>
    <xf numFmtId="38" fontId="61" fillId="0" borderId="0" applyNumberFormat="0" applyFill="0" applyBorder="0">
      <alignment horizontal="left" vertical="center"/>
    </xf>
    <xf numFmtId="168" fontId="62" fillId="0" borderId="0" applyFill="0" applyBorder="0">
      <alignment vertical="center"/>
    </xf>
    <xf numFmtId="0" fontId="63" fillId="16" borderId="0"/>
    <xf numFmtId="205" fontId="11" fillId="0" borderId="0" applyFont="0" applyFill="0" applyBorder="0" applyAlignment="0" applyProtection="0"/>
    <xf numFmtId="199" fontId="64" fillId="0" borderId="0"/>
    <xf numFmtId="0" fontId="6" fillId="0" borderId="0"/>
    <xf numFmtId="2" fontId="58" fillId="0" borderId="0" applyBorder="0" applyProtection="0"/>
    <xf numFmtId="0" fontId="11" fillId="0" borderId="0"/>
    <xf numFmtId="0" fontId="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204" fontId="1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0" borderId="0">
      <alignment horizontal="left" vertical="top"/>
      <protection locked="0"/>
    </xf>
    <xf numFmtId="206" fontId="11" fillId="0" borderId="0" applyFill="0">
      <alignment horizontal="center" vertical="center"/>
    </xf>
    <xf numFmtId="0" fontId="66" fillId="0" borderId="0" applyNumberFormat="0" applyFill="0" applyBorder="0">
      <alignment horizontal="left"/>
    </xf>
    <xf numFmtId="207" fontId="11" fillId="0" borderId="0"/>
    <xf numFmtId="7" fontId="67" fillId="0" borderId="0" applyFont="0" applyFill="0" applyBorder="0" applyAlignment="0" applyProtection="0"/>
    <xf numFmtId="0" fontId="68" fillId="0" borderId="0" applyNumberFormat="0" applyAlignment="0"/>
    <xf numFmtId="165" fontId="11" fillId="0" borderId="0" applyFill="0" applyBorder="0" applyAlignment="0" applyProtection="0"/>
    <xf numFmtId="170" fontId="69" fillId="0" borderId="0">
      <alignment vertical="top"/>
    </xf>
    <xf numFmtId="166" fontId="58" fillId="17" borderId="9" applyNumberFormat="0" applyFont="0" applyBorder="0" applyAlignment="0" applyProtection="0">
      <alignment horizontal="center"/>
    </xf>
    <xf numFmtId="37" fontId="70" fillId="1" borderId="0">
      <alignment horizontal="right"/>
    </xf>
    <xf numFmtId="1" fontId="71" fillId="18" borderId="0" applyNumberFormat="0" applyFont="0" applyBorder="0" applyAlignment="0">
      <alignment horizontal="left"/>
    </xf>
    <xf numFmtId="2" fontId="72" fillId="0" borderId="0"/>
    <xf numFmtId="1" fontId="11" fillId="0" borderId="0"/>
    <xf numFmtId="0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208" fontId="73" fillId="0" borderId="0" applyNumberFormat="0" applyFill="0" applyBorder="0" applyAlignment="0" applyProtection="0">
      <alignment horizontal="right" vertical="center" wrapText="1"/>
    </xf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>
      <protection locked="0"/>
    </xf>
    <xf numFmtId="0" fontId="76" fillId="0" borderId="13" applyNumberFormat="0" applyFill="0" applyProtection="0">
      <alignment horizontal="right"/>
    </xf>
    <xf numFmtId="6" fontId="61" fillId="0" borderId="31" applyFill="0">
      <alignment vertical="center"/>
    </xf>
    <xf numFmtId="209" fontId="9" fillId="0" borderId="0"/>
    <xf numFmtId="39" fontId="7" fillId="0" borderId="3" applyNumberFormat="0" applyBorder="0">
      <alignment horizontal="right"/>
    </xf>
    <xf numFmtId="0" fontId="76" fillId="0" borderId="32" applyNumberFormat="0" applyProtection="0">
      <alignment horizontal="right"/>
    </xf>
    <xf numFmtId="0" fontId="77" fillId="0" borderId="10" applyNumberFormat="0" applyFill="0" applyProtection="0"/>
    <xf numFmtId="0" fontId="78" fillId="0" borderId="0">
      <alignment vertical="center"/>
    </xf>
    <xf numFmtId="0" fontId="54" fillId="0" borderId="0">
      <alignment vertical="center"/>
    </xf>
    <xf numFmtId="0" fontId="56" fillId="0" borderId="0">
      <alignment vertical="center"/>
    </xf>
    <xf numFmtId="0" fontId="79" fillId="0" borderId="0" applyNumberFormat="0">
      <alignment horizontal="left"/>
    </xf>
    <xf numFmtId="0" fontId="80" fillId="0" borderId="0" applyFill="0" applyBorder="0" applyProtection="0">
      <alignment horizontal="left" vertical="top"/>
    </xf>
    <xf numFmtId="14" fontId="11" fillId="0" borderId="0" applyFill="0" applyBorder="0">
      <alignment vertical="center"/>
    </xf>
    <xf numFmtId="0" fontId="2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38" fontId="82" fillId="0" borderId="0" applyNumberFormat="0" applyFill="0" applyBorder="0">
      <alignment horizontal="left" vertical="center"/>
    </xf>
    <xf numFmtId="38" fontId="83" fillId="0" borderId="0" applyNumberFormat="0" applyFill="0" applyBorder="0">
      <alignment horizontal="centerContinuous" vertical="center"/>
    </xf>
    <xf numFmtId="0" fontId="8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6" fontId="18" fillId="0" borderId="0" applyNumberFormat="0" applyBorder="0" applyAlignment="0"/>
    <xf numFmtId="1" fontId="85" fillId="0" borderId="3" applyFill="0" applyProtection="0">
      <alignment horizontal="right"/>
    </xf>
    <xf numFmtId="210" fontId="11" fillId="0" borderId="0" applyFill="0" applyBorder="0">
      <alignment vertical="center"/>
    </xf>
    <xf numFmtId="37" fontId="16" fillId="0" borderId="0" applyFill="0" applyBorder="0" applyProtection="0"/>
    <xf numFmtId="7" fontId="16" fillId="0" borderId="0" applyFill="0" applyBorder="0" applyProtection="0">
      <alignment horizontal="right"/>
    </xf>
    <xf numFmtId="178" fontId="16" fillId="0" borderId="1" applyFill="0" applyBorder="0" applyProtection="0"/>
    <xf numFmtId="9" fontId="16" fillId="0" borderId="1" applyFill="0" applyBorder="0" applyProtection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37" fontId="16" fillId="0" borderId="0" applyFill="0" applyBorder="0" applyProtection="0"/>
    <xf numFmtId="7" fontId="16" fillId="0" borderId="0" applyFill="0" applyBorder="0" applyProtection="0">
      <alignment horizontal="right"/>
    </xf>
    <xf numFmtId="9" fontId="16" fillId="0" borderId="1" applyFill="0" applyBorder="0" applyProtection="0"/>
    <xf numFmtId="178" fontId="16" fillId="0" borderId="1" applyFill="0" applyBorder="0" applyProtection="0"/>
    <xf numFmtId="41" fontId="16" fillId="0" borderId="0" applyFill="0" applyBorder="0" applyProtection="0"/>
    <xf numFmtId="211" fontId="16" fillId="0" borderId="0" applyFill="0" applyBorder="0" applyProtection="0"/>
    <xf numFmtId="212" fontId="16" fillId="0" borderId="0" applyFill="0" applyBorder="0" applyProtection="0">
      <alignment horizontal="right"/>
    </xf>
    <xf numFmtId="37" fontId="16" fillId="0" borderId="0" applyFill="0" applyBorder="0"/>
    <xf numFmtId="37" fontId="16" fillId="0" borderId="0" applyFill="0" applyBorder="0" applyProtection="0"/>
    <xf numFmtId="37" fontId="16" fillId="0" borderId="0" applyFill="0" applyBorder="0" applyProtection="0"/>
    <xf numFmtId="37" fontId="16" fillId="0" borderId="0" applyFill="0" applyBorder="0" applyProtection="0"/>
    <xf numFmtId="37" fontId="16" fillId="0" borderId="0" applyFill="0" applyBorder="0" applyProtection="0"/>
    <xf numFmtId="37" fontId="16" fillId="0" borderId="0" applyFill="0" applyBorder="0" applyProtection="0"/>
    <xf numFmtId="172" fontId="16" fillId="0" borderId="1" applyFont="0" applyFill="0" applyBorder="0"/>
    <xf numFmtId="7" fontId="16" fillId="0" borderId="0" applyFill="0" applyBorder="0" applyProtection="0"/>
    <xf numFmtId="37" fontId="16" fillId="0" borderId="0" applyFill="0" applyBorder="0" applyProtection="0"/>
    <xf numFmtId="37" fontId="16" fillId="0" borderId="0" applyFill="0" applyBorder="0" applyProtection="0"/>
    <xf numFmtId="213" fontId="16" fillId="0" borderId="1" applyFill="0" applyBorder="0" applyProtection="0"/>
    <xf numFmtId="37" fontId="16" fillId="0" borderId="0" applyFill="0" applyBorder="0" applyProtection="0"/>
    <xf numFmtId="37" fontId="16" fillId="0" borderId="0" applyFill="0" applyBorder="0" applyProtection="0"/>
    <xf numFmtId="7" fontId="16" fillId="0" borderId="0" applyFill="0" applyBorder="0" applyProtection="0">
      <alignment horizontal="right"/>
    </xf>
    <xf numFmtId="178" fontId="16" fillId="0" borderId="1" applyFill="0" applyBorder="0" applyProtection="0"/>
    <xf numFmtId="9" fontId="16" fillId="0" borderId="1" applyFill="0" applyBorder="0" applyProtection="0"/>
    <xf numFmtId="37" fontId="16" fillId="0" borderId="0" applyFill="0" applyBorder="0"/>
    <xf numFmtId="9" fontId="16" fillId="0" borderId="1" applyFont="0" applyFill="0" applyBorder="0" applyProtection="0"/>
    <xf numFmtId="37" fontId="28" fillId="2" borderId="0" applyFill="0" applyBorder="0" applyProtection="0"/>
    <xf numFmtId="177" fontId="16" fillId="2" borderId="0" applyFont="0" applyFill="0" applyBorder="0" applyProtection="0"/>
    <xf numFmtId="37" fontId="27" fillId="2" borderId="0" applyFill="0" applyBorder="0" applyProtection="0"/>
    <xf numFmtId="211" fontId="16" fillId="0" borderId="0" applyFill="0" applyBorder="0" applyProtection="0"/>
    <xf numFmtId="178" fontId="16" fillId="0" borderId="1" applyFill="0" applyBorder="0" applyProtection="0"/>
    <xf numFmtId="213" fontId="16" fillId="0" borderId="1" applyFill="0" applyBorder="0" applyProtection="0"/>
    <xf numFmtId="213" fontId="16" fillId="0" borderId="1" applyFill="0" applyBorder="0" applyProtection="0"/>
    <xf numFmtId="178" fontId="16" fillId="0" borderId="0" applyFill="0" applyBorder="0" applyProtection="0"/>
    <xf numFmtId="178" fontId="16" fillId="0" borderId="0" applyFill="0" applyBorder="0" applyProtection="0"/>
    <xf numFmtId="178" fontId="16" fillId="0" borderId="0" applyFill="0" applyBorder="0" applyProtection="0"/>
    <xf numFmtId="178" fontId="16" fillId="0" borderId="1" applyFill="0" applyBorder="0" applyProtection="0"/>
    <xf numFmtId="178" fontId="16" fillId="0" borderId="1" applyFill="0" applyBorder="0" applyProtection="0"/>
    <xf numFmtId="170" fontId="89" fillId="2" borderId="0"/>
    <xf numFmtId="0" fontId="90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37" fontId="11" fillId="0" borderId="0" applyFont="0" applyFill="0" applyBorder="0" applyAlignment="0" applyProtection="0"/>
    <xf numFmtId="9" fontId="16" fillId="2" borderId="0" applyFont="0" applyFill="0" applyBorder="0" applyAlignment="0" applyProtection="0"/>
    <xf numFmtId="37" fontId="16" fillId="0" borderId="0" applyFill="0" applyBorder="0" applyProtection="0"/>
    <xf numFmtId="37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9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/>
    <xf numFmtId="178" fontId="16" fillId="0" borderId="1" applyFill="0" applyBorder="0" applyProtection="0"/>
    <xf numFmtId="37" fontId="16" fillId="0" borderId="0" applyFill="0" applyBorder="0" applyProtection="0"/>
    <xf numFmtId="44" fontId="5" fillId="0" borderId="0" applyFont="0" applyFill="0" applyBorder="0" applyAlignment="0" applyProtection="0"/>
    <xf numFmtId="0" fontId="5" fillId="0" borderId="0"/>
    <xf numFmtId="37" fontId="16" fillId="0" borderId="0" applyFill="0" applyBorder="0"/>
    <xf numFmtId="7" fontId="24" fillId="0" borderId="1" applyFont="0" applyFill="0" applyBorder="0" applyProtection="0"/>
    <xf numFmtId="178" fontId="16" fillId="0" borderId="1" applyFont="0" applyFill="0" applyBorder="0" applyAlignment="0" applyProtection="0"/>
    <xf numFmtId="37" fontId="16" fillId="0" borderId="0" applyFill="0" applyBorder="0"/>
    <xf numFmtId="9" fontId="16" fillId="0" borderId="0" applyFont="0" applyFill="0" applyBorder="0" applyProtection="0"/>
    <xf numFmtId="0" fontId="4" fillId="0" borderId="0"/>
    <xf numFmtId="37" fontId="16" fillId="0" borderId="0" applyFill="0" applyBorder="0"/>
    <xf numFmtId="0" fontId="4" fillId="0" borderId="0"/>
    <xf numFmtId="0" fontId="4" fillId="0" borderId="0"/>
    <xf numFmtId="37" fontId="16" fillId="0" borderId="0" applyFill="0" applyBorder="0"/>
    <xf numFmtId="178" fontId="16" fillId="0" borderId="1" applyFont="0" applyFill="0" applyBorder="0" applyAlignment="0" applyProtection="0"/>
    <xf numFmtId="0" fontId="4" fillId="0" borderId="0"/>
    <xf numFmtId="37" fontId="16" fillId="0" borderId="0" applyFill="0" applyBorder="0"/>
    <xf numFmtId="178" fontId="16" fillId="0" borderId="1" applyFont="0" applyFill="0" applyBorder="0" applyAlignment="0" applyProtection="0"/>
    <xf numFmtId="37" fontId="16" fillId="0" borderId="0" applyFill="0" applyBorder="0"/>
    <xf numFmtId="43" fontId="16" fillId="0" borderId="0" applyFont="0" applyFill="0" applyBorder="0" applyAlignment="0" applyProtection="0"/>
    <xf numFmtId="178" fontId="16" fillId="0" borderId="1" applyFont="0" applyFill="0" applyBorder="0" applyAlignment="0" applyProtection="0"/>
    <xf numFmtId="37" fontId="16" fillId="0" borderId="0" applyFill="0" applyBorder="0"/>
    <xf numFmtId="37" fontId="16" fillId="0" borderId="0" applyFill="0" applyBorder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91" fillId="0" borderId="0"/>
    <xf numFmtId="9" fontId="91" fillId="0" borderId="0" applyFont="0" applyFill="0" applyBorder="0" applyAlignment="0" applyProtection="0"/>
    <xf numFmtId="0" fontId="92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215" fontId="11" fillId="0" borderId="0" applyFont="0" applyFill="0" applyBorder="0" applyAlignment="0" applyProtection="0"/>
    <xf numFmtId="215" fontId="11" fillId="0" borderId="0" applyFont="0" applyFill="0" applyBorder="0" applyAlignment="0" applyProtection="0"/>
    <xf numFmtId="215" fontId="11" fillId="0" borderId="0" applyFont="0" applyFill="0" applyBorder="0" applyAlignment="0" applyProtection="0"/>
    <xf numFmtId="215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11" fillId="9" borderId="0" applyNumberFormat="0" applyFont="0" applyAlignment="0" applyProtection="0"/>
    <xf numFmtId="0" fontId="11" fillId="9" borderId="0" applyNumberFormat="0" applyFont="0" applyAlignment="0" applyProtection="0"/>
    <xf numFmtId="0" fontId="11" fillId="9" borderId="0" applyNumberFormat="0" applyFont="0" applyAlignment="0" applyProtection="0"/>
    <xf numFmtId="0" fontId="11" fillId="9" borderId="0" applyNumberFormat="0" applyFont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216" fontId="11" fillId="10" borderId="3" applyFont="0">
      <alignment horizontal="right"/>
    </xf>
    <xf numFmtId="216" fontId="11" fillId="10" borderId="3" applyFont="0">
      <alignment horizontal="right"/>
    </xf>
    <xf numFmtId="216" fontId="11" fillId="10" borderId="3" applyFont="0">
      <alignment horizontal="right"/>
    </xf>
    <xf numFmtId="216" fontId="11" fillId="10" borderId="3" applyFont="0">
      <alignment horizontal="right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4" fillId="0" borderId="0" applyNumberFormat="0" applyBorder="0">
      <alignment vertical="center"/>
    </xf>
    <xf numFmtId="217" fontId="11" fillId="0" borderId="0" applyFont="0" applyFill="0" applyBorder="0" applyAlignment="0" applyProtection="0">
      <alignment horizontal="right"/>
    </xf>
    <xf numFmtId="217" fontId="11" fillId="0" borderId="0" applyFont="0" applyFill="0" applyBorder="0" applyAlignment="0" applyProtection="0">
      <alignment horizontal="right"/>
    </xf>
    <xf numFmtId="217" fontId="11" fillId="0" borderId="0" applyFont="0" applyFill="0" applyBorder="0" applyAlignment="0" applyProtection="0">
      <alignment horizontal="right"/>
    </xf>
    <xf numFmtId="217" fontId="11" fillId="0" borderId="0" applyFont="0" applyFill="0" applyBorder="0" applyAlignment="0" applyProtection="0">
      <alignment horizontal="right"/>
    </xf>
    <xf numFmtId="218" fontId="11" fillId="14" borderId="13" applyNumberFormat="0" applyFont="0" applyBorder="0" applyAlignment="0" applyProtection="0">
      <alignment horizontal="right"/>
    </xf>
    <xf numFmtId="218" fontId="11" fillId="14" borderId="13" applyNumberFormat="0" applyFont="0" applyBorder="0" applyAlignment="0" applyProtection="0">
      <alignment horizontal="right"/>
    </xf>
    <xf numFmtId="218" fontId="11" fillId="14" borderId="13" applyNumberFormat="0" applyFont="0" applyBorder="0" applyAlignment="0" applyProtection="0">
      <alignment horizontal="right"/>
    </xf>
    <xf numFmtId="218" fontId="11" fillId="14" borderId="13" applyNumberFormat="0" applyFont="0" applyBorder="0" applyAlignment="0" applyProtection="0">
      <alignment horizontal="right"/>
    </xf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219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95" fillId="0" borderId="8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1" fillId="0" borderId="0"/>
    <xf numFmtId="220" fontId="11" fillId="0" borderId="0" applyNumberFormat="0" applyFill="0" applyBorder="0" applyAlignment="0" applyProtection="0">
      <alignment horizontal="right" vertical="center" wrapText="1"/>
    </xf>
    <xf numFmtId="220" fontId="11" fillId="0" borderId="0" applyNumberFormat="0" applyFill="0" applyBorder="0" applyAlignment="0" applyProtection="0">
      <alignment horizontal="right" vertical="center" wrapText="1"/>
    </xf>
    <xf numFmtId="220" fontId="11" fillId="0" borderId="0" applyNumberFormat="0" applyFill="0" applyBorder="0" applyAlignment="0" applyProtection="0">
      <alignment horizontal="right" vertical="center" wrapText="1"/>
    </xf>
    <xf numFmtId="220" fontId="11" fillId="0" borderId="0" applyNumberFormat="0" applyFill="0" applyBorder="0" applyAlignment="0" applyProtection="0">
      <alignment horizontal="right" vertical="center" wrapText="1"/>
    </xf>
    <xf numFmtId="40" fontId="96" fillId="0" borderId="0"/>
    <xf numFmtId="221" fontId="97" fillId="0" borderId="0"/>
    <xf numFmtId="37" fontId="16" fillId="0" borderId="0" applyFill="0" applyBorder="0" applyProtection="0"/>
    <xf numFmtId="0" fontId="21" fillId="0" borderId="0"/>
    <xf numFmtId="278" fontId="16" fillId="0" borderId="0"/>
    <xf numFmtId="0" fontId="16" fillId="0" borderId="0"/>
    <xf numFmtId="278" fontId="16" fillId="0" borderId="0"/>
    <xf numFmtId="278" fontId="16" fillId="0" borderId="0"/>
    <xf numFmtId="278" fontId="16" fillId="0" borderId="0"/>
    <xf numFmtId="278" fontId="16" fillId="0" borderId="0"/>
    <xf numFmtId="278" fontId="16" fillId="0" borderId="0"/>
    <xf numFmtId="278" fontId="16" fillId="0" borderId="0"/>
    <xf numFmtId="278" fontId="16" fillId="0" borderId="0"/>
    <xf numFmtId="278" fontId="16" fillId="0" borderId="0"/>
    <xf numFmtId="278" fontId="16" fillId="0" borderId="0"/>
    <xf numFmtId="278" fontId="16" fillId="0" borderId="0"/>
    <xf numFmtId="278" fontId="16" fillId="0" borderId="0"/>
    <xf numFmtId="278" fontId="16" fillId="0" borderId="0"/>
    <xf numFmtId="0" fontId="185" fillId="0" borderId="0"/>
    <xf numFmtId="278" fontId="16" fillId="0" borderId="0"/>
    <xf numFmtId="280" fontId="109" fillId="0" borderId="0"/>
    <xf numFmtId="0" fontId="186" fillId="0" borderId="0"/>
    <xf numFmtId="280" fontId="109" fillId="0" borderId="0"/>
    <xf numFmtId="280" fontId="109" fillId="0" borderId="0"/>
    <xf numFmtId="8" fontId="41" fillId="0" borderId="0"/>
    <xf numFmtId="224" fontId="16" fillId="0" borderId="0"/>
    <xf numFmtId="0" fontId="16" fillId="0" borderId="0"/>
    <xf numFmtId="231" fontId="70" fillId="0" borderId="0"/>
    <xf numFmtId="0" fontId="70" fillId="0" borderId="0"/>
    <xf numFmtId="0" fontId="28" fillId="0" borderId="0"/>
    <xf numFmtId="295" fontId="185" fillId="0" borderId="0">
      <alignment horizontal="right"/>
    </xf>
    <xf numFmtId="296" fontId="185" fillId="21" borderId="0"/>
    <xf numFmtId="297" fontId="185" fillId="21" borderId="0"/>
    <xf numFmtId="298" fontId="185" fillId="21" borderId="0"/>
    <xf numFmtId="0" fontId="185" fillId="21" borderId="0">
      <alignment horizontal="right"/>
    </xf>
    <xf numFmtId="242" fontId="113" fillId="0" borderId="0" applyFont="0" applyFill="0" applyBorder="0" applyAlignment="0" applyProtection="0"/>
    <xf numFmtId="0" fontId="113" fillId="0" borderId="0" applyFont="0" applyFill="0" applyBorder="0" applyAlignment="0" applyProtection="0"/>
    <xf numFmtId="284" fontId="11" fillId="22" borderId="11" applyFont="0" applyFill="0" applyBorder="0" applyAlignment="0" applyProtection="0"/>
    <xf numFmtId="284" fontId="11" fillId="22" borderId="11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242" fontId="113" fillId="0" borderId="0" applyFont="0" applyFill="0" applyBorder="0" applyAlignment="0" applyProtection="0"/>
    <xf numFmtId="0" fontId="16" fillId="0" borderId="0" applyFont="0" applyFill="0" applyBorder="0" applyAlignment="0" applyProtection="0">
      <alignment horizontal="centerContinuous"/>
    </xf>
    <xf numFmtId="37" fontId="21" fillId="0" borderId="0"/>
    <xf numFmtId="0" fontId="21" fillId="0" borderId="0"/>
    <xf numFmtId="0" fontId="92" fillId="0" borderId="0" applyNumberFormat="0" applyFont="0" applyFill="0" applyBorder="0" applyAlignment="0" applyProtection="0"/>
    <xf numFmtId="0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3" fontId="16" fillId="0" borderId="0"/>
    <xf numFmtId="17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" fontId="16" fillId="0" borderId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87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3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 applyFont="0" applyFill="0" applyBorder="0" applyAlignment="0" applyProtection="0"/>
    <xf numFmtId="0" fontId="21" fillId="0" borderId="0"/>
    <xf numFmtId="0" fontId="1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" fontId="16" fillId="0" borderId="0"/>
    <xf numFmtId="18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87" fillId="0" borderId="0" applyFont="0" applyFill="0" applyBorder="0" applyAlignment="0" applyProtection="0"/>
    <xf numFmtId="19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0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0" fontId="11" fillId="0" borderId="0" applyFont="0" applyFill="0" applyBorder="0" applyProtection="0">
      <alignment horizontal="right"/>
    </xf>
    <xf numFmtId="0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0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Protection="0">
      <alignment horizontal="right"/>
    </xf>
    <xf numFmtId="0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11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0" fontId="11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0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0" fontId="11" fillId="0" borderId="0" applyFont="0" applyFill="0" applyBorder="0" applyAlignment="0" applyProtection="0"/>
    <xf numFmtId="0" fontId="11" fillId="0" borderId="0" applyFont="0" applyFill="0" applyBorder="0" applyProtection="0">
      <alignment horizontal="right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87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0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0" fontId="11" fillId="0" borderId="0" applyFont="0" applyFill="0" applyBorder="0" applyProtection="0">
      <alignment horizontal="right"/>
    </xf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36" fillId="0" borderId="0" applyNumberFormat="0" applyFill="0" applyBorder="0" applyProtection="0">
      <alignment vertical="top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6" fillId="0" borderId="0" applyNumberFormat="0" applyFill="0" applyBorder="0" applyProtection="0">
      <alignment vertical="top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6" fillId="0" borderId="0" applyNumberFormat="0" applyFill="0" applyBorder="0" applyProtection="0">
      <alignment vertical="top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6" fillId="0" borderId="0" applyNumberFormat="0" applyFill="0" applyBorder="0" applyProtection="0">
      <alignment vertical="top"/>
    </xf>
    <xf numFmtId="0" fontId="11" fillId="0" borderId="0" applyNumberFormat="0" applyFill="0" applyBorder="0" applyAlignment="0" applyProtection="0"/>
    <xf numFmtId="0" fontId="36" fillId="0" borderId="0" applyNumberFormat="0" applyFill="0" applyBorder="0" applyProtection="0">
      <alignment vertical="top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26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26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26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26" applyNumberFormat="0" applyFill="0" applyAlignment="0" applyProtection="0"/>
    <xf numFmtId="0" fontId="11" fillId="0" borderId="0" applyNumberFormat="0" applyFill="0" applyBorder="0" applyAlignment="0" applyProtection="0"/>
    <xf numFmtId="0" fontId="17" fillId="0" borderId="26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28" applyNumberFormat="0" applyFill="0" applyProtection="0">
      <alignment horizontal="center"/>
    </xf>
    <xf numFmtId="0" fontId="37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37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37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37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37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37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11" fillId="0" borderId="28" applyNumberFormat="0" applyFill="0" applyProtection="0">
      <alignment horizontal="center"/>
    </xf>
    <xf numFmtId="0" fontId="37" fillId="0" borderId="28" applyNumberFormat="0" applyFill="0" applyProtection="0">
      <alignment horizontal="center"/>
    </xf>
    <xf numFmtId="0" fontId="11" fillId="0" borderId="35" applyNumberFormat="0" applyFont="0" applyFill="0" applyAlignment="0" applyProtection="0"/>
    <xf numFmtId="0" fontId="11" fillId="0" borderId="35" applyNumberFormat="0" applyFont="0" applyFill="0" applyAlignment="0" applyProtection="0"/>
    <xf numFmtId="0" fontId="11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11" fillId="0" borderId="0" applyNumberFormat="0" applyFill="0" applyBorder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0" fontId="17" fillId="0" borderId="0" applyNumberFormat="0" applyFill="0" applyBorder="0" applyAlignment="0" applyProtection="0"/>
    <xf numFmtId="173" fontId="109" fillId="0" borderId="0"/>
    <xf numFmtId="0" fontId="109" fillId="0" borderId="0"/>
    <xf numFmtId="173" fontId="109" fillId="0" borderId="0"/>
    <xf numFmtId="173" fontId="109" fillId="0" borderId="0"/>
    <xf numFmtId="9" fontId="70" fillId="0" borderId="0" applyFont="0" applyFill="0" applyBorder="0" applyAlignment="0" applyProtection="0"/>
    <xf numFmtId="224" fontId="114" fillId="0" borderId="0"/>
    <xf numFmtId="0" fontId="114" fillId="0" borderId="0"/>
    <xf numFmtId="0" fontId="70" fillId="0" borderId="0" applyFont="0" applyFill="0" applyBorder="0" applyAlignment="0" applyProtection="0"/>
    <xf numFmtId="224" fontId="114" fillId="0" borderId="0"/>
    <xf numFmtId="40" fontId="114" fillId="0" borderId="0"/>
    <xf numFmtId="10" fontId="70" fillId="0" borderId="0" applyFont="0" applyFill="0" applyBorder="0" applyAlignment="0" applyProtection="0"/>
    <xf numFmtId="280" fontId="109" fillId="0" borderId="0"/>
    <xf numFmtId="0" fontId="186" fillId="0" borderId="0"/>
    <xf numFmtId="280" fontId="109" fillId="0" borderId="0"/>
    <xf numFmtId="280" fontId="109" fillId="0" borderId="0"/>
    <xf numFmtId="0" fontId="70" fillId="0" borderId="0" applyFont="0" applyFill="0" applyBorder="0" applyAlignment="0" applyProtection="0"/>
    <xf numFmtId="3" fontId="21" fillId="0" borderId="0"/>
    <xf numFmtId="0" fontId="11" fillId="0" borderId="0" applyBorder="0"/>
    <xf numFmtId="39" fontId="97" fillId="0" borderId="0" applyFont="0" applyFill="0" applyBorder="0" applyAlignment="0" applyProtection="0"/>
    <xf numFmtId="0" fontId="98" fillId="24" borderId="0" applyNumberFormat="0" applyBorder="0" applyAlignment="0" applyProtection="0"/>
    <xf numFmtId="0" fontId="98" fillId="24" borderId="0" applyNumberFormat="0" applyBorder="0" applyAlignment="0" applyProtection="0"/>
    <xf numFmtId="0" fontId="98" fillId="26" borderId="0" applyNumberFormat="0" applyBorder="0" applyAlignment="0" applyProtection="0"/>
    <xf numFmtId="0" fontId="98" fillId="26" borderId="0" applyNumberFormat="0" applyBorder="0" applyAlignment="0" applyProtection="0"/>
    <xf numFmtId="0" fontId="98" fillId="27" borderId="0" applyNumberFormat="0" applyBorder="0" applyAlignment="0" applyProtection="0"/>
    <xf numFmtId="0" fontId="98" fillId="27" borderId="0" applyNumberFormat="0" applyBorder="0" applyAlignment="0" applyProtection="0"/>
    <xf numFmtId="0" fontId="98" fillId="28" borderId="0" applyNumberFormat="0" applyBorder="0" applyAlignment="0" applyProtection="0"/>
    <xf numFmtId="0" fontId="98" fillId="28" borderId="0" applyNumberFormat="0" applyBorder="0" applyAlignment="0" applyProtection="0"/>
    <xf numFmtId="0" fontId="98" fillId="29" borderId="0" applyNumberFormat="0" applyBorder="0" applyAlignment="0" applyProtection="0"/>
    <xf numFmtId="0" fontId="98" fillId="29" borderId="0" applyNumberFormat="0" applyBorder="0" applyAlignment="0" applyProtection="0"/>
    <xf numFmtId="0" fontId="98" fillId="25" borderId="0" applyNumberFormat="0" applyBorder="0" applyAlignment="0" applyProtection="0"/>
    <xf numFmtId="0" fontId="98" fillId="25" borderId="0" applyNumberFormat="0" applyBorder="0" applyAlignment="0" applyProtection="0"/>
    <xf numFmtId="0" fontId="97" fillId="0" borderId="0" applyFont="0" applyFill="0" applyBorder="0" applyAlignment="0" applyProtection="0"/>
    <xf numFmtId="0" fontId="98" fillId="30" borderId="0" applyNumberFormat="0" applyBorder="0" applyAlignment="0" applyProtection="0"/>
    <xf numFmtId="0" fontId="98" fillId="30" borderId="0" applyNumberFormat="0" applyBorder="0" applyAlignment="0" applyProtection="0"/>
    <xf numFmtId="0" fontId="98" fillId="31" borderId="0" applyNumberFormat="0" applyBorder="0" applyAlignment="0" applyProtection="0"/>
    <xf numFmtId="0" fontId="98" fillId="31" borderId="0" applyNumberFormat="0" applyBorder="0" applyAlignment="0" applyProtection="0"/>
    <xf numFmtId="0" fontId="98" fillId="32" borderId="0" applyNumberFormat="0" applyBorder="0" applyAlignment="0" applyProtection="0"/>
    <xf numFmtId="0" fontId="98" fillId="32" borderId="0" applyNumberFormat="0" applyBorder="0" applyAlignment="0" applyProtection="0"/>
    <xf numFmtId="0" fontId="98" fillId="28" borderId="0" applyNumberFormat="0" applyBorder="0" applyAlignment="0" applyProtection="0"/>
    <xf numFmtId="0" fontId="98" fillId="28" borderId="0" applyNumberFormat="0" applyBorder="0" applyAlignment="0" applyProtection="0"/>
    <xf numFmtId="0" fontId="98" fillId="30" borderId="0" applyNumberFormat="0" applyBorder="0" applyAlignment="0" applyProtection="0"/>
    <xf numFmtId="0" fontId="98" fillId="30" borderId="0" applyNumberFormat="0" applyBorder="0" applyAlignment="0" applyProtection="0"/>
    <xf numFmtId="0" fontId="98" fillId="33" borderId="0" applyNumberFormat="0" applyBorder="0" applyAlignment="0" applyProtection="0"/>
    <xf numFmtId="0" fontId="98" fillId="33" borderId="0" applyNumberFormat="0" applyBorder="0" applyAlignment="0" applyProtection="0"/>
    <xf numFmtId="0" fontId="99" fillId="23" borderId="0" applyNumberFormat="0" applyBorder="0" applyAlignment="0" applyProtection="0"/>
    <xf numFmtId="0" fontId="99" fillId="23" borderId="0" applyNumberFormat="0" applyBorder="0" applyAlignment="0" applyProtection="0"/>
    <xf numFmtId="0" fontId="99" fillId="31" borderId="0" applyNumberFormat="0" applyBorder="0" applyAlignment="0" applyProtection="0"/>
    <xf numFmtId="0" fontId="99" fillId="31" borderId="0" applyNumberFormat="0" applyBorder="0" applyAlignment="0" applyProtection="0"/>
    <xf numFmtId="0" fontId="99" fillId="32" borderId="0" applyNumberFormat="0" applyBorder="0" applyAlignment="0" applyProtection="0"/>
    <xf numFmtId="0" fontId="99" fillId="32" borderId="0" applyNumberFormat="0" applyBorder="0" applyAlignment="0" applyProtection="0"/>
    <xf numFmtId="0" fontId="99" fillId="35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229" fontId="115" fillId="0" borderId="0"/>
    <xf numFmtId="0" fontId="115" fillId="0" borderId="0"/>
    <xf numFmtId="167" fontId="109" fillId="0" borderId="0"/>
    <xf numFmtId="0" fontId="109" fillId="0" borderId="0"/>
    <xf numFmtId="167" fontId="109" fillId="0" borderId="0"/>
    <xf numFmtId="167" fontId="109" fillId="0" borderId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5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6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39" fillId="10" borderId="0" applyNumberFormat="0" applyFont="0" applyBorder="0" applyAlignment="0">
      <alignment horizontal="right"/>
    </xf>
    <xf numFmtId="198" fontId="40" fillId="10" borderId="3" applyFont="0">
      <alignment horizontal="right"/>
    </xf>
    <xf numFmtId="0" fontId="40" fillId="10" borderId="3" applyFont="0">
      <alignment horizontal="right"/>
    </xf>
    <xf numFmtId="0" fontId="116" fillId="0" borderId="0" applyNumberFormat="0" applyAlignment="0"/>
    <xf numFmtId="0" fontId="117" fillId="0" borderId="0" applyNumberFormat="0" applyAlignment="0"/>
    <xf numFmtId="0" fontId="118" fillId="0" borderId="0" applyNumberFormat="0" applyAlignment="0"/>
    <xf numFmtId="0" fontId="119" fillId="0" borderId="0" applyNumberFormat="0" applyAlignment="0"/>
    <xf numFmtId="0" fontId="11" fillId="0" borderId="0"/>
    <xf numFmtId="0" fontId="11" fillId="0" borderId="0"/>
    <xf numFmtId="5" fontId="120" fillId="0" borderId="36">
      <alignment horizontal="right"/>
    </xf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9" fillId="0" borderId="0" applyFont="0" applyFill="0" applyBorder="0" applyAlignment="0" applyProtection="0"/>
    <xf numFmtId="206" fontId="109" fillId="0" borderId="0" applyFill="0" applyBorder="0" applyAlignment="0" applyProtection="0">
      <protection locked="0"/>
    </xf>
    <xf numFmtId="0" fontId="109" fillId="0" borderId="0" applyFill="0" applyBorder="0" applyAlignment="0" applyProtection="0">
      <protection locked="0"/>
    </xf>
    <xf numFmtId="206" fontId="109" fillId="0" borderId="0" applyFill="0" applyBorder="0" applyAlignment="0" applyProtection="0">
      <protection locked="0"/>
    </xf>
    <xf numFmtId="206" fontId="109" fillId="0" borderId="0" applyFill="0" applyBorder="0" applyAlignment="0" applyProtection="0">
      <protection locked="0"/>
    </xf>
    <xf numFmtId="3" fontId="120" fillId="0" borderId="0" applyFont="0" applyBorder="0" applyAlignment="0" applyProtection="0"/>
    <xf numFmtId="0" fontId="19" fillId="0" borderId="0"/>
    <xf numFmtId="0" fontId="109" fillId="0" borderId="36" applyNumberFormat="0" applyFont="0" applyFill="0" applyAlignment="0" applyProtection="0"/>
    <xf numFmtId="0" fontId="109" fillId="0" borderId="37" applyNumberFormat="0" applyFont="0" applyFill="0" applyAlignment="0" applyProtection="0"/>
    <xf numFmtId="0" fontId="121" fillId="0" borderId="0"/>
    <xf numFmtId="0" fontId="11" fillId="0" borderId="0" applyFill="0" applyBorder="0" applyAlignment="0"/>
    <xf numFmtId="0" fontId="11" fillId="0" borderId="0" applyFill="0" applyBorder="0" applyAlignment="0"/>
    <xf numFmtId="286" fontId="183" fillId="0" borderId="0" applyFill="0" applyBorder="0" applyAlignment="0"/>
    <xf numFmtId="287" fontId="183" fillId="0" borderId="0" applyFill="0" applyBorder="0" applyAlignment="0"/>
    <xf numFmtId="288" fontId="183" fillId="0" borderId="0" applyFill="0" applyBorder="0" applyAlignment="0"/>
    <xf numFmtId="289" fontId="183" fillId="0" borderId="0" applyFill="0" applyBorder="0" applyAlignment="0"/>
    <xf numFmtId="293" fontId="183" fillId="0" borderId="0" applyFill="0" applyBorder="0" applyAlignment="0"/>
    <xf numFmtId="290" fontId="183" fillId="0" borderId="0" applyFill="0" applyBorder="0" applyAlignment="0"/>
    <xf numFmtId="286" fontId="183" fillId="0" borderId="0" applyFill="0" applyBorder="0" applyAlignment="0"/>
    <xf numFmtId="0" fontId="101" fillId="41" borderId="38" applyNumberFormat="0" applyAlignment="0" applyProtection="0"/>
    <xf numFmtId="0" fontId="101" fillId="41" borderId="38" applyNumberFormat="0" applyAlignment="0" applyProtection="0"/>
    <xf numFmtId="206" fontId="109" fillId="0" borderId="0" applyFont="0" applyFill="0" applyBorder="0" applyAlignment="0" applyProtection="0">
      <protection locked="0"/>
    </xf>
    <xf numFmtId="0" fontId="109" fillId="0" borderId="0" applyFont="0" applyFill="0" applyBorder="0" applyAlignment="0" applyProtection="0">
      <protection locked="0"/>
    </xf>
    <xf numFmtId="206" fontId="109" fillId="0" borderId="0" applyFont="0" applyFill="0" applyBorder="0" applyAlignment="0" applyProtection="0">
      <protection locked="0"/>
    </xf>
    <xf numFmtId="0" fontId="109" fillId="0" borderId="39" applyFont="0" applyFill="0" applyAlignment="0" applyProtection="0"/>
    <xf numFmtId="0" fontId="102" fillId="42" borderId="40" applyNumberFormat="0" applyAlignment="0" applyProtection="0"/>
    <xf numFmtId="0" fontId="102" fillId="42" borderId="40" applyNumberFormat="0" applyAlignment="0" applyProtection="0"/>
    <xf numFmtId="0" fontId="19" fillId="43" borderId="41" applyFont="0" applyFill="0" applyBorder="0"/>
    <xf numFmtId="0" fontId="9" fillId="0" borderId="8"/>
    <xf numFmtId="0" fontId="188" fillId="0" borderId="0"/>
    <xf numFmtId="0" fontId="188" fillId="0" borderId="0"/>
    <xf numFmtId="0" fontId="188" fillId="0" borderId="0"/>
    <xf numFmtId="0" fontId="188" fillId="0" borderId="0"/>
    <xf numFmtId="0" fontId="188" fillId="0" borderId="0"/>
    <xf numFmtId="0" fontId="188" fillId="0" borderId="0"/>
    <xf numFmtId="0" fontId="188" fillId="0" borderId="0"/>
    <xf numFmtId="0" fontId="188" fillId="0" borderId="0"/>
    <xf numFmtId="245" fontId="109" fillId="0" borderId="0"/>
    <xf numFmtId="0" fontId="109" fillId="0" borderId="0"/>
    <xf numFmtId="245" fontId="109" fillId="0" borderId="0"/>
    <xf numFmtId="245" fontId="109" fillId="0" borderId="0"/>
    <xf numFmtId="38" fontId="58" fillId="0" borderId="0" applyFont="0" applyFill="0" applyBorder="0" applyAlignment="0" applyProtection="0"/>
    <xf numFmtId="293" fontId="183" fillId="0" borderId="0" applyFont="0" applyFill="0" applyBorder="0" applyAlignment="0" applyProtection="0"/>
    <xf numFmtId="38" fontId="122" fillId="0" borderId="0">
      <alignment horizontal="center"/>
      <protection locked="0"/>
    </xf>
    <xf numFmtId="232" fontId="69" fillId="0" borderId="0" applyFont="0" applyFill="0" applyBorder="0" applyAlignment="0" applyProtection="0">
      <alignment horizontal="right"/>
    </xf>
    <xf numFmtId="0" fontId="69" fillId="0" borderId="0" applyFont="0" applyFill="0" applyBorder="0" applyAlignment="0" applyProtection="0">
      <alignment horizontal="right"/>
    </xf>
    <xf numFmtId="232" fontId="69" fillId="0" borderId="0" applyFont="0" applyFill="0" applyBorder="0" applyAlignment="0" applyProtection="0">
      <alignment horizontal="right"/>
    </xf>
    <xf numFmtId="24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69" fontId="18" fillId="0" borderId="0" applyFill="0" applyBorder="0" applyProtection="0"/>
    <xf numFmtId="17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233" fontId="69" fillId="0" borderId="0" applyFont="0" applyFill="0" applyBorder="0" applyAlignment="0" applyProtection="0">
      <alignment horizontal="right"/>
    </xf>
    <xf numFmtId="0" fontId="69" fillId="0" borderId="0" applyFont="0" applyFill="0" applyBorder="0" applyAlignment="0" applyProtection="0">
      <alignment horizontal="right"/>
    </xf>
    <xf numFmtId="233" fontId="69" fillId="0" borderId="0" applyFont="0" applyFill="0" applyBorder="0" applyAlignment="0" applyProtection="0">
      <alignment horizontal="right"/>
    </xf>
    <xf numFmtId="214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43" fontId="11" fillId="0" borderId="0" applyFont="0" applyFill="0" applyBorder="0" applyAlignment="0" applyProtection="0"/>
    <xf numFmtId="3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47" fontId="123" fillId="0" borderId="0" applyFont="0" applyFill="0" applyBorder="0">
      <alignment horizontal="right"/>
    </xf>
    <xf numFmtId="0" fontId="123" fillId="0" borderId="0" applyFont="0" applyFill="0" applyBorder="0">
      <alignment horizontal="right"/>
    </xf>
    <xf numFmtId="248" fontId="124" fillId="0" borderId="0" applyFont="0" applyFill="0" applyBorder="0" applyAlignment="0"/>
    <xf numFmtId="0" fontId="124" fillId="0" borderId="0" applyFont="0" applyFill="0" applyBorder="0" applyAlignment="0"/>
    <xf numFmtId="249" fontId="123" fillId="0" borderId="0" applyFont="0" applyFill="0" applyBorder="0" applyAlignment="0"/>
    <xf numFmtId="0" fontId="123" fillId="0" borderId="0" applyFont="0" applyFill="0" applyBorder="0" applyAlignment="0"/>
    <xf numFmtId="250" fontId="125" fillId="44" borderId="13" applyFont="0" applyFill="0" applyBorder="0" applyAlignment="0"/>
    <xf numFmtId="0" fontId="125" fillId="44" borderId="13" applyFont="0" applyFill="0" applyBorder="0" applyAlignment="0"/>
    <xf numFmtId="0" fontId="125" fillId="44" borderId="13" applyFont="0" applyFill="0" applyBorder="0" applyAlignment="0"/>
    <xf numFmtId="250" fontId="125" fillId="44" borderId="13" applyFont="0" applyFill="0" applyBorder="0" applyAlignment="0"/>
    <xf numFmtId="3" fontId="126" fillId="0" borderId="0" applyFont="0" applyFill="0" applyBorder="0" applyAlignment="0" applyProtection="0"/>
    <xf numFmtId="0" fontId="11" fillId="0" borderId="0" applyNumberFormat="0" applyAlignment="0">
      <alignment horizontal="left"/>
    </xf>
    <xf numFmtId="0" fontId="11" fillId="0" borderId="0" applyNumberFormat="0" applyAlignment="0">
      <alignment horizontal="left"/>
    </xf>
    <xf numFmtId="0" fontId="127" fillId="0" borderId="0">
      <alignment horizontal="left"/>
    </xf>
    <xf numFmtId="0" fontId="128" fillId="0" borderId="0"/>
    <xf numFmtId="0" fontId="129" fillId="0" borderId="0">
      <alignment horizontal="left"/>
    </xf>
    <xf numFmtId="224" fontId="16" fillId="0" borderId="0"/>
    <xf numFmtId="0" fontId="16" fillId="0" borderId="0"/>
    <xf numFmtId="286" fontId="183" fillId="0" borderId="0" applyFont="0" applyFill="0" applyBorder="0" applyAlignment="0" applyProtection="0"/>
    <xf numFmtId="234" fontId="69" fillId="0" borderId="0" applyFont="0" applyFill="0" applyBorder="0" applyAlignment="0" applyProtection="0">
      <alignment horizontal="right"/>
    </xf>
    <xf numFmtId="0" fontId="69" fillId="0" borderId="0" applyFont="0" applyFill="0" applyBorder="0" applyAlignment="0" applyProtection="0">
      <alignment horizontal="right"/>
    </xf>
    <xf numFmtId="234" fontId="69" fillId="0" borderId="0" applyFont="0" applyFill="0" applyBorder="0" applyAlignment="0" applyProtection="0">
      <alignment horizontal="right"/>
    </xf>
    <xf numFmtId="177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0" fontId="69" fillId="0" borderId="0" applyFont="0" applyFill="0" applyBorder="0" applyAlignment="0" applyProtection="0">
      <alignment horizontal="right"/>
    </xf>
    <xf numFmtId="0" fontId="69" fillId="0" borderId="0" applyFont="0" applyFill="0" applyBorder="0" applyAlignment="0" applyProtection="0">
      <alignment horizontal="right"/>
    </xf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18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51" fontId="130" fillId="0" borderId="0" applyFont="0" applyFill="0" applyBorder="0"/>
    <xf numFmtId="0" fontId="130" fillId="0" borderId="0" applyFont="0" applyFill="0" applyBorder="0"/>
    <xf numFmtId="252" fontId="131" fillId="0" borderId="0" applyFont="0" applyFill="0" applyBorder="0" applyAlignment="0"/>
    <xf numFmtId="0" fontId="131" fillId="0" borderId="0" applyFont="0" applyFill="0" applyBorder="0" applyAlignment="0"/>
    <xf numFmtId="253" fontId="132" fillId="0" borderId="10" applyFont="0" applyFill="0" applyBorder="0" applyAlignment="0"/>
    <xf numFmtId="0" fontId="132" fillId="0" borderId="10" applyFont="0" applyFill="0" applyBorder="0" applyAlignment="0"/>
    <xf numFmtId="0" fontId="132" fillId="0" borderId="10" applyFont="0" applyFill="0" applyBorder="0" applyAlignment="0"/>
    <xf numFmtId="253" fontId="132" fillId="0" borderId="10" applyFont="0" applyFill="0" applyBorder="0" applyAlignment="0"/>
    <xf numFmtId="282" fontId="126" fillId="0" borderId="0" applyFont="0" applyFill="0" applyBorder="0" applyAlignment="0" applyProtection="0"/>
    <xf numFmtId="0" fontId="126" fillId="0" borderId="0" applyFont="0" applyFill="0" applyBorder="0" applyAlignment="0" applyProtection="0"/>
    <xf numFmtId="254" fontId="133" fillId="0" borderId="0" applyFill="0" applyBorder="0" applyProtection="0">
      <alignment vertical="center"/>
    </xf>
    <xf numFmtId="0" fontId="133" fillId="0" borderId="0" applyFill="0" applyBorder="0" applyProtection="0">
      <alignment vertical="center"/>
    </xf>
    <xf numFmtId="0" fontId="11" fillId="21" borderId="0" applyFont="0" applyBorder="0"/>
    <xf numFmtId="0" fontId="11" fillId="21" borderId="0" applyFont="0" applyBorder="0"/>
    <xf numFmtId="299" fontId="185" fillId="21" borderId="12">
      <alignment horizontal="right"/>
    </xf>
    <xf numFmtId="0" fontId="133" fillId="0" borderId="0" applyNumberFormat="0">
      <alignment horizontal="right"/>
    </xf>
    <xf numFmtId="14" fontId="114" fillId="0" borderId="0"/>
    <xf numFmtId="17" fontId="19" fillId="0" borderId="0" applyFill="0" applyBorder="0">
      <alignment horizontal="right"/>
    </xf>
    <xf numFmtId="17" fontId="19" fillId="0" borderId="0" applyFill="0" applyBorder="0">
      <alignment horizontal="right"/>
    </xf>
    <xf numFmtId="17" fontId="19" fillId="0" borderId="0" applyFill="0" applyBorder="0">
      <alignment horizontal="right"/>
    </xf>
    <xf numFmtId="14" fontId="114" fillId="0" borderId="0"/>
    <xf numFmtId="14" fontId="114" fillId="0" borderId="0"/>
    <xf numFmtId="14" fontId="114" fillId="0" borderId="0"/>
    <xf numFmtId="14" fontId="114" fillId="0" borderId="0"/>
    <xf numFmtId="14" fontId="114" fillId="0" borderId="0"/>
    <xf numFmtId="14" fontId="114" fillId="0" borderId="0"/>
    <xf numFmtId="14" fontId="114" fillId="0" borderId="0"/>
    <xf numFmtId="14" fontId="114" fillId="0" borderId="0"/>
    <xf numFmtId="14" fontId="114" fillId="0" borderId="0"/>
    <xf numFmtId="14" fontId="114" fillId="0" borderId="0"/>
    <xf numFmtId="14" fontId="114" fillId="0" borderId="0"/>
    <xf numFmtId="235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235" fontId="69" fillId="0" borderId="0" applyFont="0" applyFill="0" applyBorder="0" applyAlignment="0" applyProtection="0"/>
    <xf numFmtId="14" fontId="10" fillId="0" borderId="0" applyFill="0" applyBorder="0" applyAlignment="0"/>
    <xf numFmtId="14" fontId="114" fillId="0" borderId="0"/>
    <xf numFmtId="14" fontId="134" fillId="0" borderId="0" applyFont="0" applyFill="0" applyBorder="0" applyAlignment="0" applyProtection="0">
      <alignment horizontal="center"/>
    </xf>
    <xf numFmtId="14" fontId="134" fillId="0" borderId="0" applyFont="0" applyFill="0" applyBorder="0" applyAlignment="0" applyProtection="0">
      <alignment horizontal="center"/>
    </xf>
    <xf numFmtId="223" fontId="134" fillId="0" borderId="0" applyFont="0" applyFill="0" applyBorder="0" applyAlignment="0" applyProtection="0">
      <alignment horizontal="center"/>
    </xf>
    <xf numFmtId="0" fontId="134" fillId="0" borderId="0" applyFont="0" applyFill="0" applyBorder="0" applyAlignment="0" applyProtection="0">
      <alignment horizontal="center"/>
    </xf>
    <xf numFmtId="223" fontId="134" fillId="0" borderId="0" applyFont="0" applyFill="0" applyBorder="0" applyAlignment="0" applyProtection="0">
      <alignment horizontal="center"/>
    </xf>
    <xf numFmtId="255" fontId="135" fillId="44" borderId="0" applyFont="0" applyFill="0">
      <alignment horizontal="right"/>
    </xf>
    <xf numFmtId="0" fontId="135" fillId="44" borderId="0" applyFont="0" applyFill="0">
      <alignment horizontal="right"/>
    </xf>
    <xf numFmtId="1" fontId="69" fillId="0" borderId="0" applyFont="0" applyFill="0" applyBorder="0" applyAlignment="0" applyProtection="0">
      <alignment horizontal="right"/>
    </xf>
    <xf numFmtId="2" fontId="112" fillId="45" borderId="0">
      <alignment horizontal="left"/>
      <protection hidden="1"/>
    </xf>
    <xf numFmtId="294" fontId="10" fillId="46" borderId="0" applyNumberFormat="0" applyBorder="0">
      <protection locked="0"/>
    </xf>
    <xf numFmtId="201" fontId="51" fillId="0" borderId="0" applyFont="0" applyFill="0" applyBorder="0" applyAlignment="0" applyProtection="0">
      <alignment horizontal="right"/>
    </xf>
    <xf numFmtId="0" fontId="51" fillId="0" borderId="0" applyFont="0" applyFill="0" applyBorder="0" applyAlignment="0" applyProtection="0">
      <alignment horizontal="right"/>
    </xf>
    <xf numFmtId="201" fontId="51" fillId="0" borderId="0" applyFont="0" applyFill="0" applyBorder="0" applyAlignment="0" applyProtection="0">
      <alignment horizontal="right"/>
    </xf>
    <xf numFmtId="6" fontId="109" fillId="0" borderId="0" applyFont="0" applyFill="0" applyBorder="0" applyAlignment="0" applyProtection="0">
      <alignment horizontal="right"/>
    </xf>
    <xf numFmtId="6" fontId="109" fillId="0" borderId="0" applyFont="0" applyFill="0" applyBorder="0" applyAlignment="0" applyProtection="0">
      <alignment horizontal="right"/>
    </xf>
    <xf numFmtId="6" fontId="109" fillId="0" borderId="0" applyFont="0" applyFill="0" applyBorder="0" applyAlignment="0" applyProtection="0"/>
    <xf numFmtId="6" fontId="109" fillId="0" borderId="0" applyFont="0" applyFill="0" applyBorder="0" applyAlignment="0" applyProtection="0"/>
    <xf numFmtId="236" fontId="69" fillId="0" borderId="22" applyNumberFormat="0" applyFont="0" applyFill="0" applyAlignment="0" applyProtection="0"/>
    <xf numFmtId="0" fontId="69" fillId="0" borderId="22" applyNumberFormat="0" applyFont="0" applyFill="0" applyAlignment="0" applyProtection="0"/>
    <xf numFmtId="236" fontId="69" fillId="0" borderId="22" applyNumberFormat="0" applyFont="0" applyFill="0" applyAlignment="0" applyProtection="0"/>
    <xf numFmtId="1" fontId="109" fillId="0" borderId="0"/>
    <xf numFmtId="1" fontId="109" fillId="0" borderId="0"/>
    <xf numFmtId="1" fontId="109" fillId="0" borderId="0"/>
    <xf numFmtId="256" fontId="132" fillId="0" borderId="10" applyFont="0" applyFill="0" applyBorder="0">
      <alignment horizontal="center"/>
    </xf>
    <xf numFmtId="0" fontId="132" fillId="0" borderId="10" applyFont="0" applyFill="0" applyBorder="0">
      <alignment horizontal="center"/>
    </xf>
    <xf numFmtId="0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0" fontId="132" fillId="0" borderId="10" applyFont="0" applyFill="0" applyBorder="0">
      <alignment horizontal="center"/>
    </xf>
    <xf numFmtId="0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0" fontId="132" fillId="0" borderId="10" applyFont="0" applyFill="0" applyBorder="0">
      <alignment horizontal="center"/>
    </xf>
    <xf numFmtId="0" fontId="132" fillId="0" borderId="10" applyFont="0" applyFill="0" applyBorder="0">
      <alignment horizontal="center"/>
    </xf>
    <xf numFmtId="0" fontId="132" fillId="0" borderId="10" applyFont="0" applyFill="0" applyBorder="0">
      <alignment horizontal="center"/>
    </xf>
    <xf numFmtId="0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0" fontId="132" fillId="0" borderId="10" applyFont="0" applyFill="0" applyBorder="0">
      <alignment horizontal="center"/>
    </xf>
    <xf numFmtId="0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56" fontId="132" fillId="0" borderId="10" applyFont="0" applyFill="0" applyBorder="0">
      <alignment horizontal="center"/>
    </xf>
    <xf numFmtId="293" fontId="183" fillId="0" borderId="0" applyFill="0" applyBorder="0" applyAlignment="0"/>
    <xf numFmtId="286" fontId="183" fillId="0" borderId="0" applyFill="0" applyBorder="0" applyAlignment="0"/>
    <xf numFmtId="293" fontId="183" fillId="0" borderId="0" applyFill="0" applyBorder="0" applyAlignment="0"/>
    <xf numFmtId="290" fontId="183" fillId="0" borderId="0" applyFill="0" applyBorder="0" applyAlignment="0"/>
    <xf numFmtId="286" fontId="183" fillId="0" borderId="0" applyFill="0" applyBorder="0" applyAlignment="0"/>
    <xf numFmtId="0" fontId="11" fillId="0" borderId="0" applyNumberFormat="0" applyAlignment="0">
      <alignment horizontal="left"/>
    </xf>
    <xf numFmtId="0" fontId="11" fillId="0" borderId="0" applyNumberFormat="0" applyAlignment="0">
      <alignment horizontal="left"/>
    </xf>
    <xf numFmtId="9" fontId="136" fillId="0" borderId="21" applyNumberFormat="0" applyBorder="0" applyAlignment="0">
      <protection locked="0"/>
    </xf>
    <xf numFmtId="0" fontId="109" fillId="47" borderId="42" applyNumberFormat="0" applyFont="0" applyAlignment="0">
      <protection locked="0"/>
    </xf>
    <xf numFmtId="8" fontId="109" fillId="0" borderId="0" applyFont="0" applyFill="0" applyBorder="0" applyAlignment="0" applyProtection="0">
      <alignment horizontal="right"/>
    </xf>
    <xf numFmtId="8" fontId="109" fillId="0" borderId="0" applyFont="0" applyFill="0" applyBorder="0" applyAlignment="0" applyProtection="0">
      <alignment horizontal="right"/>
    </xf>
    <xf numFmtId="7" fontId="16" fillId="0" borderId="0" applyFill="0" applyBorder="0" applyProtection="0"/>
    <xf numFmtId="7" fontId="16" fillId="0" borderId="0" applyFill="0" applyBorder="0" applyProtection="0"/>
    <xf numFmtId="0" fontId="189" fillId="0" borderId="0"/>
    <xf numFmtId="7" fontId="185" fillId="48" borderId="0" applyBorder="0"/>
    <xf numFmtId="300" fontId="185" fillId="0" borderId="0"/>
    <xf numFmtId="301" fontId="185" fillId="0" borderId="0"/>
    <xf numFmtId="39" fontId="185" fillId="48" borderId="0"/>
    <xf numFmtId="302" fontId="185" fillId="0" borderId="0"/>
    <xf numFmtId="243" fontId="69" fillId="0" borderId="0" applyFont="0" applyFill="0" applyBorder="0" applyProtection="0">
      <alignment horizontal="left"/>
      <protection locked="0"/>
    </xf>
    <xf numFmtId="0" fontId="69" fillId="0" borderId="0" applyFont="0" applyFill="0" applyBorder="0" applyProtection="0">
      <alignment horizontal="left"/>
      <protection locked="0"/>
    </xf>
    <xf numFmtId="303" fontId="185" fillId="0" borderId="0"/>
    <xf numFmtId="244" fontId="69" fillId="0" borderId="0" applyFont="0" applyFill="0" applyBorder="0" applyProtection="0">
      <alignment horizontal="left"/>
      <protection locked="0"/>
    </xf>
    <xf numFmtId="0" fontId="69" fillId="0" borderId="0" applyFont="0" applyFill="0" applyBorder="0" applyProtection="0">
      <alignment horizontal="left"/>
      <protection locked="0"/>
    </xf>
    <xf numFmtId="24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41" fontId="11" fillId="0" borderId="0" applyFont="0" applyFill="0" applyBorder="0" applyAlignment="0" applyProtection="0"/>
    <xf numFmtId="171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171" fontId="69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202" fontId="9" fillId="14" borderId="13" applyNumberFormat="0" applyFont="0" applyBorder="0" applyAlignment="0" applyProtection="0">
      <alignment horizontal="right"/>
    </xf>
    <xf numFmtId="0" fontId="9" fillId="14" borderId="13" applyNumberFormat="0" applyFont="0" applyBorder="0" applyAlignment="0" applyProtection="0">
      <alignment horizontal="right"/>
    </xf>
    <xf numFmtId="0" fontId="9" fillId="14" borderId="13" applyNumberFormat="0" applyFont="0" applyBorder="0" applyAlignment="0" applyProtection="0">
      <alignment horizontal="right"/>
    </xf>
    <xf numFmtId="202" fontId="9" fillId="14" borderId="13" applyNumberFormat="0" applyFont="0" applyBorder="0" applyAlignment="0" applyProtection="0">
      <alignment horizontal="right"/>
    </xf>
    <xf numFmtId="230" fontId="115" fillId="0" borderId="0">
      <alignment horizontal="right"/>
    </xf>
    <xf numFmtId="0" fontId="115" fillId="0" borderId="0">
      <alignment horizontal="right"/>
    </xf>
    <xf numFmtId="170" fontId="69" fillId="0" borderId="0" applyFont="0" applyFill="0" applyBorder="0" applyAlignment="0" applyProtection="0">
      <alignment horizontal="right"/>
    </xf>
    <xf numFmtId="0" fontId="69" fillId="0" borderId="0" applyFont="0" applyFill="0" applyBorder="0" applyAlignment="0" applyProtection="0">
      <alignment horizontal="right"/>
    </xf>
    <xf numFmtId="170" fontId="69" fillId="0" borderId="0" applyFont="0" applyFill="0" applyBorder="0" applyAlignment="0" applyProtection="0">
      <alignment horizontal="right"/>
    </xf>
    <xf numFmtId="0" fontId="24" fillId="0" borderId="3" applyFont="0" applyFill="0" applyBorder="0" applyAlignment="0" applyProtection="0">
      <alignment horizontal="center"/>
    </xf>
    <xf numFmtId="2" fontId="126" fillId="0" borderId="0" applyFont="0" applyFill="0" applyBorder="0" applyAlignment="0" applyProtection="0"/>
    <xf numFmtId="0" fontId="137" fillId="0" borderId="0">
      <alignment horizontal="left"/>
    </xf>
    <xf numFmtId="0" fontId="138" fillId="0" borderId="0">
      <alignment horizontal="left"/>
    </xf>
    <xf numFmtId="0" fontId="139" fillId="0" borderId="0" applyFill="0" applyBorder="0" applyProtection="0">
      <alignment horizontal="left"/>
    </xf>
    <xf numFmtId="0" fontId="139" fillId="0" borderId="0" applyNumberFormat="0" applyFill="0" applyBorder="0" applyProtection="0">
      <alignment horizontal="left"/>
    </xf>
    <xf numFmtId="0" fontId="139" fillId="0" borderId="0" applyFill="0" applyBorder="0" applyProtection="0">
      <alignment vertical="center"/>
    </xf>
    <xf numFmtId="304" fontId="185" fillId="0" borderId="43"/>
    <xf numFmtId="0" fontId="185" fillId="21" borderId="12">
      <alignment horizontal="right"/>
    </xf>
    <xf numFmtId="305" fontId="185" fillId="21" borderId="12">
      <alignment horizontal="right"/>
    </xf>
    <xf numFmtId="224" fontId="109" fillId="0" borderId="0" applyFill="0" applyBorder="0" applyAlignment="0" applyProtection="0">
      <protection locked="0"/>
    </xf>
    <xf numFmtId="0" fontId="109" fillId="0" borderId="0" applyFill="0" applyBorder="0" applyAlignment="0" applyProtection="0">
      <protection locked="0"/>
    </xf>
    <xf numFmtId="224" fontId="109" fillId="0" borderId="0" applyFill="0" applyBorder="0" applyAlignment="0" applyProtection="0">
      <protection locked="0"/>
    </xf>
    <xf numFmtId="224" fontId="109" fillId="0" borderId="0" applyFill="0" applyBorder="0" applyAlignment="0" applyProtection="0">
      <protection locked="0"/>
    </xf>
    <xf numFmtId="0" fontId="104" fillId="27" borderId="0" applyNumberFormat="0" applyBorder="0" applyAlignment="0" applyProtection="0"/>
    <xf numFmtId="0" fontId="104" fillId="27" borderId="0" applyNumberFormat="0" applyBorder="0" applyAlignment="0" applyProtection="0"/>
    <xf numFmtId="38" fontId="9" fillId="21" borderId="0" applyNumberFormat="0" applyBorder="0" applyAlignment="0" applyProtection="0"/>
    <xf numFmtId="38" fontId="9" fillId="21" borderId="0" applyNumberFormat="0" applyBorder="0" applyAlignment="0" applyProtection="0"/>
    <xf numFmtId="38" fontId="9" fillId="21" borderId="0" applyNumberFormat="0" applyBorder="0" applyAlignment="0" applyProtection="0"/>
    <xf numFmtId="240" fontId="140" fillId="0" borderId="0" applyFill="0" applyBorder="0" applyAlignment="0" applyProtection="0"/>
    <xf numFmtId="0" fontId="140" fillId="0" borderId="0" applyFill="0" applyBorder="0" applyAlignment="0" applyProtection="0"/>
    <xf numFmtId="240" fontId="141" fillId="0" borderId="0" applyAlignment="0">
      <alignment horizontal="left"/>
      <protection locked="0"/>
    </xf>
    <xf numFmtId="0" fontId="141" fillId="0" borderId="0" applyAlignment="0">
      <alignment horizontal="left"/>
      <protection locked="0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49" fontId="53" fillId="0" borderId="0">
      <alignment horizontal="right"/>
    </xf>
    <xf numFmtId="239" fontId="19" fillId="49" borderId="21" applyNumberFormat="0" applyFont="0" applyAlignment="0"/>
    <xf numFmtId="0" fontId="19" fillId="49" borderId="21" applyNumberFormat="0" applyFont="0" applyAlignment="0"/>
    <xf numFmtId="237" fontId="69" fillId="0" borderId="0" applyFont="0" applyFill="0" applyBorder="0" applyAlignment="0" applyProtection="0">
      <alignment horizontal="right"/>
    </xf>
    <xf numFmtId="0" fontId="69" fillId="0" borderId="0" applyFont="0" applyFill="0" applyBorder="0" applyAlignment="0" applyProtection="0">
      <alignment horizontal="right"/>
    </xf>
    <xf numFmtId="237" fontId="69" fillId="0" borderId="0" applyFont="0" applyFill="0" applyBorder="0" applyAlignment="0" applyProtection="0">
      <alignment horizontal="right"/>
    </xf>
    <xf numFmtId="226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2" fillId="0" borderId="0">
      <alignment horizontal="left"/>
    </xf>
    <xf numFmtId="226" fontId="110" fillId="0" borderId="0" applyNumberFormat="0" applyFill="0" applyBorder="0" applyAlignment="0" applyProtection="0"/>
    <xf numFmtId="0" fontId="20" fillId="0" borderId="44" applyNumberFormat="0" applyAlignment="0" applyProtection="0">
      <alignment horizontal="left" vertical="center"/>
    </xf>
    <xf numFmtId="0" fontId="20" fillId="0" borderId="3">
      <alignment horizontal="left" vertical="center"/>
    </xf>
    <xf numFmtId="0" fontId="177" fillId="0" borderId="0">
      <alignment horizontal="center"/>
    </xf>
    <xf numFmtId="0" fontId="190" fillId="41" borderId="21">
      <alignment horizontal="centerContinuous"/>
    </xf>
    <xf numFmtId="0" fontId="143" fillId="0" borderId="11">
      <alignment horizontal="left" vertical="top"/>
    </xf>
    <xf numFmtId="0" fontId="144" fillId="0" borderId="0">
      <alignment horizontal="left"/>
    </xf>
    <xf numFmtId="0" fontId="143" fillId="0" borderId="11">
      <alignment horizontal="left" vertical="top"/>
    </xf>
    <xf numFmtId="0" fontId="145" fillId="0" borderId="0" applyProtection="0">
      <alignment horizontal="left"/>
    </xf>
    <xf numFmtId="0" fontId="67" fillId="0" borderId="0">
      <alignment horizontal="left"/>
    </xf>
    <xf numFmtId="0" fontId="146" fillId="0" borderId="11">
      <alignment horizontal="left" vertical="top"/>
    </xf>
    <xf numFmtId="0" fontId="147" fillId="0" borderId="0" applyProtection="0">
      <alignment horizontal="left"/>
    </xf>
    <xf numFmtId="0" fontId="147" fillId="0" borderId="0">
      <alignment horizontal="left"/>
    </xf>
    <xf numFmtId="0" fontId="191" fillId="0" borderId="0" applyNumberFormat="0" applyFill="0" applyBorder="0" applyAlignment="0" applyProtection="0"/>
    <xf numFmtId="0" fontId="191" fillId="0" borderId="0" applyNumberFormat="0" applyFill="0" applyBorder="0" applyAlignment="0" applyProtection="0"/>
    <xf numFmtId="184" fontId="11" fillId="0" borderId="0" applyFont="0" applyFill="0" applyBorder="0" applyAlignment="0" applyProtection="0"/>
    <xf numFmtId="0" fontId="192" fillId="0" borderId="0" applyNumberFormat="0" applyFont="0" applyFill="0" applyBorder="0" applyAlignment="0">
      <alignment horizontal="left"/>
    </xf>
    <xf numFmtId="0" fontId="86" fillId="0" borderId="0" applyNumberFormat="0" applyFill="0" applyBorder="0" applyAlignment="0" applyProtection="0">
      <alignment vertical="top"/>
      <protection locked="0"/>
    </xf>
    <xf numFmtId="0" fontId="215" fillId="0" borderId="0" applyNumberFormat="0" applyFill="0" applyBorder="0" applyAlignment="0" applyProtection="0">
      <alignment vertical="top"/>
      <protection locked="0"/>
    </xf>
    <xf numFmtId="294" fontId="193" fillId="50" borderId="0" applyNumberFormat="0" applyBorder="0">
      <alignment horizontal="left"/>
      <protection locked="0"/>
    </xf>
    <xf numFmtId="0" fontId="109" fillId="0" borderId="0" applyFont="0" applyFill="0" applyBorder="0" applyAlignment="0" applyProtection="0"/>
    <xf numFmtId="224" fontId="109" fillId="0" borderId="0" applyFill="0" applyBorder="0" applyAlignment="0" applyProtection="0">
      <alignment horizontal="right"/>
      <protection locked="0"/>
    </xf>
    <xf numFmtId="0" fontId="109" fillId="0" borderId="0" applyFill="0" applyBorder="0" applyAlignment="0" applyProtection="0">
      <alignment horizontal="right"/>
      <protection locked="0"/>
    </xf>
    <xf numFmtId="224" fontId="109" fillId="0" borderId="0" applyFill="0" applyBorder="0" applyAlignment="0" applyProtection="0">
      <alignment horizontal="right"/>
      <protection locked="0"/>
    </xf>
    <xf numFmtId="224" fontId="109" fillId="0" borderId="0" applyFill="0" applyBorder="0" applyAlignment="0" applyProtection="0">
      <alignment horizontal="right"/>
      <protection locked="0"/>
    </xf>
    <xf numFmtId="40" fontId="109" fillId="0" borderId="0" applyFont="0" applyFill="0" applyBorder="0" applyAlignment="0" applyProtection="0">
      <alignment horizontal="right"/>
    </xf>
    <xf numFmtId="257" fontId="53" fillId="0" borderId="0" applyBorder="0" applyAlignment="0"/>
    <xf numFmtId="10" fontId="9" fillId="49" borderId="21" applyNumberFormat="0" applyBorder="0" applyAlignment="0" applyProtection="0"/>
    <xf numFmtId="10" fontId="9" fillId="49" borderId="21" applyNumberFormat="0" applyBorder="0" applyAlignment="0" applyProtection="0"/>
    <xf numFmtId="10" fontId="9" fillId="49" borderId="21" applyNumberFormat="0" applyBorder="0" applyAlignment="0" applyProtection="0"/>
    <xf numFmtId="1" fontId="108" fillId="0" borderId="0" applyNumberFormat="0">
      <alignment horizontal="right"/>
    </xf>
    <xf numFmtId="1" fontId="108" fillId="0" borderId="0" applyNumberFormat="0">
      <alignment horizontal="right"/>
    </xf>
    <xf numFmtId="1" fontId="108" fillId="0" borderId="0" applyNumberFormat="0">
      <alignment horizontal="right"/>
    </xf>
    <xf numFmtId="1" fontId="108" fillId="0" borderId="0" applyNumberFormat="0">
      <alignment horizontal="right"/>
    </xf>
    <xf numFmtId="1" fontId="108" fillId="0" borderId="0" applyNumberFormat="0">
      <alignment horizontal="right"/>
    </xf>
    <xf numFmtId="1" fontId="108" fillId="0" borderId="0" applyNumberFormat="0">
      <alignment horizontal="right"/>
    </xf>
    <xf numFmtId="1" fontId="108" fillId="0" borderId="0" applyNumberFormat="0">
      <alignment horizontal="right"/>
    </xf>
    <xf numFmtId="1" fontId="108" fillId="0" borderId="0" applyNumberFormat="0">
      <alignment horizontal="right"/>
    </xf>
    <xf numFmtId="1" fontId="108" fillId="0" borderId="0" applyNumberFormat="0">
      <alignment horizontal="right"/>
    </xf>
    <xf numFmtId="1" fontId="108" fillId="0" borderId="0" applyNumberFormat="0">
      <alignment horizontal="right"/>
    </xf>
    <xf numFmtId="1" fontId="108" fillId="0" borderId="0" applyNumberFormat="0">
      <alignment horizontal="right"/>
    </xf>
    <xf numFmtId="1" fontId="108" fillId="0" borderId="0" applyNumberFormat="0">
      <alignment horizontal="right"/>
    </xf>
    <xf numFmtId="1" fontId="108" fillId="0" borderId="0" applyNumberFormat="0">
      <alignment horizontal="right"/>
    </xf>
    <xf numFmtId="258" fontId="148" fillId="0" borderId="0" applyFill="0" applyBorder="0" applyProtection="0"/>
    <xf numFmtId="259" fontId="148" fillId="0" borderId="0" applyFill="0" applyBorder="0" applyProtection="0"/>
    <xf numFmtId="0" fontId="148" fillId="0" borderId="0" applyFill="0" applyBorder="0" applyProtection="0"/>
    <xf numFmtId="0" fontId="148" fillId="0" borderId="0" applyFill="0" applyBorder="0" applyProtection="0"/>
    <xf numFmtId="258" fontId="148" fillId="0" borderId="0" applyFill="0" applyBorder="0" applyProtection="0"/>
    <xf numFmtId="260" fontId="148" fillId="0" borderId="0" applyFill="0" applyBorder="0" applyProtection="0"/>
    <xf numFmtId="0" fontId="148" fillId="0" borderId="0" applyFill="0" applyBorder="0" applyProtection="0"/>
    <xf numFmtId="242" fontId="148" fillId="0" borderId="0" applyFill="0" applyBorder="0" applyProtection="0"/>
    <xf numFmtId="0" fontId="148" fillId="0" borderId="0" applyFill="0" applyBorder="0" applyProtection="0"/>
    <xf numFmtId="261" fontId="149" fillId="0" borderId="0" applyFill="0" applyBorder="0" applyProtection="0">
      <alignment vertical="center"/>
    </xf>
    <xf numFmtId="0" fontId="149" fillId="0" borderId="0" applyFill="0" applyBorder="0" applyProtection="0">
      <alignment vertical="center"/>
    </xf>
    <xf numFmtId="254" fontId="149" fillId="0" borderId="0" applyFill="0" applyBorder="0" applyProtection="0">
      <alignment vertical="center"/>
    </xf>
    <xf numFmtId="0" fontId="149" fillId="0" borderId="0" applyFill="0" applyBorder="0" applyProtection="0">
      <alignment vertical="center"/>
    </xf>
    <xf numFmtId="262" fontId="18" fillId="0" borderId="0" applyFont="0" applyFill="0" applyBorder="0" applyAlignment="0">
      <protection locked="0"/>
    </xf>
    <xf numFmtId="0" fontId="18" fillId="0" borderId="0" applyFont="0" applyFill="0" applyBorder="0" applyAlignment="0">
      <protection locked="0"/>
    </xf>
    <xf numFmtId="242" fontId="18" fillId="0" borderId="0" applyFont="0" applyFill="0" applyBorder="0" applyAlignment="0">
      <protection locked="0"/>
    </xf>
    <xf numFmtId="0" fontId="18" fillId="0" borderId="0" applyFont="0" applyFill="0" applyBorder="0" applyAlignment="0">
      <protection locked="0"/>
    </xf>
    <xf numFmtId="263" fontId="149" fillId="0" borderId="0" applyFill="0" applyBorder="0" applyProtection="0">
      <alignment vertical="center"/>
    </xf>
    <xf numFmtId="0" fontId="149" fillId="0" borderId="0" applyFill="0" applyBorder="0" applyProtection="0">
      <alignment vertical="center"/>
    </xf>
    <xf numFmtId="264" fontId="149" fillId="0" borderId="0" applyFill="0" applyBorder="0" applyProtection="0">
      <alignment vertical="center"/>
    </xf>
    <xf numFmtId="0" fontId="149" fillId="0" borderId="0" applyFill="0" applyBorder="0" applyProtection="0">
      <alignment vertical="center"/>
    </xf>
    <xf numFmtId="179" fontId="18" fillId="0" borderId="10" applyFill="0"/>
    <xf numFmtId="0" fontId="18" fillId="0" borderId="10" applyFill="0"/>
    <xf numFmtId="0" fontId="18" fillId="0" borderId="10" applyFill="0"/>
    <xf numFmtId="179" fontId="18" fillId="0" borderId="10" applyFill="0"/>
    <xf numFmtId="0" fontId="150" fillId="0" borderId="0"/>
    <xf numFmtId="17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22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294" fontId="10" fillId="51" borderId="0" applyNumberFormat="0" applyBorder="0">
      <alignment horizontal="right"/>
      <protection locked="0"/>
    </xf>
    <xf numFmtId="293" fontId="183" fillId="0" borderId="0" applyFill="0" applyBorder="0" applyAlignment="0"/>
    <xf numFmtId="286" fontId="183" fillId="0" borderId="0" applyFill="0" applyBorder="0" applyAlignment="0"/>
    <xf numFmtId="293" fontId="183" fillId="0" borderId="0" applyFill="0" applyBorder="0" applyAlignment="0"/>
    <xf numFmtId="290" fontId="183" fillId="0" borderId="0" applyFill="0" applyBorder="0" applyAlignment="0"/>
    <xf numFmtId="286" fontId="183" fillId="0" borderId="0" applyFill="0" applyBorder="0" applyAlignment="0"/>
    <xf numFmtId="0" fontId="105" fillId="0" borderId="45" applyNumberFormat="0" applyFill="0" applyAlignment="0" applyProtection="0"/>
    <xf numFmtId="0" fontId="105" fillId="0" borderId="45" applyNumberFormat="0" applyFill="0" applyAlignment="0" applyProtection="0"/>
    <xf numFmtId="168" fontId="109" fillId="0" borderId="0" applyFont="0" applyFill="0" applyBorder="0" applyAlignment="0" applyProtection="0">
      <alignment horizontal="right"/>
    </xf>
    <xf numFmtId="0" fontId="109" fillId="0" borderId="0" applyFont="0" applyFill="0" applyBorder="0" applyAlignment="0" applyProtection="0">
      <alignment horizontal="right"/>
    </xf>
    <xf numFmtId="168" fontId="109" fillId="0" borderId="0" applyFont="0" applyFill="0" applyBorder="0" applyAlignment="0" applyProtection="0">
      <alignment horizontal="right"/>
    </xf>
    <xf numFmtId="0" fontId="185" fillId="0" borderId="0">
      <alignment horizontal="right"/>
    </xf>
    <xf numFmtId="306" fontId="185" fillId="0" borderId="0">
      <alignment horizontal="right"/>
    </xf>
    <xf numFmtId="307" fontId="185" fillId="0" borderId="0">
      <alignment horizontal="right"/>
    </xf>
    <xf numFmtId="0" fontId="96" fillId="0" borderId="0"/>
    <xf numFmtId="1" fontId="151" fillId="0" borderId="0"/>
    <xf numFmtId="1" fontId="151" fillId="0" borderId="0"/>
    <xf numFmtId="1" fontId="151" fillId="0" borderId="0"/>
    <xf numFmtId="242" fontId="152" fillId="0" borderId="0" applyFill="0" applyBorder="0" applyAlignment="0" applyProtection="0">
      <alignment horizontal="right"/>
    </xf>
    <xf numFmtId="0" fontId="152" fillId="0" borderId="0" applyFill="0" applyBorder="0" applyAlignment="0" applyProtection="0">
      <alignment horizontal="right"/>
    </xf>
    <xf numFmtId="242" fontId="152" fillId="0" borderId="0" applyFill="0" applyBorder="0" applyAlignment="0" applyProtection="0"/>
    <xf numFmtId="0" fontId="152" fillId="0" borderId="0" applyFill="0" applyBorder="0" applyAlignment="0" applyProtection="0"/>
    <xf numFmtId="294" fontId="112" fillId="51" borderId="0" applyNumberFormat="0" applyBorder="0">
      <alignment horizontal="right"/>
      <protection locked="0"/>
    </xf>
    <xf numFmtId="294" fontId="194" fillId="51" borderId="0" applyNumberFormat="0" applyBorder="0">
      <alignment horizontal="right"/>
      <protection locked="0"/>
    </xf>
    <xf numFmtId="265" fontId="11" fillId="0" borderId="0" applyFont="0" applyFill="0" applyBorder="0" applyAlignment="0" applyProtection="0"/>
    <xf numFmtId="266" fontId="11" fillId="0" borderId="0" applyFont="0" applyFill="0" applyBorder="0" applyAlignment="0" applyProtection="0"/>
    <xf numFmtId="0" fontId="185" fillId="21" borderId="12">
      <alignment horizontal="right"/>
    </xf>
    <xf numFmtId="267" fontId="153" fillId="6" borderId="46" applyFont="0" applyFill="0" applyBorder="0" applyAlignment="0">
      <alignment horizontal="center"/>
    </xf>
    <xf numFmtId="0" fontId="153" fillId="6" borderId="46" applyFont="0" applyFill="0" applyBorder="0" applyAlignment="0">
      <alignment horizontal="center"/>
    </xf>
    <xf numFmtId="0" fontId="133" fillId="0" borderId="0" applyFont="0" applyFill="0" applyBorder="0" applyAlignment="0" applyProtection="0">
      <alignment horizontal="right"/>
    </xf>
    <xf numFmtId="238" fontId="133" fillId="0" borderId="0" applyFont="0" applyFill="0" applyBorder="0" applyAlignment="0" applyProtection="0">
      <alignment horizontal="right"/>
    </xf>
    <xf numFmtId="211" fontId="16" fillId="0" borderId="0" applyFill="0" applyBorder="0" applyProtection="0"/>
    <xf numFmtId="211" fontId="16" fillId="0" borderId="0" applyFill="0" applyBorder="0" applyProtection="0"/>
    <xf numFmtId="263" fontId="133" fillId="0" borderId="0" applyFill="0" applyBorder="0" applyProtection="0">
      <alignment vertical="center"/>
    </xf>
    <xf numFmtId="0" fontId="133" fillId="0" borderId="0" applyFill="0" applyBorder="0" applyProtection="0">
      <alignment vertical="center"/>
    </xf>
    <xf numFmtId="268" fontId="18" fillId="0" borderId="0" applyFont="0" applyFill="0" applyBorder="0" applyAlignment="0" applyProtection="0">
      <alignment horizontal="right"/>
    </xf>
    <xf numFmtId="0" fontId="18" fillId="0" borderId="0" applyFont="0" applyFill="0" applyBorder="0" applyAlignment="0" applyProtection="0">
      <alignment horizontal="right"/>
    </xf>
    <xf numFmtId="0" fontId="106" fillId="9" borderId="0" applyNumberFormat="0" applyBorder="0" applyAlignment="0" applyProtection="0"/>
    <xf numFmtId="0" fontId="106" fillId="9" borderId="0" applyNumberFormat="0" applyBorder="0" applyAlignment="0" applyProtection="0"/>
    <xf numFmtId="37" fontId="11" fillId="0" borderId="0"/>
    <xf numFmtId="37" fontId="11" fillId="0" borderId="0"/>
    <xf numFmtId="0" fontId="11" fillId="0" borderId="0" applyFont="0" applyFill="0" applyBorder="0" applyAlignment="0" applyProtection="0"/>
    <xf numFmtId="178" fontId="16" fillId="0" borderId="0" applyFill="0" applyBorder="0" applyProtection="0"/>
    <xf numFmtId="0" fontId="11" fillId="0" borderId="0"/>
    <xf numFmtId="0" fontId="11" fillId="0" borderId="0"/>
    <xf numFmtId="0" fontId="11" fillId="0" borderId="0"/>
    <xf numFmtId="178" fontId="16" fillId="0" borderId="0" applyFill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178" fontId="16" fillId="0" borderId="0" applyFill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37" fontId="16" fillId="0" borderId="0" applyFill="0" applyBorder="0"/>
    <xf numFmtId="178" fontId="16" fillId="0" borderId="0" applyFill="0" applyBorder="0" applyProtection="0"/>
    <xf numFmtId="178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0" fontId="216" fillId="0" borderId="0"/>
    <xf numFmtId="178" fontId="16" fillId="0" borderId="0" applyFill="0" applyBorder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226" fontId="154" fillId="0" borderId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0" fontId="11" fillId="0" borderId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1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0" fontId="11" fillId="0" borderId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6" fillId="0" borderId="0" applyFill="0" applyBorder="0" applyProtection="0"/>
    <xf numFmtId="178" fontId="16" fillId="0" borderId="0" applyFill="0" applyBorder="0" applyProtection="0"/>
    <xf numFmtId="37" fontId="11" fillId="0" borderId="0" applyFont="0" applyFill="0" applyBorder="0" applyAlignment="0" applyProtection="0"/>
    <xf numFmtId="178" fontId="16" fillId="0" borderId="0" applyFill="0" applyBorder="0" applyProtection="0"/>
    <xf numFmtId="37" fontId="16" fillId="0" borderId="0" applyFill="0" applyBorder="0" applyProtection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178" fontId="16" fillId="0" borderId="0" applyFill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37" fontId="16" fillId="0" borderId="0" applyFill="0" applyBorder="0" applyProtection="0"/>
    <xf numFmtId="0" fontId="11" fillId="0" borderId="0"/>
    <xf numFmtId="0" fontId="11" fillId="0" borderId="0"/>
    <xf numFmtId="0" fontId="11" fillId="0" borderId="0"/>
    <xf numFmtId="178" fontId="16" fillId="0" borderId="0" applyFill="0" applyBorder="0" applyProtection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269" fontId="133" fillId="0" borderId="0" applyFill="0" applyBorder="0" applyProtection="0">
      <alignment vertical="center"/>
    </xf>
    <xf numFmtId="0" fontId="133" fillId="0" borderId="0" applyFill="0" applyBorder="0" applyProtection="0">
      <alignment vertical="center"/>
    </xf>
    <xf numFmtId="0" fontId="11" fillId="0" borderId="0"/>
    <xf numFmtId="0" fontId="67" fillId="0" borderId="0"/>
    <xf numFmtId="0" fontId="67" fillId="0" borderId="0"/>
    <xf numFmtId="0" fontId="67" fillId="0" borderId="0"/>
    <xf numFmtId="0" fontId="11" fillId="34" borderId="47" applyNumberFormat="0" applyFont="0" applyAlignment="0" applyProtection="0"/>
    <xf numFmtId="0" fontId="11" fillId="34" borderId="47" applyNumberFormat="0" applyFont="0" applyAlignment="0" applyProtection="0"/>
    <xf numFmtId="37" fontId="115" fillId="0" borderId="0"/>
    <xf numFmtId="39" fontId="115" fillId="0" borderId="0"/>
    <xf numFmtId="0" fontId="52" fillId="0" borderId="0" applyNumberFormat="0" applyFill="0" applyBorder="0" applyAlignment="0" applyProtection="0"/>
    <xf numFmtId="0" fontId="155" fillId="0" borderId="0" applyNumberFormat="0" applyAlignment="0"/>
    <xf numFmtId="0" fontId="156" fillId="0" borderId="0" applyNumberFormat="0" applyAlignment="0"/>
    <xf numFmtId="0" fontId="157" fillId="0" borderId="0" applyNumberFormat="0" applyAlignment="0"/>
    <xf numFmtId="0" fontId="158" fillId="0" borderId="0"/>
    <xf numFmtId="0" fontId="195" fillId="41" borderId="48" applyNumberFormat="0" applyAlignment="0" applyProtection="0"/>
    <xf numFmtId="0" fontId="195" fillId="41" borderId="48" applyNumberFormat="0" applyAlignment="0" applyProtection="0"/>
    <xf numFmtId="281" fontId="109" fillId="0" borderId="0" applyFont="0" applyFill="0" applyBorder="0" applyAlignment="0" applyProtection="0">
      <alignment horizontal="right"/>
    </xf>
    <xf numFmtId="0" fontId="109" fillId="0" borderId="0" applyFont="0" applyFill="0" applyBorder="0" applyAlignment="0" applyProtection="0">
      <alignment horizontal="right"/>
    </xf>
    <xf numFmtId="281" fontId="109" fillId="0" borderId="0" applyFont="0" applyFill="0" applyBorder="0" applyAlignment="0" applyProtection="0">
      <alignment horizontal="right"/>
    </xf>
    <xf numFmtId="182" fontId="32" fillId="0" borderId="0" applyFont="0" applyFill="0" applyBorder="0" applyAlignment="0" applyProtection="0"/>
    <xf numFmtId="0" fontId="159" fillId="0" borderId="0" applyFill="0" applyBorder="0" applyProtection="0">
      <alignment horizontal="left"/>
    </xf>
    <xf numFmtId="0" fontId="160" fillId="0" borderId="0" applyFill="0" applyBorder="0" applyProtection="0">
      <alignment horizontal="left"/>
    </xf>
    <xf numFmtId="1" fontId="161" fillId="0" borderId="0" applyProtection="0">
      <alignment horizontal="right" vertical="center"/>
    </xf>
    <xf numFmtId="0" fontId="67" fillId="0" borderId="0" applyNumberFormat="0" applyFill="0" applyBorder="0" applyAlignment="0" applyProtection="0"/>
    <xf numFmtId="308" fontId="185" fillId="48" borderId="0"/>
    <xf numFmtId="179" fontId="109" fillId="0" borderId="0" applyFont="0" applyFill="0" applyBorder="0" applyAlignment="0" applyProtection="0">
      <alignment horizontal="right"/>
    </xf>
    <xf numFmtId="0" fontId="109" fillId="0" borderId="0" applyFont="0" applyFill="0" applyBorder="0" applyAlignment="0" applyProtection="0">
      <alignment horizontal="right"/>
    </xf>
    <xf numFmtId="179" fontId="109" fillId="0" borderId="0" applyFont="0" applyFill="0" applyBorder="0" applyAlignment="0" applyProtection="0">
      <alignment horizontal="right"/>
    </xf>
    <xf numFmtId="9" fontId="109" fillId="0" borderId="0" applyFont="0" applyFill="0" applyBorder="0" applyAlignment="0" applyProtection="0">
      <alignment horizontal="right"/>
    </xf>
    <xf numFmtId="9" fontId="109" fillId="0" borderId="0" applyFont="0" applyFill="0" applyBorder="0" applyAlignment="0" applyProtection="0">
      <alignment horizontal="right"/>
    </xf>
    <xf numFmtId="309" fontId="185" fillId="0" borderId="0"/>
    <xf numFmtId="2" fontId="109" fillId="0" borderId="0"/>
    <xf numFmtId="2" fontId="109" fillId="0" borderId="0"/>
    <xf numFmtId="2" fontId="109" fillId="0" borderId="0"/>
    <xf numFmtId="9" fontId="16" fillId="0" borderId="0" applyFill="0" applyBorder="0" applyProtection="0"/>
    <xf numFmtId="289" fontId="183" fillId="0" borderId="0" applyFont="0" applyFill="0" applyBorder="0" applyAlignment="0" applyProtection="0"/>
    <xf numFmtId="285" fontId="183" fillId="0" borderId="0" applyFont="0" applyFill="0" applyBorder="0" applyAlignment="0" applyProtection="0"/>
    <xf numFmtId="24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4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16" fillId="0" borderId="0" applyFont="0" applyFill="0" applyBorder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2" borderId="0" applyFont="0" applyFill="0" applyBorder="0" applyAlignment="0" applyProtection="0"/>
    <xf numFmtId="9" fontId="16" fillId="0" borderId="0" applyFill="0" applyBorder="0" applyProtection="0"/>
    <xf numFmtId="9" fontId="11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ill="0" applyBorder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283" fontId="109" fillId="0" borderId="0" applyFont="0" applyFill="0" applyBorder="0" applyProtection="0">
      <alignment horizontal="right"/>
    </xf>
    <xf numFmtId="283" fontId="109" fillId="0" borderId="0" applyFont="0" applyFill="0" applyBorder="0" applyProtection="0">
      <alignment horizontal="right"/>
    </xf>
    <xf numFmtId="270" fontId="162" fillId="0" borderId="10" applyFont="0" applyFill="0" applyBorder="0" applyAlignment="0">
      <alignment horizontal="right"/>
    </xf>
    <xf numFmtId="0" fontId="162" fillId="0" borderId="10" applyFont="0" applyFill="0" applyBorder="0" applyAlignment="0">
      <alignment horizontal="right"/>
    </xf>
    <xf numFmtId="0" fontId="162" fillId="0" borderId="10" applyFont="0" applyFill="0" applyBorder="0" applyAlignment="0">
      <alignment horizontal="right"/>
    </xf>
    <xf numFmtId="270" fontId="162" fillId="0" borderId="10" applyFont="0" applyFill="0" applyBorder="0" applyAlignment="0">
      <alignment horizontal="right"/>
    </xf>
    <xf numFmtId="271" fontId="123" fillId="0" borderId="0" applyFont="0" applyFill="0" applyBorder="0"/>
    <xf numFmtId="0" fontId="123" fillId="0" borderId="0" applyFont="0" applyFill="0" applyBorder="0"/>
    <xf numFmtId="264" fontId="133" fillId="0" borderId="0" applyFill="0" applyBorder="0" applyProtection="0">
      <alignment vertical="center"/>
    </xf>
    <xf numFmtId="0" fontId="133" fillId="0" borderId="0" applyFill="0" applyBorder="0" applyProtection="0">
      <alignment vertical="center"/>
    </xf>
    <xf numFmtId="271" fontId="123" fillId="0" borderId="0" applyFont="0" applyFill="0"/>
    <xf numFmtId="0" fontId="123" fillId="0" borderId="0" applyFont="0" applyFill="0"/>
    <xf numFmtId="0" fontId="52" fillId="0" borderId="0"/>
    <xf numFmtId="240" fontId="109" fillId="0" borderId="0" applyFont="0" applyFill="0" applyBorder="0" applyAlignment="0" applyProtection="0"/>
    <xf numFmtId="0" fontId="109" fillId="0" borderId="0" applyFont="0" applyFill="0" applyBorder="0" applyAlignment="0" applyProtection="0"/>
    <xf numFmtId="240" fontId="109" fillId="0" borderId="0" applyFont="0" applyFill="0" applyBorder="0" applyAlignment="0" applyProtection="0"/>
    <xf numFmtId="8" fontId="109" fillId="0" borderId="0" applyFont="0" applyFill="0" applyBorder="0" applyAlignment="0" applyProtection="0"/>
    <xf numFmtId="8" fontId="109" fillId="0" borderId="0" applyFont="0" applyFill="0" applyBorder="0" applyAlignment="0" applyProtection="0"/>
    <xf numFmtId="224" fontId="109" fillId="0" borderId="0" applyFont="0" applyFill="0" applyBorder="0" applyAlignment="0" applyProtection="0">
      <protection locked="0"/>
    </xf>
    <xf numFmtId="0" fontId="109" fillId="0" borderId="0" applyFont="0" applyFill="0" applyBorder="0" applyAlignment="0" applyProtection="0">
      <protection locked="0"/>
    </xf>
    <xf numFmtId="224" fontId="109" fillId="0" borderId="0" applyFont="0" applyFill="0" applyBorder="0" applyAlignment="0" applyProtection="0">
      <protection locked="0"/>
    </xf>
    <xf numFmtId="228" fontId="9" fillId="0" borderId="0" applyFill="0" applyBorder="0" applyAlignment="0" applyProtection="0"/>
    <xf numFmtId="0" fontId="9" fillId="0" borderId="0" applyFill="0" applyBorder="0" applyAlignment="0" applyProtection="0"/>
    <xf numFmtId="228" fontId="9" fillId="0" borderId="0" applyFill="0" applyBorder="0" applyAlignment="0" applyProtection="0"/>
    <xf numFmtId="228" fontId="9" fillId="0" borderId="0" applyFill="0" applyBorder="0" applyAlignment="0" applyProtection="0"/>
    <xf numFmtId="166" fontId="24" fillId="4" borderId="0">
      <alignment horizontal="center"/>
    </xf>
    <xf numFmtId="293" fontId="183" fillId="0" borderId="0" applyFill="0" applyBorder="0" applyAlignment="0"/>
    <xf numFmtId="286" fontId="183" fillId="0" borderId="0" applyFill="0" applyBorder="0" applyAlignment="0"/>
    <xf numFmtId="293" fontId="183" fillId="0" borderId="0" applyFill="0" applyBorder="0" applyAlignment="0"/>
    <xf numFmtId="290" fontId="183" fillId="0" borderId="0" applyFill="0" applyBorder="0" applyAlignment="0"/>
    <xf numFmtId="286" fontId="183" fillId="0" borderId="0" applyFill="0" applyBorder="0" applyAlignment="0"/>
    <xf numFmtId="224" fontId="109" fillId="0" borderId="0" applyFill="0" applyBorder="0" applyAlignment="0" applyProtection="0"/>
    <xf numFmtId="0" fontId="109" fillId="0" borderId="0" applyFill="0" applyBorder="0" applyAlignment="0" applyProtection="0"/>
    <xf numFmtId="224" fontId="109" fillId="0" borderId="0" applyFill="0" applyBorder="0" applyAlignment="0" applyProtection="0"/>
    <xf numFmtId="224" fontId="109" fillId="0" borderId="0" applyFill="0" applyBorder="0" applyAlignment="0" applyProtection="0"/>
    <xf numFmtId="38" fontId="109" fillId="0" borderId="0" applyFont="0" applyFill="0" applyBorder="0" applyAlignment="0" applyProtection="0"/>
    <xf numFmtId="38" fontId="109" fillId="0" borderId="0" applyFont="0" applyFill="0" applyBorder="0" applyAlignment="0" applyProtection="0"/>
    <xf numFmtId="0" fontId="109" fillId="0" borderId="0" applyFont="0" applyFill="0" applyBorder="0" applyAlignment="0" applyProtection="0">
      <alignment horizontal="right"/>
    </xf>
    <xf numFmtId="10" fontId="109" fillId="0" borderId="0"/>
    <xf numFmtId="10" fontId="109" fillId="0" borderId="0"/>
    <xf numFmtId="10" fontId="109" fillId="52" borderId="0"/>
    <xf numFmtId="10" fontId="109" fillId="52" borderId="0"/>
    <xf numFmtId="10" fontId="109" fillId="52" borderId="0"/>
    <xf numFmtId="9" fontId="109" fillId="0" borderId="0" applyFont="0" applyFill="0" applyBorder="0" applyAlignment="0" applyProtection="0"/>
    <xf numFmtId="0" fontId="58" fillId="0" borderId="0" applyNumberFormat="0" applyFont="0" applyFill="0" applyBorder="0" applyAlignment="0" applyProtection="0">
      <alignment horizontal="left"/>
    </xf>
    <xf numFmtId="15" fontId="58" fillId="0" borderId="0" applyFont="0" applyFill="0" applyBorder="0" applyAlignment="0" applyProtection="0"/>
    <xf numFmtId="4" fontId="58" fillId="0" borderId="0" applyFont="0" applyFill="0" applyBorder="0" applyAlignment="0" applyProtection="0"/>
    <xf numFmtId="0" fontId="34" fillId="0" borderId="36">
      <alignment horizontal="center"/>
    </xf>
    <xf numFmtId="3" fontId="58" fillId="0" borderId="0" applyFont="0" applyFill="0" applyBorder="0" applyAlignment="0" applyProtection="0"/>
    <xf numFmtId="0" fontId="58" fillId="43" borderId="0" applyNumberFormat="0" applyFont="0" applyBorder="0" applyAlignment="0" applyProtection="0"/>
    <xf numFmtId="0" fontId="196" fillId="0" borderId="0"/>
    <xf numFmtId="310" fontId="185" fillId="21" borderId="0"/>
    <xf numFmtId="0" fontId="197" fillId="0" borderId="0">
      <alignment horizontal="center"/>
    </xf>
    <xf numFmtId="0" fontId="185" fillId="0" borderId="10">
      <alignment horizontal="centerContinuous"/>
    </xf>
    <xf numFmtId="0" fontId="185" fillId="0" borderId="10">
      <alignment horizontal="centerContinuous"/>
    </xf>
    <xf numFmtId="311" fontId="185" fillId="21" borderId="0">
      <alignment horizontal="right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312" fontId="185" fillId="21" borderId="12">
      <alignment horizontal="right"/>
    </xf>
    <xf numFmtId="0" fontId="96" fillId="0" borderId="0"/>
    <xf numFmtId="224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224" fontId="134" fillId="0" borderId="0" applyFont="0" applyFill="0" applyBorder="0" applyAlignment="0" applyProtection="0"/>
    <xf numFmtId="0" fontId="92" fillId="0" borderId="12" applyNumberFormat="0" applyBorder="0" applyAlignment="0"/>
    <xf numFmtId="0" fontId="92" fillId="0" borderId="12" applyNumberFormat="0" applyBorder="0" applyAlignment="0"/>
    <xf numFmtId="0" fontId="92" fillId="0" borderId="12" applyNumberFormat="0" applyBorder="0" applyAlignment="0"/>
    <xf numFmtId="0" fontId="58" fillId="17" borderId="9" applyNumberFormat="0" applyFont="0" applyBorder="0" applyAlignment="0" applyProtection="0">
      <alignment horizontal="center"/>
    </xf>
    <xf numFmtId="14" fontId="70" fillId="0" borderId="0" applyNumberFormat="0" applyFill="0" applyBorder="0" applyAlignment="0" applyProtection="0">
      <alignment horizontal="left"/>
    </xf>
    <xf numFmtId="0" fontId="198" fillId="0" borderId="0" applyNumberFormat="0" applyFill="0" applyBorder="0" applyProtection="0">
      <alignment horizontal="right" vertical="center"/>
    </xf>
    <xf numFmtId="0" fontId="138" fillId="0" borderId="49">
      <alignment vertical="center"/>
    </xf>
    <xf numFmtId="0" fontId="11" fillId="16" borderId="0">
      <alignment horizontal="right"/>
    </xf>
    <xf numFmtId="0" fontId="11" fillId="16" borderId="0">
      <alignment horizontal="right"/>
    </xf>
    <xf numFmtId="0" fontId="69" fillId="53" borderId="0" applyNumberFormat="0" applyFont="0" applyBorder="0" applyAlignment="0" applyProtection="0"/>
    <xf numFmtId="9" fontId="16" fillId="2" borderId="0" applyFont="0" applyFill="0" applyBorder="0" applyAlignment="0" applyProtection="0"/>
    <xf numFmtId="165" fontId="69" fillId="0" borderId="10" applyFont="0" applyFill="0" applyBorder="0" applyAlignment="0" applyProtection="0">
      <alignment horizontal="right"/>
    </xf>
    <xf numFmtId="0" fontId="69" fillId="0" borderId="10" applyFont="0" applyFill="0" applyBorder="0" applyAlignment="0" applyProtection="0">
      <alignment horizontal="right"/>
    </xf>
    <xf numFmtId="0" fontId="69" fillId="0" borderId="10" applyFont="0" applyFill="0" applyBorder="0" applyAlignment="0" applyProtection="0">
      <alignment horizontal="right"/>
    </xf>
    <xf numFmtId="165" fontId="69" fillId="0" borderId="10" applyFont="0" applyFill="0" applyBorder="0" applyAlignment="0" applyProtection="0">
      <alignment horizontal="right"/>
    </xf>
    <xf numFmtId="165" fontId="69" fillId="0" borderId="10" applyFont="0" applyFill="0" applyBorder="0" applyAlignment="0" applyProtection="0">
      <alignment horizontal="right"/>
    </xf>
    <xf numFmtId="165" fontId="69" fillId="0" borderId="10" applyFont="0" applyFill="0" applyBorder="0" applyAlignment="0" applyProtection="0">
      <alignment horizontal="right"/>
    </xf>
    <xf numFmtId="206" fontId="109" fillId="0" borderId="0" applyFill="0" applyBorder="0" applyAlignment="0" applyProtection="0">
      <protection locked="0"/>
    </xf>
    <xf numFmtId="0" fontId="109" fillId="0" borderId="0" applyFill="0" applyBorder="0" applyAlignment="0" applyProtection="0">
      <protection locked="0"/>
    </xf>
    <xf numFmtId="206" fontId="109" fillId="0" borderId="0" applyFill="0" applyBorder="0" applyAlignment="0" applyProtection="0">
      <protection locked="0"/>
    </xf>
    <xf numFmtId="206" fontId="109" fillId="0" borderId="0" applyFill="0" applyBorder="0" applyAlignment="0" applyProtection="0">
      <protection locked="0"/>
    </xf>
    <xf numFmtId="0" fontId="111" fillId="0" borderId="0" applyNumberFormat="0" applyFill="0" applyBorder="0" applyAlignment="0" applyProtection="0"/>
    <xf numFmtId="0" fontId="119" fillId="0" borderId="0" applyNumberFormat="0" applyAlignment="0"/>
    <xf numFmtId="222" fontId="69" fillId="0" borderId="0" applyFill="0" applyBorder="0" applyProtection="0">
      <alignment horizontal="right"/>
    </xf>
    <xf numFmtId="0" fontId="69" fillId="0" borderId="0" applyFill="0" applyBorder="0" applyProtection="0">
      <alignment horizontal="right"/>
    </xf>
    <xf numFmtId="0" fontId="109" fillId="0" borderId="0"/>
    <xf numFmtId="225" fontId="9" fillId="0" borderId="0" applyFill="0" applyBorder="0" applyAlignment="0" applyProtection="0"/>
    <xf numFmtId="0" fontId="9" fillId="0" borderId="0" applyFill="0" applyBorder="0" applyAlignment="0" applyProtection="0"/>
    <xf numFmtId="225" fontId="9" fillId="0" borderId="0" applyFill="0" applyBorder="0" applyAlignment="0" applyProtection="0"/>
    <xf numFmtId="225" fontId="9" fillId="0" borderId="0" applyFill="0" applyBorder="0" applyAlignment="0" applyProtection="0"/>
    <xf numFmtId="0" fontId="134" fillId="0" borderId="0" applyFont="0" applyFill="0" applyBorder="0" applyAlignment="0" applyProtection="0">
      <alignment horizontal="right"/>
    </xf>
    <xf numFmtId="0" fontId="11" fillId="0" borderId="0" applyFont="0" applyFill="0" applyBorder="0" applyAlignment="0" applyProtection="0"/>
    <xf numFmtId="0" fontId="11" fillId="0" borderId="0">
      <alignment vertical="top"/>
    </xf>
    <xf numFmtId="0" fontId="199" fillId="53" borderId="0" applyNumberFormat="0" applyBorder="0" applyAlignment="0" applyProtection="0"/>
    <xf numFmtId="0" fontId="60" fillId="0" borderId="0" applyNumberFormat="0" applyFill="0" applyBorder="0" applyAlignment="0" applyProtection="0"/>
    <xf numFmtId="0" fontId="14" fillId="53" borderId="0" applyNumberFormat="0" applyBorder="0" applyAlignment="0" applyProtection="0"/>
    <xf numFmtId="0" fontId="2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16" borderId="0" applyNumberFormat="0" applyBorder="0" applyAlignment="0" applyProtection="0"/>
    <xf numFmtId="0" fontId="200" fillId="16" borderId="0" applyNumberFormat="0" applyBorder="0" applyAlignment="0" applyProtection="0"/>
    <xf numFmtId="0" fontId="11" fillId="0" borderId="0" applyNumberFormat="0" applyFont="0" applyFill="0" applyBorder="0" applyProtection="0">
      <alignment horizontal="right"/>
    </xf>
    <xf numFmtId="0" fontId="11" fillId="0" borderId="0" applyNumberFormat="0" applyFont="0" applyFill="0" applyBorder="0" applyProtection="0">
      <alignment horizontal="left"/>
    </xf>
    <xf numFmtId="0" fontId="11" fillId="0" borderId="0">
      <alignment vertical="top"/>
    </xf>
    <xf numFmtId="0" fontId="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54" borderId="0" applyNumberFormat="0" applyFont="0" applyBorder="0" applyAlignment="0" applyProtection="0"/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NumberFormat="0" applyFill="0" applyBorder="0" applyProtection="0">
      <alignment wrapText="1"/>
    </xf>
    <xf numFmtId="0" fontId="11" fillId="0" borderId="36" applyNumberFormat="0" applyFont="0" applyFill="0" applyAlignment="0" applyProtection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208" fontId="73" fillId="0" borderId="0" applyNumberFormat="0" applyFill="0" applyBorder="0" applyAlignment="0" applyProtection="0">
      <alignment horizontal="right" vertical="center" wrapText="1"/>
    </xf>
    <xf numFmtId="0" fontId="73" fillId="0" borderId="0" applyNumberFormat="0" applyFill="0" applyBorder="0" applyAlignment="0" applyProtection="0">
      <alignment horizontal="right" vertical="center" wrapText="1"/>
    </xf>
    <xf numFmtId="37" fontId="16" fillId="0" borderId="0" applyFill="0" applyBorder="0" applyProtection="0"/>
    <xf numFmtId="178" fontId="16" fillId="0" borderId="1" applyFill="0" applyBorder="0" applyProtection="0"/>
    <xf numFmtId="37" fontId="16" fillId="0" borderId="0" applyFill="0" applyBorder="0" applyProtection="0"/>
    <xf numFmtId="0" fontId="76" fillId="0" borderId="13" applyNumberFormat="0" applyFill="0" applyProtection="0">
      <alignment horizontal="right"/>
    </xf>
    <xf numFmtId="0" fontId="80" fillId="0" borderId="0" applyFill="0" applyBorder="0" applyAlignment="0" applyProtection="0"/>
    <xf numFmtId="0" fontId="201" fillId="0" borderId="0" applyFill="0" applyBorder="0" applyAlignment="0" applyProtection="0">
      <alignment horizontal="left"/>
      <protection locked="0"/>
    </xf>
    <xf numFmtId="0" fontId="201" fillId="0" borderId="0" applyFill="0" applyBorder="0" applyAlignment="0" applyProtection="0"/>
    <xf numFmtId="0" fontId="202" fillId="0" borderId="0" applyFill="0" applyBorder="0" applyAlignment="0" applyProtection="0">
      <alignment horizontal="left"/>
      <protection locked="0"/>
    </xf>
    <xf numFmtId="0" fontId="202" fillId="0" borderId="0" applyFill="0" applyBorder="0" applyAlignment="0" applyProtection="0">
      <protection locked="0"/>
    </xf>
    <xf numFmtId="0" fontId="109" fillId="0" borderId="0" applyFill="0" applyBorder="0" applyAlignment="0" applyProtection="0">
      <protection locked="0"/>
    </xf>
    <xf numFmtId="40" fontId="11" fillId="0" borderId="0" applyBorder="0">
      <alignment horizontal="right"/>
    </xf>
    <xf numFmtId="40" fontId="11" fillId="0" borderId="0" applyBorder="0">
      <alignment horizontal="right"/>
    </xf>
    <xf numFmtId="0" fontId="80" fillId="0" borderId="0" applyFill="0" applyBorder="0" applyAlignment="0" applyProtection="0"/>
    <xf numFmtId="0" fontId="11" fillId="0" borderId="11" applyBorder="0">
      <alignment horizontal="center"/>
    </xf>
    <xf numFmtId="0" fontId="11" fillId="0" borderId="11" applyBorder="0">
      <alignment horizontal="center"/>
    </xf>
    <xf numFmtId="37" fontId="19" fillId="0" borderId="0" applyNumberFormat="0" applyFont="0" applyBorder="0" applyAlignment="0">
      <alignment horizontal="center"/>
    </xf>
    <xf numFmtId="0" fontId="24" fillId="0" borderId="0" applyFill="0" applyBorder="0" applyProtection="0">
      <alignment horizontal="center" vertical="center"/>
    </xf>
    <xf numFmtId="178" fontId="16" fillId="0" borderId="1" applyFill="0" applyBorder="0" applyProtection="0"/>
    <xf numFmtId="37" fontId="16" fillId="0" borderId="0" applyFill="0" applyBorder="0" applyProtection="0"/>
    <xf numFmtId="0" fontId="77" fillId="0" borderId="10" applyNumberFormat="0" applyFill="0" applyProtection="0"/>
    <xf numFmtId="236" fontId="69" fillId="0" borderId="10" applyBorder="0" applyProtection="0">
      <alignment horizontal="right" vertical="center"/>
    </xf>
    <xf numFmtId="0" fontId="69" fillId="0" borderId="10" applyBorder="0" applyProtection="0">
      <alignment horizontal="right" vertical="center"/>
    </xf>
    <xf numFmtId="0" fontId="69" fillId="0" borderId="10" applyBorder="0" applyProtection="0">
      <alignment horizontal="right" vertical="center"/>
    </xf>
    <xf numFmtId="236" fontId="69" fillId="0" borderId="10" applyBorder="0" applyProtection="0">
      <alignment horizontal="right" vertical="center"/>
    </xf>
    <xf numFmtId="236" fontId="69" fillId="0" borderId="10" applyBorder="0" applyProtection="0">
      <alignment horizontal="right" vertical="center"/>
    </xf>
    <xf numFmtId="236" fontId="69" fillId="0" borderId="10" applyBorder="0" applyProtection="0">
      <alignment horizontal="right" vertical="center"/>
    </xf>
    <xf numFmtId="236" fontId="69" fillId="0" borderId="10" applyBorder="0" applyProtection="0">
      <alignment horizontal="right" vertical="center"/>
    </xf>
    <xf numFmtId="0" fontId="163" fillId="55" borderId="0" applyBorder="0" applyProtection="0">
      <alignment horizontal="centerContinuous" vertical="center"/>
    </xf>
    <xf numFmtId="0" fontId="163" fillId="16" borderId="10" applyBorder="0" applyProtection="0">
      <alignment horizontal="centerContinuous" vertical="center"/>
    </xf>
    <xf numFmtId="0" fontId="163" fillId="16" borderId="10" applyBorder="0" applyProtection="0">
      <alignment horizontal="centerContinuous" vertical="center"/>
    </xf>
    <xf numFmtId="0" fontId="164" fillId="0" borderId="0" applyBorder="0" applyProtection="0">
      <alignment vertical="center"/>
    </xf>
    <xf numFmtId="0" fontId="139" fillId="0" borderId="0" applyNumberFormat="0" applyFill="0" applyBorder="0" applyProtection="0">
      <alignment horizontal="left"/>
    </xf>
    <xf numFmtId="0" fontId="24" fillId="0" borderId="0" applyFill="0" applyBorder="0" applyProtection="0"/>
    <xf numFmtId="0" fontId="165" fillId="0" borderId="0" applyFill="0" applyBorder="0" applyProtection="0">
      <alignment vertical="center"/>
    </xf>
    <xf numFmtId="178" fontId="16" fillId="0" borderId="1" applyFill="0" applyBorder="0" applyProtection="0"/>
    <xf numFmtId="7" fontId="16" fillId="0" borderId="10" applyFont="0" applyFill="0" applyBorder="0" applyProtection="0"/>
    <xf numFmtId="0" fontId="54" fillId="0" borderId="0">
      <alignment vertical="center"/>
    </xf>
    <xf numFmtId="0" fontId="54" fillId="0" borderId="0">
      <alignment vertical="center"/>
    </xf>
    <xf numFmtId="0" fontId="78" fillId="0" borderId="0">
      <alignment vertical="center"/>
    </xf>
    <xf numFmtId="7" fontId="16" fillId="0" borderId="10" applyFont="0" applyFill="0" applyBorder="0" applyProtection="0"/>
    <xf numFmtId="0" fontId="166" fillId="0" borderId="0" applyFill="0" applyBorder="0" applyProtection="0">
      <alignment horizontal="left"/>
    </xf>
    <xf numFmtId="0" fontId="139" fillId="0" borderId="11" applyFill="0" applyBorder="0" applyProtection="0">
      <alignment horizontal="left" vertical="top"/>
    </xf>
    <xf numFmtId="0" fontId="167" fillId="0" borderId="0"/>
    <xf numFmtId="199" fontId="168" fillId="0" borderId="0" applyNumberFormat="0" applyFill="0" applyBorder="0">
      <alignment horizontal="left"/>
    </xf>
    <xf numFmtId="0" fontId="168" fillId="0" borderId="0" applyNumberFormat="0" applyFill="0" applyBorder="0">
      <alignment horizontal="left"/>
    </xf>
    <xf numFmtId="199" fontId="168" fillId="0" borderId="0" applyNumberFormat="0" applyFill="0" applyBorder="0">
      <alignment horizontal="right"/>
    </xf>
    <xf numFmtId="0" fontId="168" fillId="0" borderId="0" applyNumberFormat="0" applyFill="0" applyBorder="0">
      <alignment horizontal="right"/>
    </xf>
    <xf numFmtId="199" fontId="169" fillId="0" borderId="0" applyNumberFormat="0" applyFill="0" applyBorder="0">
      <alignment horizontal="right"/>
    </xf>
    <xf numFmtId="0" fontId="169" fillId="0" borderId="0" applyNumberFormat="0" applyFill="0" applyBorder="0">
      <alignment horizontal="right"/>
    </xf>
    <xf numFmtId="49" fontId="203" fillId="0" borderId="0"/>
    <xf numFmtId="0" fontId="170" fillId="0" borderId="11" applyFill="0" applyBorder="0" applyProtection="0"/>
    <xf numFmtId="0" fontId="170" fillId="0" borderId="0"/>
    <xf numFmtId="0" fontId="171" fillId="0" borderId="0" applyNumberFormat="0" applyFill="0" applyBorder="0" applyProtection="0"/>
    <xf numFmtId="0" fontId="172" fillId="0" borderId="0" applyFill="0" applyBorder="0" applyProtection="0"/>
    <xf numFmtId="0" fontId="173" fillId="0" borderId="0"/>
    <xf numFmtId="0" fontId="172" fillId="0" borderId="0" applyNumberFormat="0" applyFill="0" applyBorder="0" applyProtection="0"/>
    <xf numFmtId="0" fontId="174" fillId="0" borderId="0" applyFill="0" applyBorder="0" applyProtection="0"/>
    <xf numFmtId="0" fontId="171" fillId="0" borderId="0" applyNumberFormat="0" applyFill="0" applyBorder="0" applyProtection="0"/>
    <xf numFmtId="0" fontId="171" fillId="0" borderId="0"/>
    <xf numFmtId="49" fontId="10" fillId="0" borderId="0" applyFill="0" applyBorder="0" applyAlignment="0"/>
    <xf numFmtId="291" fontId="183" fillId="0" borderId="0" applyFill="0" applyBorder="0" applyAlignment="0"/>
    <xf numFmtId="292" fontId="183" fillId="0" borderId="0" applyFill="0" applyBorder="0" applyAlignment="0"/>
    <xf numFmtId="0" fontId="61" fillId="0" borderId="0" applyNumberFormat="0" applyFill="0" applyBorder="0"/>
    <xf numFmtId="11" fontId="109" fillId="0" borderId="0" applyFont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0" fontId="134" fillId="0" borderId="0" applyFill="0" applyBorder="0" applyAlignment="0" applyProtection="0"/>
    <xf numFmtId="0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224" fontId="134" fillId="0" borderId="0" applyFill="0" applyBorder="0" applyAlignment="0" applyProtection="0"/>
    <xf numFmtId="0" fontId="204" fillId="0" borderId="0">
      <alignment horizontal="center"/>
    </xf>
    <xf numFmtId="224" fontId="175" fillId="0" borderId="50"/>
    <xf numFmtId="0" fontId="175" fillId="0" borderId="50"/>
    <xf numFmtId="224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38" fontId="205" fillId="0" borderId="0" applyFill="0" applyBorder="0" applyAlignment="0" applyProtection="0">
      <alignment horizontal="left"/>
    </xf>
    <xf numFmtId="294" fontId="206" fillId="56" borderId="0" applyNumberFormat="0" applyBorder="0">
      <alignment horizontal="center"/>
      <protection locked="0"/>
    </xf>
    <xf numFmtId="294" fontId="23" fillId="51" borderId="0" applyNumberFormat="0" applyBorder="0">
      <alignment horizontal="left"/>
      <protection locked="0"/>
    </xf>
    <xf numFmtId="294" fontId="207" fillId="46" borderId="0" applyNumberFormat="0" applyBorder="0">
      <alignment horizontal="center"/>
      <protection locked="0"/>
    </xf>
    <xf numFmtId="294" fontId="207" fillId="51" borderId="0" applyNumberFormat="0" applyBorder="0">
      <alignment horizontal="left"/>
      <protection locked="0"/>
    </xf>
    <xf numFmtId="294" fontId="37" fillId="46" borderId="0" applyNumberFormat="0" applyBorder="0">
      <protection locked="0"/>
    </xf>
    <xf numFmtId="294" fontId="23" fillId="57" borderId="0" applyNumberFormat="0" applyBorder="0">
      <alignment horizontal="left"/>
      <protection locked="0"/>
    </xf>
    <xf numFmtId="294" fontId="208" fillId="46" borderId="0" applyNumberFormat="0" applyBorder="0">
      <protection locked="0"/>
    </xf>
    <xf numFmtId="0" fontId="209" fillId="0" borderId="0"/>
    <xf numFmtId="0" fontId="172" fillId="0" borderId="0"/>
    <xf numFmtId="0" fontId="171" fillId="0" borderId="0"/>
    <xf numFmtId="0" fontId="177" fillId="0" borderId="0" applyFill="0" applyBorder="0" applyProtection="0">
      <alignment vertical="center"/>
    </xf>
    <xf numFmtId="0" fontId="177" fillId="0" borderId="0" applyFill="0" applyBorder="0" applyProtection="0">
      <alignment vertical="center"/>
    </xf>
    <xf numFmtId="272" fontId="177" fillId="0" borderId="0" applyFill="0" applyBorder="0" applyProtection="0">
      <alignment vertical="center"/>
    </xf>
    <xf numFmtId="258" fontId="177" fillId="0" borderId="0" applyFill="0" applyBorder="0" applyProtection="0"/>
    <xf numFmtId="0" fontId="177" fillId="0" borderId="0" applyFill="0" applyBorder="0" applyProtection="0"/>
    <xf numFmtId="294" fontId="23" fillId="50" borderId="0" applyNumberFormat="0" applyBorder="0">
      <protection locked="0"/>
    </xf>
    <xf numFmtId="294" fontId="210" fillId="58" borderId="0" applyNumberFormat="0" applyBorder="0">
      <protection locked="0"/>
    </xf>
    <xf numFmtId="294" fontId="211" fillId="58" borderId="0" applyNumberFormat="0" applyBorder="0">
      <protection locked="0"/>
    </xf>
    <xf numFmtId="294" fontId="23" fillId="51" borderId="0" applyNumberFormat="0" applyBorder="0">
      <protection locked="0"/>
    </xf>
    <xf numFmtId="294" fontId="23" fillId="51" borderId="0" applyNumberFormat="0" applyBorder="0">
      <protection locked="0"/>
    </xf>
    <xf numFmtId="294" fontId="23" fillId="51" borderId="0" applyNumberFormat="0" applyBorder="0">
      <protection locked="0"/>
    </xf>
    <xf numFmtId="273" fontId="177" fillId="0" borderId="0" applyFill="0" applyBorder="0" applyProtection="0"/>
    <xf numFmtId="0" fontId="177" fillId="0" borderId="0" applyFill="0" applyBorder="0" applyProtection="0"/>
    <xf numFmtId="294" fontId="212" fillId="59" borderId="0" applyNumberFormat="0" applyBorder="0">
      <protection locked="0"/>
    </xf>
    <xf numFmtId="261" fontId="177" fillId="0" borderId="22" applyFill="0" applyBorder="0" applyProtection="0">
      <alignment vertical="center"/>
    </xf>
    <xf numFmtId="0" fontId="177" fillId="0" borderId="22" applyFill="0" applyBorder="0" applyProtection="0">
      <alignment vertical="center"/>
    </xf>
    <xf numFmtId="0" fontId="11" fillId="0" borderId="21">
      <protection locked="0"/>
    </xf>
    <xf numFmtId="0" fontId="11" fillId="0" borderId="21">
      <protection locked="0"/>
    </xf>
    <xf numFmtId="166" fontId="11" fillId="0" borderId="21">
      <alignment horizontal="right"/>
      <protection locked="0"/>
    </xf>
    <xf numFmtId="0" fontId="11" fillId="0" borderId="21">
      <alignment horizontal="right"/>
      <protection locked="0"/>
    </xf>
    <xf numFmtId="166" fontId="11" fillId="0" borderId="21">
      <alignment horizontal="right"/>
      <protection locked="0"/>
    </xf>
    <xf numFmtId="313" fontId="9" fillId="2" borderId="12" applyFill="0" applyBorder="0" applyProtection="0">
      <alignment horizontal="right"/>
    </xf>
    <xf numFmtId="0" fontId="16" fillId="0" borderId="0"/>
    <xf numFmtId="0" fontId="213" fillId="0" borderId="0"/>
    <xf numFmtId="38" fontId="213" fillId="0" borderId="0"/>
    <xf numFmtId="0" fontId="178" fillId="0" borderId="0">
      <alignment horizontal="fill"/>
    </xf>
    <xf numFmtId="37" fontId="179" fillId="0" borderId="0"/>
    <xf numFmtId="224" fontId="9" fillId="49" borderId="42">
      <alignment horizontal="right"/>
    </xf>
    <xf numFmtId="224" fontId="19" fillId="49" borderId="42"/>
    <xf numFmtId="0" fontId="8" fillId="60" borderId="51">
      <alignment horizontal="left"/>
    </xf>
    <xf numFmtId="0" fontId="8" fillId="60" borderId="51">
      <alignment horizontal="left"/>
    </xf>
    <xf numFmtId="0" fontId="8" fillId="60" borderId="51">
      <alignment horizontal="left"/>
    </xf>
    <xf numFmtId="274" fontId="11" fillId="0" borderId="0" applyFont="0" applyFill="0" applyBorder="0" applyAlignment="0" applyProtection="0"/>
    <xf numFmtId="266" fontId="11" fillId="0" borderId="0" applyFon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275" fontId="18" fillId="0" borderId="0"/>
    <xf numFmtId="0" fontId="18" fillId="0" borderId="0"/>
    <xf numFmtId="1" fontId="109" fillId="0" borderId="0" applyFont="0" applyFill="0" applyBorder="0" applyAlignment="0" applyProtection="0"/>
    <xf numFmtId="1" fontId="109" fillId="0" borderId="0" applyFont="0" applyFill="0" applyBorder="0" applyAlignment="0" applyProtection="0"/>
    <xf numFmtId="0" fontId="180" fillId="0" borderId="0"/>
    <xf numFmtId="1" fontId="180" fillId="0" borderId="0"/>
    <xf numFmtId="199" fontId="16" fillId="0" borderId="0"/>
    <xf numFmtId="0" fontId="16" fillId="0" borderId="0"/>
    <xf numFmtId="199" fontId="16" fillId="0" borderId="0"/>
    <xf numFmtId="199" fontId="16" fillId="0" borderId="0"/>
    <xf numFmtId="199" fontId="16" fillId="0" borderId="0"/>
    <xf numFmtId="199" fontId="16" fillId="0" borderId="0"/>
    <xf numFmtId="199" fontId="16" fillId="0" borderId="0"/>
    <xf numFmtId="199" fontId="16" fillId="0" borderId="0"/>
    <xf numFmtId="199" fontId="16" fillId="0" borderId="0"/>
    <xf numFmtId="199" fontId="16" fillId="0" borderId="0"/>
    <xf numFmtId="199" fontId="16" fillId="0" borderId="0"/>
    <xf numFmtId="199" fontId="16" fillId="0" borderId="0"/>
    <xf numFmtId="199" fontId="16" fillId="0" borderId="0"/>
    <xf numFmtId="37" fontId="16" fillId="0" borderId="0" applyFill="0" applyBorder="0" applyProtection="0"/>
    <xf numFmtId="1" fontId="85" fillId="0" borderId="3" applyFill="0" applyProtection="0">
      <alignment horizontal="right"/>
    </xf>
    <xf numFmtId="276" fontId="11" fillId="0" borderId="0"/>
    <xf numFmtId="0" fontId="11" fillId="0" borderId="0"/>
    <xf numFmtId="276" fontId="11" fillId="0" borderId="0"/>
    <xf numFmtId="1" fontId="214" fillId="0" borderId="0">
      <alignment horizontal="right"/>
    </xf>
    <xf numFmtId="277" fontId="181" fillId="0" borderId="0" applyFont="0" applyFill="0" applyBorder="0">
      <alignment horizontal="right"/>
    </xf>
    <xf numFmtId="0" fontId="181" fillId="0" borderId="0" applyFont="0" applyFill="0" applyBorder="0">
      <alignment horizontal="right"/>
    </xf>
    <xf numFmtId="0" fontId="61" fillId="56" borderId="52" applyNumberFormat="0" applyFont="0" applyBorder="0" applyAlignment="0" applyProtection="0">
      <alignment horizontal="right"/>
    </xf>
    <xf numFmtId="227" fontId="9" fillId="0" borderId="0" applyFill="0" applyBorder="0" applyAlignment="0" applyProtection="0"/>
    <xf numFmtId="0" fontId="9" fillId="0" borderId="0" applyFill="0" applyBorder="0" applyAlignment="0" applyProtection="0"/>
    <xf numFmtId="227" fontId="9" fillId="0" borderId="0" applyFill="0" applyBorder="0" applyAlignment="0" applyProtection="0"/>
    <xf numFmtId="227" fontId="9" fillId="0" borderId="0" applyFill="0" applyBorder="0" applyAlignment="0" applyProtection="0"/>
    <xf numFmtId="9" fontId="183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/>
    <xf numFmtId="0" fontId="182" fillId="0" borderId="0"/>
    <xf numFmtId="0" fontId="11" fillId="0" borderId="0"/>
    <xf numFmtId="183" fontId="3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91" fillId="0" borderId="0"/>
    <xf numFmtId="9" fontId="9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182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215" fontId="11" fillId="0" borderId="0" applyFont="0" applyFill="0" applyBorder="0" applyAlignment="0" applyProtection="0"/>
    <xf numFmtId="215" fontId="11" fillId="0" borderId="0" applyFont="0" applyFill="0" applyBorder="0" applyAlignment="0" applyProtection="0"/>
    <xf numFmtId="215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219" fontId="11" fillId="0" borderId="0"/>
    <xf numFmtId="216" fontId="11" fillId="10" borderId="3" applyFont="0">
      <alignment horizontal="right"/>
    </xf>
    <xf numFmtId="216" fontId="11" fillId="10" borderId="3" applyFont="0">
      <alignment horizontal="right"/>
    </xf>
    <xf numFmtId="0" fontId="11" fillId="0" borderId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0" fontId="24" fillId="0" borderId="0" applyNumberFormat="0" applyBorder="0">
      <alignment vertical="center"/>
    </xf>
    <xf numFmtId="217" fontId="11" fillId="0" borderId="0" applyFont="0" applyFill="0" applyBorder="0" applyAlignment="0" applyProtection="0">
      <alignment horizontal="right"/>
    </xf>
    <xf numFmtId="217" fontId="11" fillId="0" borderId="0" applyFont="0" applyFill="0" applyBorder="0" applyAlignment="0" applyProtection="0">
      <alignment horizontal="right"/>
    </xf>
    <xf numFmtId="217" fontId="11" fillId="0" borderId="0" applyFont="0" applyFill="0" applyBorder="0" applyAlignment="0" applyProtection="0">
      <alignment horizontal="right"/>
    </xf>
    <xf numFmtId="218" fontId="11" fillId="14" borderId="53" applyNumberFormat="0" applyFont="0" applyBorder="0" applyAlignment="0" applyProtection="0">
      <alignment horizontal="right"/>
    </xf>
    <xf numFmtId="218" fontId="11" fillId="14" borderId="53" applyNumberFormat="0" applyFont="0" applyBorder="0" applyAlignment="0" applyProtection="0">
      <alignment horizontal="right"/>
    </xf>
    <xf numFmtId="218" fontId="11" fillId="14" borderId="53" applyNumberFormat="0" applyFont="0" applyBorder="0" applyAlignment="0" applyProtection="0">
      <alignment horizontal="right"/>
    </xf>
    <xf numFmtId="218" fontId="11" fillId="14" borderId="53" applyNumberFormat="0" applyFont="0" applyBorder="0" applyAlignment="0" applyProtection="0">
      <alignment horizontal="right"/>
    </xf>
    <xf numFmtId="0" fontId="2" fillId="0" borderId="0"/>
    <xf numFmtId="0" fontId="2" fillId="0" borderId="0"/>
    <xf numFmtId="0" fontId="94" fillId="0" borderId="0" applyNumberFormat="0" applyFill="0" applyBorder="0" applyAlignment="0" applyProtection="0">
      <alignment vertical="top"/>
      <protection locked="0"/>
    </xf>
    <xf numFmtId="219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4" fontId="32" fillId="0" borderId="0" applyFont="0" applyFill="0" applyBorder="0" applyAlignment="0" applyProtection="0"/>
    <xf numFmtId="9" fontId="11" fillId="0" borderId="0" applyFont="0" applyFill="0" applyBorder="0" applyAlignment="0" applyProtection="0"/>
    <xf numFmtId="220" fontId="11" fillId="0" borderId="0" applyNumberFormat="0" applyFill="0" applyBorder="0" applyAlignment="0" applyProtection="0">
      <alignment horizontal="right" vertical="center" wrapText="1"/>
    </xf>
    <xf numFmtId="220" fontId="11" fillId="0" borderId="0" applyNumberFormat="0" applyFill="0" applyBorder="0" applyAlignment="0" applyProtection="0">
      <alignment horizontal="right" vertical="center" wrapText="1"/>
    </xf>
    <xf numFmtId="9" fontId="16" fillId="2" borderId="0" applyFont="0" applyFill="0" applyBorder="0" applyAlignment="0" applyProtection="0"/>
    <xf numFmtId="178" fontId="16" fillId="0" borderId="1" applyFill="0" applyBorder="0" applyProtection="0"/>
    <xf numFmtId="0" fontId="91" fillId="0" borderId="0"/>
    <xf numFmtId="0" fontId="76" fillId="0" borderId="53" applyNumberFormat="0" applyFill="0" applyProtection="0">
      <alignment horizontal="right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221" fontId="97" fillId="0" borderId="0"/>
    <xf numFmtId="0" fontId="24" fillId="0" borderId="0" applyNumberFormat="0" applyBorder="0">
      <alignment vertical="center"/>
    </xf>
    <xf numFmtId="0" fontId="24" fillId="0" borderId="0" applyNumberFormat="0" applyBorder="0">
      <alignment vertical="center"/>
    </xf>
    <xf numFmtId="219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9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219" fontId="11" fillId="0" borderId="0"/>
    <xf numFmtId="219" fontId="11" fillId="0" borderId="0"/>
    <xf numFmtId="0" fontId="24" fillId="0" borderId="0" applyNumberFormat="0" applyBorder="0">
      <alignment vertical="center"/>
    </xf>
    <xf numFmtId="0" fontId="24" fillId="0" borderId="0" applyNumberFormat="0" applyBorder="0">
      <alignment vertical="center"/>
    </xf>
    <xf numFmtId="0" fontId="24" fillId="0" borderId="0" applyNumberFormat="0" applyBorder="0">
      <alignment vertical="center"/>
    </xf>
    <xf numFmtId="0" fontId="24" fillId="0" borderId="0" applyNumberFormat="0" applyBorder="0">
      <alignment vertical="center"/>
    </xf>
    <xf numFmtId="219" fontId="11" fillId="0" borderId="0"/>
    <xf numFmtId="219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9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9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85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188" fontId="32" fillId="0" borderId="0" applyFont="0" applyFill="0" applyBorder="0" applyAlignment="0" applyProtection="0"/>
    <xf numFmtId="0" fontId="32" fillId="9" borderId="0" applyNumberFormat="0" applyFont="0" applyAlignment="0" applyProtection="0"/>
    <xf numFmtId="19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93" fontId="11" fillId="0" borderId="0" applyFont="0" applyFill="0" applyBorder="0" applyProtection="0">
      <alignment horizontal="right"/>
    </xf>
    <xf numFmtId="192" fontId="11" fillId="0" borderId="0" applyFont="0" applyFill="0" applyBorder="0" applyAlignment="0" applyProtection="0"/>
    <xf numFmtId="0" fontId="17" fillId="0" borderId="27" applyNumberFormat="0" applyFill="0" applyAlignment="0" applyProtection="0"/>
    <xf numFmtId="0" fontId="41" fillId="0" borderId="0"/>
    <xf numFmtId="200" fontId="11" fillId="0" borderId="0">
      <protection locked="0"/>
    </xf>
    <xf numFmtId="8" fontId="49" fillId="0" borderId="30">
      <protection locked="0"/>
    </xf>
    <xf numFmtId="200" fontId="11" fillId="0" borderId="0">
      <protection locked="0"/>
    </xf>
    <xf numFmtId="14" fontId="50" fillId="0" borderId="0">
      <alignment horizontal="right"/>
    </xf>
    <xf numFmtId="202" fontId="9" fillId="14" borderId="53" applyNumberFormat="0" applyFont="0" applyBorder="0" applyAlignment="0" applyProtection="0">
      <alignment horizontal="right"/>
    </xf>
    <xf numFmtId="200" fontId="11" fillId="0" borderId="0">
      <protection locked="0"/>
    </xf>
    <xf numFmtId="168" fontId="57" fillId="0" borderId="0" applyNumberFormat="0" applyFill="0" applyBorder="0">
      <alignment horizontal="left" vertical="center"/>
    </xf>
    <xf numFmtId="205" fontId="11" fillId="0" borderId="0" applyFont="0" applyFill="0" applyBorder="0" applyAlignment="0" applyProtection="0"/>
    <xf numFmtId="199" fontId="64" fillId="0" borderId="0"/>
    <xf numFmtId="0" fontId="11" fillId="0" borderId="0"/>
    <xf numFmtId="204" fontId="11" fillId="0" borderId="0" applyNumberFormat="0" applyFill="0" applyBorder="0" applyAlignment="0" applyProtection="0"/>
    <xf numFmtId="207" fontId="11" fillId="0" borderId="0"/>
    <xf numFmtId="7" fontId="67" fillId="0" borderId="0" applyFont="0" applyFill="0" applyBorder="0" applyAlignment="0" applyProtection="0"/>
    <xf numFmtId="170" fontId="69" fillId="0" borderId="0">
      <alignment vertical="top"/>
    </xf>
    <xf numFmtId="39" fontId="7" fillId="0" borderId="3" applyNumberFormat="0" applyBorder="0">
      <alignment horizontal="right"/>
    </xf>
    <xf numFmtId="0" fontId="79" fillId="0" borderId="0" applyNumberFormat="0">
      <alignment horizontal="left"/>
    </xf>
    <xf numFmtId="0" fontId="80" fillId="0" borderId="0" applyFill="0" applyBorder="0" applyProtection="0">
      <alignment horizontal="left" vertical="top"/>
    </xf>
    <xf numFmtId="38" fontId="82" fillId="0" borderId="0" applyNumberFormat="0" applyFill="0" applyBorder="0">
      <alignment horizontal="left" vertical="center"/>
    </xf>
    <xf numFmtId="38" fontId="83" fillId="0" borderId="0" applyNumberFormat="0" applyFill="0" applyBorder="0">
      <alignment horizontal="centerContinuous" vertical="center"/>
    </xf>
    <xf numFmtId="210" fontId="11" fillId="0" borderId="0" applyFill="0" applyBorder="0">
      <alignment vertical="center"/>
    </xf>
    <xf numFmtId="37" fontId="86" fillId="0" borderId="0" applyNumberForma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7" fontId="16" fillId="0" borderId="0" applyFill="0" applyBorder="0" applyProtection="0"/>
    <xf numFmtId="178" fontId="16" fillId="0" borderId="1" applyFill="0" applyBorder="0" applyProtection="0"/>
    <xf numFmtId="44" fontId="16" fillId="0" borderId="0" applyFont="0" applyFill="0" applyBorder="0" applyAlignment="0" applyProtection="0"/>
    <xf numFmtId="37" fontId="16" fillId="0" borderId="0" applyFill="0" applyBorder="0" applyProtection="0"/>
    <xf numFmtId="178" fontId="16" fillId="0" borderId="1" applyFill="0" applyBorder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" fillId="0" borderId="0"/>
    <xf numFmtId="0" fontId="2" fillId="0" borderId="0"/>
    <xf numFmtId="0" fontId="91" fillId="0" borderId="0"/>
    <xf numFmtId="182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11" fillId="9" borderId="0" applyNumberFormat="0" applyFont="0" applyAlignment="0" applyProtection="0"/>
    <xf numFmtId="43" fontId="11" fillId="0" borderId="0" applyFont="0" applyFill="0" applyBorder="0" applyAlignment="0" applyProtection="0"/>
    <xf numFmtId="0" fontId="24" fillId="0" borderId="0" applyNumberFormat="0" applyBorder="0">
      <alignment vertical="center"/>
    </xf>
    <xf numFmtId="0" fontId="11" fillId="0" borderId="0"/>
    <xf numFmtId="0" fontId="7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9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37" fontId="16" fillId="0" borderId="0" applyFill="0" applyBorder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Protection="0">
      <alignment horizontal="right"/>
    </xf>
    <xf numFmtId="0" fontId="11" fillId="0" borderId="0" applyFont="0" applyFill="0" applyBorder="0" applyAlignment="0" applyProtection="0"/>
    <xf numFmtId="0" fontId="11" fillId="0" borderId="0"/>
    <xf numFmtId="0" fontId="101" fillId="41" borderId="38" applyNumberFormat="0" applyAlignment="0" applyProtection="0"/>
    <xf numFmtId="0" fontId="101" fillId="41" borderId="38" applyNumberFormat="0" applyAlignment="0" applyProtection="0"/>
    <xf numFmtId="0" fontId="69" fillId="0" borderId="0" applyFont="0" applyFill="0" applyBorder="0" applyAlignment="0" applyProtection="0">
      <alignment horizontal="right"/>
    </xf>
    <xf numFmtId="250" fontId="125" fillId="44" borderId="53" applyFont="0" applyFill="0" applyBorder="0" applyAlignment="0"/>
    <xf numFmtId="0" fontId="125" fillId="44" borderId="53" applyFont="0" applyFill="0" applyBorder="0" applyAlignment="0"/>
    <xf numFmtId="0" fontId="125" fillId="44" borderId="53" applyFont="0" applyFill="0" applyBorder="0" applyAlignment="0"/>
    <xf numFmtId="250" fontId="125" fillId="44" borderId="53" applyFont="0" applyFill="0" applyBorder="0" applyAlignment="0"/>
    <xf numFmtId="3" fontId="126" fillId="0" borderId="0" applyFont="0" applyFill="0" applyBorder="0" applyAlignment="0" applyProtection="0"/>
    <xf numFmtId="0" fontId="69" fillId="0" borderId="0" applyFont="0" applyFill="0" applyBorder="0" applyAlignment="0" applyProtection="0">
      <alignment horizontal="right"/>
    </xf>
    <xf numFmtId="180" fontId="89" fillId="0" borderId="0" applyFont="0" applyFill="0" applyBorder="0" applyAlignment="0" applyProtection="0"/>
    <xf numFmtId="282" fontId="126" fillId="0" borderId="0" applyFont="0" applyFill="0" applyBorder="0" applyAlignment="0" applyProtection="0"/>
    <xf numFmtId="14" fontId="114" fillId="0" borderId="0"/>
    <xf numFmtId="7" fontId="16" fillId="0" borderId="0" applyFill="0" applyBorder="0" applyProtection="0"/>
    <xf numFmtId="8" fontId="109" fillId="0" borderId="0" applyFont="0" applyFill="0" applyBorder="0" applyAlignment="0" applyProtection="0">
      <alignment horizontal="right"/>
    </xf>
    <xf numFmtId="202" fontId="9" fillId="14" borderId="53" applyNumberFormat="0" applyFont="0" applyBorder="0" applyAlignment="0" applyProtection="0">
      <alignment horizontal="right"/>
    </xf>
    <xf numFmtId="0" fontId="9" fillId="14" borderId="53" applyNumberFormat="0" applyFont="0" applyBorder="0" applyAlignment="0" applyProtection="0">
      <alignment horizontal="right"/>
    </xf>
    <xf numFmtId="0" fontId="9" fillId="14" borderId="53" applyNumberFormat="0" applyFont="0" applyBorder="0" applyAlignment="0" applyProtection="0">
      <alignment horizontal="right"/>
    </xf>
    <xf numFmtId="202" fontId="9" fillId="14" borderId="53" applyNumberFormat="0" applyFont="0" applyBorder="0" applyAlignment="0" applyProtection="0">
      <alignment horizontal="right"/>
    </xf>
    <xf numFmtId="0" fontId="24" fillId="0" borderId="3" applyFont="0" applyFill="0" applyBorder="0" applyAlignment="0" applyProtection="0">
      <alignment horizontal="center"/>
    </xf>
    <xf numFmtId="0" fontId="190" fillId="41" borderId="21">
      <alignment horizontal="centerContinuous"/>
    </xf>
    <xf numFmtId="211" fontId="16" fillId="0" borderId="0" applyFill="0" applyBorder="0" applyProtection="0"/>
    <xf numFmtId="178" fontId="16" fillId="0" borderId="0" applyFill="0" applyBorder="0" applyProtection="0"/>
    <xf numFmtId="0" fontId="11" fillId="0" borderId="0"/>
    <xf numFmtId="178" fontId="16" fillId="0" borderId="0" applyFill="0" applyBorder="0" applyProtection="0"/>
    <xf numFmtId="0" fontId="216" fillId="0" borderId="0"/>
    <xf numFmtId="178" fontId="16" fillId="0" borderId="0" applyFill="0" applyBorder="0" applyProtection="0"/>
    <xf numFmtId="178" fontId="16" fillId="0" borderId="0" applyFill="0" applyBorder="0" applyProtection="0"/>
    <xf numFmtId="178" fontId="16" fillId="0" borderId="0" applyFill="0" applyBorder="0" applyProtection="0"/>
    <xf numFmtId="178" fontId="16" fillId="0" borderId="0" applyFill="0" applyBorder="0" applyProtection="0"/>
    <xf numFmtId="0" fontId="11" fillId="0" borderId="0"/>
    <xf numFmtId="0" fontId="11" fillId="34" borderId="47" applyNumberFormat="0" applyFont="0" applyAlignment="0" applyProtection="0"/>
    <xf numFmtId="0" fontId="11" fillId="34" borderId="47" applyNumberFormat="0" applyFont="0" applyAlignment="0" applyProtection="0"/>
    <xf numFmtId="37" fontId="115" fillId="0" borderId="0"/>
    <xf numFmtId="0" fontId="52" fillId="0" borderId="0" applyNumberFormat="0" applyFill="0" applyBorder="0" applyAlignment="0" applyProtection="0"/>
    <xf numFmtId="0" fontId="195" fillId="41" borderId="48" applyNumberFormat="0" applyAlignment="0" applyProtection="0"/>
    <xf numFmtId="0" fontId="195" fillId="41" borderId="48" applyNumberFormat="0" applyAlignment="0" applyProtection="0"/>
    <xf numFmtId="0" fontId="52" fillId="0" borderId="0"/>
    <xf numFmtId="0" fontId="69" fillId="0" borderId="0">
      <alignment vertical="top"/>
    </xf>
    <xf numFmtId="0" fontId="76" fillId="0" borderId="53" applyNumberFormat="0" applyFill="0" applyProtection="0">
      <alignment horizontal="right"/>
    </xf>
    <xf numFmtId="37" fontId="19" fillId="0" borderId="0" applyNumberFormat="0" applyFont="0" applyBorder="0" applyAlignment="0">
      <alignment horizontal="center"/>
    </xf>
    <xf numFmtId="0" fontId="166" fillId="0" borderId="0" applyFill="0" applyBorder="0" applyProtection="0">
      <alignment horizontal="left"/>
    </xf>
    <xf numFmtId="0" fontId="139" fillId="0" borderId="11" applyFill="0" applyBorder="0" applyProtection="0">
      <alignment horizontal="left" vertical="top"/>
    </xf>
    <xf numFmtId="0" fontId="204" fillId="0" borderId="0">
      <alignment horizontal="center"/>
    </xf>
    <xf numFmtId="224" fontId="175" fillId="0" borderId="50"/>
    <xf numFmtId="277" fontId="181" fillId="0" borderId="0" applyFont="0" applyFill="0" applyBorder="0">
      <alignment horizontal="right"/>
    </xf>
    <xf numFmtId="0" fontId="2" fillId="0" borderId="0"/>
    <xf numFmtId="0" fontId="2" fillId="0" borderId="0"/>
    <xf numFmtId="218" fontId="11" fillId="14" borderId="53" applyNumberFormat="0" applyFont="0" applyBorder="0" applyAlignment="0" applyProtection="0">
      <alignment horizontal="right"/>
    </xf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37" fontId="16" fillId="0" borderId="0" applyFill="0" applyBorder="0" applyProtection="0"/>
    <xf numFmtId="41" fontId="16" fillId="0" borderId="0" applyFill="0" applyBorder="0" applyProtection="0"/>
    <xf numFmtId="43" fontId="16" fillId="0" borderId="0" applyFont="0" applyFill="0" applyBorder="0" applyAlignment="0" applyProtection="0"/>
    <xf numFmtId="172" fontId="11" fillId="0" borderId="1" applyBorder="0"/>
    <xf numFmtId="172" fontId="11" fillId="0" borderId="1" applyBorder="0"/>
    <xf numFmtId="178" fontId="16" fillId="0" borderId="0" applyFill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6" fillId="0" borderId="0" applyFill="0" applyBorder="0"/>
    <xf numFmtId="178" fontId="16" fillId="0" borderId="0" applyFill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6" fillId="0" borderId="0" applyFill="0" applyBorder="0"/>
    <xf numFmtId="178" fontId="16" fillId="0" borderId="0" applyFill="0" applyBorder="0" applyProtection="0"/>
    <xf numFmtId="178" fontId="16" fillId="0" borderId="0" applyFill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6" fillId="0" borderId="1" applyFill="0" applyBorder="0" applyProtection="0"/>
    <xf numFmtId="0" fontId="1" fillId="0" borderId="0"/>
    <xf numFmtId="172" fontId="11" fillId="0" borderId="1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6" fillId="0" borderId="0" applyFill="0" applyBorder="0" applyProtection="0"/>
    <xf numFmtId="0" fontId="1" fillId="0" borderId="0"/>
    <xf numFmtId="0" fontId="1" fillId="0" borderId="0"/>
    <xf numFmtId="178" fontId="16" fillId="0" borderId="0" applyFill="0" applyBorder="0" applyProtection="0"/>
    <xf numFmtId="0" fontId="1" fillId="0" borderId="0"/>
    <xf numFmtId="9" fontId="16" fillId="0" borderId="1" applyFill="0" applyBorder="0" applyProtection="0"/>
  </cellStyleXfs>
  <cellXfs count="731">
    <xf numFmtId="37" fontId="0" fillId="0" borderId="0" xfId="0"/>
    <xf numFmtId="37" fontId="16" fillId="0" borderId="0" xfId="337"/>
    <xf numFmtId="37" fontId="16" fillId="0" borderId="0" xfId="337" applyBorder="1"/>
    <xf numFmtId="170" fontId="16" fillId="0" borderId="0" xfId="337" applyNumberFormat="1"/>
    <xf numFmtId="37" fontId="16" fillId="0" borderId="7" xfId="337" applyBorder="1"/>
    <xf numFmtId="9" fontId="16" fillId="7" borderId="1" xfId="3421" applyFill="1" applyBorder="1"/>
    <xf numFmtId="37" fontId="16" fillId="7" borderId="0" xfId="337" applyFill="1"/>
    <xf numFmtId="37" fontId="16" fillId="7" borderId="1" xfId="337" applyFill="1" applyBorder="1"/>
    <xf numFmtId="37" fontId="24" fillId="0" borderId="0" xfId="337" applyFont="1" applyBorder="1"/>
    <xf numFmtId="37" fontId="24" fillId="0" borderId="0" xfId="337" applyFont="1"/>
    <xf numFmtId="37" fontId="24" fillId="0" borderId="1" xfId="337" applyFont="1" applyBorder="1"/>
    <xf numFmtId="37" fontId="16" fillId="0" borderId="0" xfId="337" applyFill="1"/>
    <xf numFmtId="37" fontId="16" fillId="0" borderId="1" xfId="337" applyBorder="1"/>
    <xf numFmtId="37" fontId="16" fillId="2" borderId="0" xfId="337" applyFill="1" applyBorder="1"/>
    <xf numFmtId="37" fontId="16" fillId="2" borderId="0" xfId="337" applyFill="1"/>
    <xf numFmtId="37" fontId="24" fillId="3" borderId="0" xfId="337" applyFont="1" applyFill="1"/>
    <xf numFmtId="37" fontId="24" fillId="0" borderId="0" xfId="337" applyFont="1" applyFill="1"/>
    <xf numFmtId="37" fontId="24" fillId="2" borderId="0" xfId="337" applyFont="1" applyFill="1"/>
    <xf numFmtId="37" fontId="26" fillId="0" borderId="1" xfId="337" applyFont="1" applyBorder="1"/>
    <xf numFmtId="37" fontId="26" fillId="0" borderId="0" xfId="337" applyFont="1"/>
    <xf numFmtId="37" fontId="26" fillId="2" borderId="0" xfId="337" applyFont="1" applyFill="1"/>
    <xf numFmtId="37" fontId="16" fillId="0" borderId="1" xfId="337" applyFill="1" applyBorder="1"/>
    <xf numFmtId="5" fontId="16" fillId="0" borderId="0" xfId="337" applyNumberFormat="1"/>
    <xf numFmtId="9" fontId="16" fillId="2" borderId="0" xfId="337" applyNumberFormat="1" applyFill="1"/>
    <xf numFmtId="9" fontId="16" fillId="0" borderId="1" xfId="337" applyNumberFormat="1" applyFill="1" applyBorder="1"/>
    <xf numFmtId="9" fontId="26" fillId="2" borderId="0" xfId="337" applyNumberFormat="1" applyFont="1" applyFill="1"/>
    <xf numFmtId="37" fontId="16" fillId="0" borderId="0" xfId="337" applyAlignment="1">
      <alignment horizontal="left" indent="1"/>
    </xf>
    <xf numFmtId="37" fontId="16" fillId="8" borderId="1" xfId="337" applyFill="1" applyBorder="1"/>
    <xf numFmtId="37" fontId="16" fillId="2" borderId="1" xfId="337" applyFill="1" applyBorder="1"/>
    <xf numFmtId="37" fontId="16" fillId="0" borderId="0" xfId="337" applyAlignment="1">
      <alignment horizontal="left"/>
    </xf>
    <xf numFmtId="167" fontId="16" fillId="0" borderId="0" xfId="337" applyNumberFormat="1"/>
    <xf numFmtId="170" fontId="26" fillId="0" borderId="1" xfId="337" applyNumberFormat="1" applyFont="1" applyBorder="1"/>
    <xf numFmtId="17" fontId="8" fillId="2" borderId="1" xfId="337" applyNumberFormat="1" applyFont="1" applyFill="1" applyBorder="1" applyAlignment="1">
      <alignment horizontal="center"/>
    </xf>
    <xf numFmtId="17" fontId="8" fillId="2" borderId="0" xfId="337" applyNumberFormat="1" applyFont="1" applyFill="1" applyAlignment="1">
      <alignment horizontal="center"/>
    </xf>
    <xf numFmtId="164" fontId="8" fillId="2" borderId="0" xfId="337" applyNumberFormat="1" applyFont="1" applyFill="1" applyAlignment="1">
      <alignment horizontal="center"/>
    </xf>
    <xf numFmtId="164" fontId="8" fillId="2" borderId="1" xfId="337" applyNumberFormat="1" applyFont="1" applyFill="1" applyBorder="1" applyAlignment="1">
      <alignment horizontal="center"/>
    </xf>
    <xf numFmtId="37" fontId="15" fillId="2" borderId="0" xfId="337" applyFont="1" applyFill="1" applyBorder="1" applyAlignment="1">
      <alignment horizontal="left"/>
    </xf>
    <xf numFmtId="17" fontId="8" fillId="4" borderId="1" xfId="337" applyNumberFormat="1" applyFont="1" applyFill="1" applyBorder="1" applyAlignment="1">
      <alignment horizontal="center"/>
    </xf>
    <xf numFmtId="17" fontId="8" fillId="4" borderId="0" xfId="337" applyNumberFormat="1" applyFont="1" applyFill="1" applyAlignment="1">
      <alignment horizontal="center"/>
    </xf>
    <xf numFmtId="164" fontId="8" fillId="4" borderId="0" xfId="337" applyNumberFormat="1" applyFont="1" applyFill="1" applyAlignment="1">
      <alignment horizontal="center"/>
    </xf>
    <xf numFmtId="164" fontId="8" fillId="4" borderId="1" xfId="337" applyNumberFormat="1" applyFont="1" applyFill="1" applyBorder="1" applyAlignment="1">
      <alignment horizontal="center"/>
    </xf>
    <xf numFmtId="37" fontId="15" fillId="5" borderId="6" xfId="337" applyFont="1" applyFill="1" applyBorder="1" applyAlignment="1">
      <alignment horizontal="left"/>
    </xf>
    <xf numFmtId="0" fontId="7" fillId="3" borderId="1" xfId="337" applyNumberFormat="1" applyFont="1" applyFill="1" applyBorder="1" applyAlignment="1">
      <alignment horizontal="center"/>
    </xf>
    <xf numFmtId="37" fontId="7" fillId="3" borderId="0" xfId="337" applyFont="1" applyFill="1" applyAlignment="1">
      <alignment horizontal="center"/>
    </xf>
    <xf numFmtId="37" fontId="14" fillId="5" borderId="5" xfId="337" applyFont="1" applyFill="1" applyBorder="1" applyAlignment="1">
      <alignment horizontal="left"/>
    </xf>
    <xf numFmtId="37" fontId="16" fillId="0" borderId="4" xfId="337" applyBorder="1"/>
    <xf numFmtId="9" fontId="22" fillId="7" borderId="54" xfId="3421" applyFont="1" applyFill="1" applyBorder="1"/>
    <xf numFmtId="9" fontId="9" fillId="2" borderId="54" xfId="3421" applyFont="1" applyFill="1" applyBorder="1"/>
    <xf numFmtId="9" fontId="9" fillId="2" borderId="1" xfId="3421" applyFont="1" applyFill="1" applyBorder="1"/>
    <xf numFmtId="37" fontId="9" fillId="2" borderId="1" xfId="337" applyFont="1" applyFill="1" applyBorder="1"/>
    <xf numFmtId="37" fontId="9" fillId="2" borderId="0" xfId="337" applyFont="1" applyFill="1" applyBorder="1" applyAlignment="1">
      <alignment horizontal="left" indent="1"/>
    </xf>
    <xf numFmtId="5" fontId="219" fillId="62" borderId="2" xfId="337" applyNumberFormat="1" applyFont="1" applyFill="1" applyBorder="1"/>
    <xf numFmtId="37" fontId="219" fillId="62" borderId="2" xfId="337" applyFont="1" applyFill="1" applyBorder="1"/>
    <xf numFmtId="37" fontId="219" fillId="62" borderId="3" xfId="337" applyFont="1" applyFill="1" applyBorder="1"/>
    <xf numFmtId="37" fontId="16" fillId="2" borderId="0" xfId="337" applyFill="1" applyAlignment="1">
      <alignment horizontal="center"/>
    </xf>
    <xf numFmtId="37" fontId="16" fillId="7" borderId="1" xfId="337" applyFill="1" applyBorder="1" applyAlignment="1">
      <alignment horizontal="center"/>
    </xf>
    <xf numFmtId="37" fontId="16" fillId="0" borderId="1" xfId="337" applyFill="1" applyBorder="1" applyAlignment="1">
      <alignment horizontal="center"/>
    </xf>
    <xf numFmtId="37" fontId="16" fillId="2" borderId="1" xfId="337" applyFill="1" applyBorder="1" applyAlignment="1">
      <alignment horizontal="center"/>
    </xf>
    <xf numFmtId="37" fontId="16" fillId="2" borderId="0" xfId="337" applyFill="1" applyBorder="1" applyAlignment="1">
      <alignment horizontal="center"/>
    </xf>
    <xf numFmtId="9" fontId="22" fillId="7" borderId="1" xfId="3421" applyFont="1" applyFill="1" applyBorder="1"/>
    <xf numFmtId="37" fontId="31" fillId="0" borderId="0" xfId="337" applyFont="1"/>
    <xf numFmtId="5" fontId="24" fillId="61" borderId="1" xfId="337" applyNumberFormat="1" applyFont="1" applyFill="1" applyBorder="1"/>
    <xf numFmtId="37" fontId="24" fillId="61" borderId="1" xfId="337" applyFont="1" applyFill="1" applyBorder="1"/>
    <xf numFmtId="37" fontId="24" fillId="61" borderId="0" xfId="337" applyFont="1" applyFill="1" applyBorder="1"/>
    <xf numFmtId="37" fontId="24" fillId="61" borderId="0" xfId="337" applyFont="1" applyFill="1"/>
    <xf numFmtId="37" fontId="28" fillId="2" borderId="1" xfId="337" applyFont="1" applyFill="1" applyBorder="1"/>
    <xf numFmtId="37" fontId="24" fillId="2" borderId="1" xfId="337" applyFont="1" applyFill="1" applyBorder="1"/>
    <xf numFmtId="37" fontId="24" fillId="2" borderId="0" xfId="337" applyFont="1" applyFill="1" applyBorder="1"/>
    <xf numFmtId="9" fontId="16" fillId="8" borderId="1" xfId="3421" applyFill="1" applyBorder="1"/>
    <xf numFmtId="37" fontId="217" fillId="8" borderId="0" xfId="337" applyFont="1" applyFill="1"/>
    <xf numFmtId="37" fontId="16" fillId="8" borderId="0" xfId="337" applyFill="1"/>
    <xf numFmtId="177" fontId="218" fillId="2" borderId="1" xfId="337" applyNumberFormat="1" applyFont="1" applyFill="1" applyBorder="1"/>
    <xf numFmtId="5" fontId="24" fillId="8" borderId="1" xfId="337" applyNumberFormat="1" applyFont="1" applyFill="1" applyBorder="1"/>
    <xf numFmtId="37" fontId="24" fillId="8" borderId="0" xfId="337" applyFont="1" applyFill="1"/>
    <xf numFmtId="37" fontId="24" fillId="0" borderId="0" xfId="337" quotePrefix="1" applyFont="1"/>
    <xf numFmtId="37" fontId="31" fillId="2" borderId="0" xfId="337" applyFont="1" applyFill="1"/>
    <xf numFmtId="170" fontId="31" fillId="2" borderId="1" xfId="337" applyNumberFormat="1" applyFont="1" applyFill="1" applyBorder="1"/>
    <xf numFmtId="37" fontId="31" fillId="2" borderId="1" xfId="337" applyFont="1" applyFill="1" applyBorder="1"/>
    <xf numFmtId="37" fontId="217" fillId="0" borderId="0" xfId="337" quotePrefix="1" applyFont="1"/>
    <xf numFmtId="9" fontId="24" fillId="2" borderId="1" xfId="3421" applyFont="1" applyFill="1" applyBorder="1"/>
    <xf numFmtId="37" fontId="217" fillId="0" borderId="0" xfId="337" applyFont="1"/>
    <xf numFmtId="5" fontId="218" fillId="2" borderId="1" xfId="337" applyNumberFormat="1" applyFont="1" applyFill="1" applyBorder="1"/>
    <xf numFmtId="5" fontId="31" fillId="0" borderId="0" xfId="337" applyNumberFormat="1" applyFont="1" applyAlignment="1">
      <alignment horizontal="left" indent="1"/>
    </xf>
    <xf numFmtId="170" fontId="31" fillId="2" borderId="0" xfId="337" applyNumberFormat="1" applyFont="1" applyFill="1"/>
    <xf numFmtId="170" fontId="31" fillId="7" borderId="1" xfId="337" applyNumberFormat="1" applyFont="1" applyFill="1" applyBorder="1"/>
    <xf numFmtId="170" fontId="31" fillId="0" borderId="0" xfId="337" applyNumberFormat="1" applyFont="1" applyAlignment="1">
      <alignment horizontal="left" indent="1"/>
    </xf>
    <xf numFmtId="170" fontId="217" fillId="0" borderId="0" xfId="337" quotePrefix="1" applyNumberFormat="1" applyFont="1"/>
    <xf numFmtId="37" fontId="26" fillId="2" borderId="0" xfId="337" applyFont="1" applyFill="1" applyBorder="1" applyAlignment="1">
      <alignment horizontal="left"/>
    </xf>
    <xf numFmtId="37" fontId="16" fillId="0" borderId="0" xfId="337" applyFill="1" applyAlignment="1">
      <alignment horizontal="center"/>
    </xf>
    <xf numFmtId="37" fontId="31" fillId="0" borderId="0" xfId="337" applyFont="1" applyAlignment="1">
      <alignment horizontal="center"/>
    </xf>
    <xf numFmtId="170" fontId="16" fillId="2" borderId="0" xfId="337" applyNumberFormat="1" applyFill="1"/>
    <xf numFmtId="170" fontId="31" fillId="2" borderId="0" xfId="337" applyNumberFormat="1" applyFont="1" applyFill="1" applyBorder="1"/>
    <xf numFmtId="167" fontId="16" fillId="0" borderId="7" xfId="337" applyNumberFormat="1" applyBorder="1"/>
    <xf numFmtId="9" fontId="16" fillId="2" borderId="18" xfId="3421" applyFill="1" applyBorder="1"/>
    <xf numFmtId="9" fontId="16" fillId="2" borderId="10" xfId="3421" applyFill="1" applyBorder="1"/>
    <xf numFmtId="9" fontId="16" fillId="2" borderId="10" xfId="337" applyNumberFormat="1" applyFill="1" applyBorder="1"/>
    <xf numFmtId="37" fontId="16" fillId="2" borderId="18" xfId="337" applyFill="1" applyBorder="1"/>
    <xf numFmtId="37" fontId="16" fillId="2" borderId="10" xfId="337" applyFill="1" applyBorder="1"/>
    <xf numFmtId="37" fontId="16" fillId="2" borderId="25" xfId="337" applyFill="1" applyBorder="1"/>
    <xf numFmtId="9" fontId="26" fillId="2" borderId="1" xfId="3421" applyFont="1" applyFill="1" applyBorder="1"/>
    <xf numFmtId="9" fontId="26" fillId="2" borderId="0" xfId="3421" applyFont="1" applyFill="1" applyBorder="1"/>
    <xf numFmtId="37" fontId="26" fillId="2" borderId="1" xfId="337" applyFont="1" applyFill="1" applyBorder="1"/>
    <xf numFmtId="37" fontId="16" fillId="2" borderId="16" xfId="337" applyFill="1" applyBorder="1" applyAlignment="1">
      <alignment horizontal="left" indent="1"/>
    </xf>
    <xf numFmtId="9" fontId="28" fillId="2" borderId="1" xfId="3421" applyFont="1" applyFill="1" applyBorder="1"/>
    <xf numFmtId="9" fontId="27" fillId="2" borderId="0" xfId="337" applyNumberFormat="1" applyFont="1" applyFill="1"/>
    <xf numFmtId="9" fontId="16" fillId="2" borderId="1" xfId="3421" applyFill="1" applyBorder="1"/>
    <xf numFmtId="9" fontId="16" fillId="2" borderId="0" xfId="3421" applyFill="1" applyBorder="1"/>
    <xf numFmtId="37" fontId="16" fillId="2" borderId="16" xfId="337" applyFill="1" applyBorder="1"/>
    <xf numFmtId="37" fontId="16" fillId="2" borderId="0" xfId="337" applyFill="1" applyAlignment="1">
      <alignment horizontal="left" indent="1"/>
    </xf>
    <xf numFmtId="9" fontId="16" fillId="0" borderId="0" xfId="337" applyNumberFormat="1" applyFill="1"/>
    <xf numFmtId="9" fontId="16" fillId="0" borderId="0" xfId="3421" applyFill="1" applyBorder="1"/>
    <xf numFmtId="9" fontId="16" fillId="0" borderId="2" xfId="337" applyNumberFormat="1" applyFill="1" applyBorder="1"/>
    <xf numFmtId="9" fontId="16" fillId="0" borderId="3" xfId="337" applyNumberFormat="1" applyFill="1" applyBorder="1"/>
    <xf numFmtId="9" fontId="16" fillId="2" borderId="3" xfId="337" applyNumberFormat="1" applyFill="1" applyBorder="1"/>
    <xf numFmtId="9" fontId="16" fillId="2" borderId="2" xfId="337" applyNumberFormat="1" applyFill="1" applyBorder="1"/>
    <xf numFmtId="9" fontId="16" fillId="2" borderId="2" xfId="3421" applyFill="1" applyBorder="1"/>
    <xf numFmtId="37" fontId="16" fillId="2" borderId="3" xfId="337" applyFill="1" applyBorder="1"/>
    <xf numFmtId="37" fontId="16" fillId="2" borderId="2" xfId="337" applyFill="1" applyBorder="1"/>
    <xf numFmtId="9" fontId="16" fillId="2" borderId="1" xfId="337" applyNumberFormat="1" applyFill="1" applyBorder="1"/>
    <xf numFmtId="37" fontId="16" fillId="2" borderId="0" xfId="337" applyFill="1" applyAlignment="1">
      <alignment horizontal="left"/>
    </xf>
    <xf numFmtId="9" fontId="16" fillId="0" borderId="2" xfId="3421" applyFill="1" applyBorder="1"/>
    <xf numFmtId="9" fontId="16" fillId="0" borderId="3" xfId="3421" applyFill="1" applyBorder="1"/>
    <xf numFmtId="9" fontId="16" fillId="2" borderId="3" xfId="3421" applyFill="1" applyBorder="1"/>
    <xf numFmtId="9" fontId="28" fillId="0" borderId="1" xfId="3421" applyFont="1" applyFill="1" applyBorder="1"/>
    <xf numFmtId="9" fontId="16" fillId="0" borderId="1" xfId="3421" applyFill="1" applyBorder="1"/>
    <xf numFmtId="9" fontId="28" fillId="0" borderId="0" xfId="3421" applyFont="1" applyFill="1" applyBorder="1"/>
    <xf numFmtId="37" fontId="28" fillId="2" borderId="0" xfId="337" applyFont="1" applyFill="1"/>
    <xf numFmtId="37" fontId="24" fillId="2" borderId="2" xfId="337" applyFont="1" applyFill="1" applyBorder="1"/>
    <xf numFmtId="37" fontId="24" fillId="2" borderId="3" xfId="337" applyFont="1" applyFill="1" applyBorder="1"/>
    <xf numFmtId="37" fontId="27" fillId="2" borderId="24" xfId="337" applyFont="1" applyFill="1" applyBorder="1"/>
    <xf numFmtId="37" fontId="16" fillId="2" borderId="24" xfId="337" applyFill="1" applyBorder="1"/>
    <xf numFmtId="37" fontId="27" fillId="2" borderId="23" xfId="337" applyFont="1" applyFill="1" applyBorder="1"/>
    <xf numFmtId="37" fontId="16" fillId="2" borderId="23" xfId="337" applyFill="1" applyBorder="1"/>
    <xf numFmtId="37" fontId="16" fillId="0" borderId="23" xfId="337" applyFill="1" applyBorder="1"/>
    <xf numFmtId="37" fontId="16" fillId="2" borderId="14" xfId="337" applyFill="1" applyBorder="1"/>
    <xf numFmtId="173" fontId="0" fillId="2" borderId="0" xfId="3254" applyNumberFormat="1" applyFont="1" applyFill="1"/>
    <xf numFmtId="37" fontId="24" fillId="4" borderId="2" xfId="337" applyFont="1" applyFill="1" applyBorder="1"/>
    <xf numFmtId="37" fontId="24" fillId="4" borderId="3" xfId="337" applyFont="1" applyFill="1" applyBorder="1"/>
    <xf numFmtId="37" fontId="28" fillId="0" borderId="1" xfId="337" applyFont="1" applyBorder="1"/>
    <xf numFmtId="37" fontId="27" fillId="0" borderId="1" xfId="337" applyFont="1" applyBorder="1"/>
    <xf numFmtId="37" fontId="27" fillId="0" borderId="0" xfId="337" applyFont="1"/>
    <xf numFmtId="37" fontId="28" fillId="0" borderId="0" xfId="337" applyFont="1"/>
    <xf numFmtId="9" fontId="16" fillId="0" borderId="0" xfId="3421" applyBorder="1"/>
    <xf numFmtId="37" fontId="24" fillId="3" borderId="3" xfId="337" applyFont="1" applyFill="1" applyBorder="1"/>
    <xf numFmtId="37" fontId="24" fillId="3" borderId="2" xfId="337" applyFont="1" applyFill="1" applyBorder="1"/>
    <xf numFmtId="5" fontId="27" fillId="0" borderId="1" xfId="337" applyNumberFormat="1" applyFont="1" applyBorder="1"/>
    <xf numFmtId="5" fontId="16" fillId="0" borderId="1" xfId="337" applyNumberFormat="1" applyBorder="1"/>
    <xf numFmtId="5" fontId="27" fillId="0" borderId="0" xfId="337" applyNumberFormat="1" applyFont="1"/>
    <xf numFmtId="164" fontId="8" fillId="4" borderId="0" xfId="337" applyNumberFormat="1" applyFont="1" applyFill="1" applyBorder="1" applyAlignment="1">
      <alignment horizontal="center"/>
    </xf>
    <xf numFmtId="37" fontId="7" fillId="3" borderId="0" xfId="337" applyFont="1" applyFill="1" applyBorder="1" applyAlignment="1">
      <alignment horizontal="center"/>
    </xf>
    <xf numFmtId="170" fontId="24" fillId="3" borderId="2" xfId="337" applyNumberFormat="1" applyFont="1" applyFill="1" applyBorder="1"/>
    <xf numFmtId="37" fontId="16" fillId="0" borderId="0" xfId="401"/>
    <xf numFmtId="37" fontId="28" fillId="0" borderId="0" xfId="337" applyFont="1" applyFill="1" applyBorder="1"/>
    <xf numFmtId="37" fontId="30" fillId="3" borderId="2" xfId="337" applyFont="1" applyFill="1" applyBorder="1"/>
    <xf numFmtId="37" fontId="30" fillId="3" borderId="3" xfId="337" applyFont="1" applyFill="1" applyBorder="1"/>
    <xf numFmtId="8" fontId="16" fillId="0" borderId="0" xfId="337" applyNumberFormat="1"/>
    <xf numFmtId="37" fontId="224" fillId="0" borderId="0" xfId="337" applyFont="1" applyBorder="1"/>
    <xf numFmtId="9" fontId="224" fillId="0" borderId="0" xfId="337" applyNumberFormat="1" applyFont="1" applyBorder="1"/>
    <xf numFmtId="37" fontId="224" fillId="0" borderId="0" xfId="337" applyFont="1" applyFill="1" applyBorder="1"/>
    <xf numFmtId="37" fontId="230" fillId="0" borderId="0" xfId="337" applyFont="1" applyBorder="1"/>
    <xf numFmtId="1" fontId="225" fillId="0" borderId="0" xfId="337" applyNumberFormat="1" applyFont="1" applyBorder="1"/>
    <xf numFmtId="0" fontId="224" fillId="0" borderId="0" xfId="337" applyNumberFormat="1" applyFont="1" applyBorder="1"/>
    <xf numFmtId="168" fontId="224" fillId="0" borderId="0" xfId="3421" applyNumberFormat="1" applyFont="1" applyBorder="1"/>
    <xf numFmtId="0" fontId="224" fillId="0" borderId="0" xfId="337" applyNumberFormat="1" applyFont="1" applyFill="1" applyBorder="1"/>
    <xf numFmtId="9" fontId="224" fillId="0" borderId="0" xfId="3421" applyFont="1" applyBorder="1"/>
    <xf numFmtId="37" fontId="224" fillId="0" borderId="0" xfId="337" applyFont="1" applyBorder="1" applyAlignment="1">
      <alignment horizontal="center"/>
    </xf>
    <xf numFmtId="37" fontId="224" fillId="0" borderId="0" xfId="337" applyFont="1" applyBorder="1" applyAlignment="1">
      <alignment horizontal="right"/>
    </xf>
    <xf numFmtId="37" fontId="224" fillId="0" borderId="10" xfId="337" applyFont="1" applyBorder="1"/>
    <xf numFmtId="37" fontId="224" fillId="0" borderId="6" xfId="337" applyFont="1" applyBorder="1"/>
    <xf numFmtId="37" fontId="224" fillId="0" borderId="12" xfId="337" applyFont="1" applyBorder="1"/>
    <xf numFmtId="37" fontId="225" fillId="0" borderId="0" xfId="337" applyFont="1" applyBorder="1"/>
    <xf numFmtId="37" fontId="224" fillId="0" borderId="11" xfId="337" applyFont="1" applyBorder="1"/>
    <xf numFmtId="37" fontId="228" fillId="0" borderId="0" xfId="337" applyFont="1" applyBorder="1"/>
    <xf numFmtId="37" fontId="225" fillId="0" borderId="53" xfId="337" applyFont="1" applyBorder="1" applyAlignment="1">
      <alignment horizontal="right"/>
    </xf>
    <xf numFmtId="179" fontId="224" fillId="0" borderId="0" xfId="337" applyNumberFormat="1" applyFont="1" applyBorder="1" applyAlignment="1">
      <alignment horizontal="right"/>
    </xf>
    <xf numFmtId="37" fontId="225" fillId="0" borderId="0" xfId="337" applyFont="1" applyBorder="1" applyAlignment="1">
      <alignment horizontal="right"/>
    </xf>
    <xf numFmtId="316" fontId="225" fillId="0" borderId="0" xfId="337" applyNumberFormat="1" applyFont="1" applyBorder="1" applyAlignment="1">
      <alignment horizontal="right"/>
    </xf>
    <xf numFmtId="37" fontId="225" fillId="0" borderId="0" xfId="337" applyFont="1" applyBorder="1" applyAlignment="1">
      <alignment horizontal="center"/>
    </xf>
    <xf numFmtId="37" fontId="224" fillId="0" borderId="5" xfId="337" applyFont="1" applyBorder="1"/>
    <xf numFmtId="317" fontId="224" fillId="0" borderId="55" xfId="337" applyNumberFormat="1" applyFont="1" applyBorder="1"/>
    <xf numFmtId="37" fontId="225" fillId="0" borderId="11" xfId="337" applyFont="1" applyBorder="1"/>
    <xf numFmtId="37" fontId="225" fillId="0" borderId="12" xfId="337" applyFont="1" applyBorder="1"/>
    <xf numFmtId="37" fontId="224" fillId="0" borderId="12" xfId="337" applyFont="1" applyBorder="1" applyAlignment="1">
      <alignment horizontal="right"/>
    </xf>
    <xf numFmtId="170" fontId="224" fillId="0" borderId="56" xfId="337" applyNumberFormat="1" applyFont="1" applyBorder="1"/>
    <xf numFmtId="318" fontId="228" fillId="0" borderId="0" xfId="3421" applyNumberFormat="1" applyFont="1" applyBorder="1" applyAlignment="1">
      <alignment horizontal="right"/>
    </xf>
    <xf numFmtId="318" fontId="228" fillId="0" borderId="0" xfId="337" applyNumberFormat="1" applyFont="1" applyBorder="1" applyAlignment="1">
      <alignment horizontal="right"/>
    </xf>
    <xf numFmtId="37" fontId="231" fillId="0" borderId="0" xfId="337" applyFont="1" applyBorder="1"/>
    <xf numFmtId="0" fontId="225" fillId="0" borderId="0" xfId="337" applyNumberFormat="1" applyFont="1" applyBorder="1"/>
    <xf numFmtId="319" fontId="224" fillId="0" borderId="0" xfId="337" applyNumberFormat="1" applyFont="1" applyBorder="1"/>
    <xf numFmtId="318" fontId="228" fillId="0" borderId="0" xfId="337" applyNumberFormat="1" applyFont="1" applyBorder="1"/>
    <xf numFmtId="320" fontId="224" fillId="0" borderId="0" xfId="337" applyNumberFormat="1" applyFont="1" applyBorder="1"/>
    <xf numFmtId="256" fontId="225" fillId="0" borderId="0" xfId="337" applyNumberFormat="1" applyFont="1" applyBorder="1"/>
    <xf numFmtId="37" fontId="228" fillId="0" borderId="0" xfId="337" applyFont="1" applyBorder="1" applyAlignment="1">
      <alignment horizontal="left" indent="1"/>
    </xf>
    <xf numFmtId="37" fontId="224" fillId="0" borderId="57" xfId="337" applyFont="1" applyBorder="1"/>
    <xf numFmtId="37" fontId="224" fillId="0" borderId="60" xfId="337" applyFont="1" applyBorder="1"/>
    <xf numFmtId="37" fontId="224" fillId="0" borderId="62" xfId="337" applyFont="1" applyBorder="1"/>
    <xf numFmtId="37" fontId="224" fillId="0" borderId="63" xfId="337" applyFont="1" applyBorder="1"/>
    <xf numFmtId="37" fontId="224" fillId="0" borderId="0" xfId="337" applyFont="1"/>
    <xf numFmtId="37" fontId="224" fillId="7" borderId="0" xfId="337" applyFont="1" applyFill="1"/>
    <xf numFmtId="37" fontId="224" fillId="0" borderId="4" xfId="337" applyFont="1" applyBorder="1"/>
    <xf numFmtId="0" fontId="232" fillId="3" borderId="1" xfId="337" applyNumberFormat="1" applyFont="1" applyFill="1" applyBorder="1" applyAlignment="1">
      <alignment horizontal="center"/>
    </xf>
    <xf numFmtId="37" fontId="232" fillId="3" borderId="0" xfId="337" applyFont="1" applyFill="1" applyAlignment="1">
      <alignment horizontal="center"/>
    </xf>
    <xf numFmtId="164" fontId="233" fillId="4" borderId="0" xfId="337" applyNumberFormat="1" applyFont="1" applyFill="1" applyAlignment="1">
      <alignment horizontal="center"/>
    </xf>
    <xf numFmtId="17" fontId="233" fillId="4" borderId="0" xfId="337" applyNumberFormat="1" applyFont="1" applyFill="1" applyAlignment="1">
      <alignment horizontal="center"/>
    </xf>
    <xf numFmtId="17" fontId="233" fillId="4" borderId="1" xfId="337" applyNumberFormat="1" applyFont="1" applyFill="1" applyBorder="1" applyAlignment="1">
      <alignment horizontal="center"/>
    </xf>
    <xf numFmtId="37" fontId="224" fillId="0" borderId="1" xfId="337" applyFont="1" applyBorder="1"/>
    <xf numFmtId="37" fontId="225" fillId="0" borderId="0" xfId="337" applyFont="1"/>
    <xf numFmtId="5" fontId="225" fillId="0" borderId="1" xfId="337" applyNumberFormat="1" applyFont="1" applyBorder="1"/>
    <xf numFmtId="5" fontId="225" fillId="0" borderId="0" xfId="337" applyNumberFormat="1" applyFont="1"/>
    <xf numFmtId="5" fontId="235" fillId="0" borderId="0" xfId="337" applyNumberFormat="1" applyFont="1"/>
    <xf numFmtId="5" fontId="235" fillId="0" borderId="1" xfId="337" applyNumberFormat="1" applyFont="1" applyBorder="1"/>
    <xf numFmtId="37" fontId="236" fillId="0" borderId="0" xfId="337" applyFont="1"/>
    <xf numFmtId="37" fontId="225" fillId="0" borderId="1" xfId="337" applyFont="1" applyBorder="1"/>
    <xf numFmtId="37" fontId="237" fillId="0" borderId="0" xfId="337" applyFont="1"/>
    <xf numFmtId="37" fontId="237" fillId="0" borderId="1" xfId="337" applyFont="1" applyBorder="1"/>
    <xf numFmtId="37" fontId="238" fillId="0" borderId="0" xfId="337" applyFont="1"/>
    <xf numFmtId="37" fontId="238" fillId="0" borderId="1" xfId="337" applyFont="1" applyBorder="1"/>
    <xf numFmtId="37" fontId="235" fillId="0" borderId="0" xfId="337" applyFont="1"/>
    <xf numFmtId="37" fontId="235" fillId="0" borderId="1" xfId="337" applyFont="1" applyBorder="1"/>
    <xf numFmtId="39" fontId="224" fillId="0" borderId="0" xfId="337" applyNumberFormat="1" applyFont="1" applyBorder="1"/>
    <xf numFmtId="44" fontId="239" fillId="0" borderId="0" xfId="3257" applyFont="1"/>
    <xf numFmtId="44" fontId="239" fillId="0" borderId="1" xfId="3257" applyFont="1" applyBorder="1"/>
    <xf numFmtId="37" fontId="240" fillId="0" borderId="0" xfId="337" applyFont="1"/>
    <xf numFmtId="37" fontId="240" fillId="0" borderId="1" xfId="337" applyFont="1" applyBorder="1"/>
    <xf numFmtId="167" fontId="224" fillId="0" borderId="0" xfId="337" applyNumberFormat="1" applyFont="1"/>
    <xf numFmtId="167" fontId="240" fillId="0" borderId="0" xfId="337" applyNumberFormat="1" applyFont="1"/>
    <xf numFmtId="167" fontId="240" fillId="0" borderId="1" xfId="337" applyNumberFormat="1" applyFont="1" applyBorder="1"/>
    <xf numFmtId="170" fontId="224" fillId="0" borderId="0" xfId="337" applyNumberFormat="1" applyFont="1" applyBorder="1"/>
    <xf numFmtId="7" fontId="224" fillId="0" borderId="0" xfId="384" applyFont="1" applyBorder="1"/>
    <xf numFmtId="7" fontId="240" fillId="0" borderId="0" xfId="384" applyFont="1" applyBorder="1"/>
    <xf numFmtId="7" fontId="240" fillId="0" borderId="1" xfId="384" applyFont="1" applyBorder="1"/>
    <xf numFmtId="178" fontId="225" fillId="3" borderId="2" xfId="357" applyFont="1" applyFill="1" applyBorder="1"/>
    <xf numFmtId="37" fontId="225" fillId="3" borderId="0" xfId="337" applyFont="1" applyFill="1" applyBorder="1"/>
    <xf numFmtId="9" fontId="224" fillId="0" borderId="1" xfId="337" applyNumberFormat="1" applyFont="1" applyBorder="1"/>
    <xf numFmtId="9" fontId="224" fillId="0" borderId="0" xfId="337" applyNumberFormat="1" applyFont="1"/>
    <xf numFmtId="9" fontId="224" fillId="0" borderId="18" xfId="337" applyNumberFormat="1" applyFont="1" applyBorder="1"/>
    <xf numFmtId="37" fontId="224" fillId="0" borderId="7" xfId="337" applyFont="1" applyBorder="1"/>
    <xf numFmtId="37" fontId="224" fillId="0" borderId="58" xfId="337" applyFont="1" applyBorder="1"/>
    <xf numFmtId="37" fontId="224" fillId="0" borderId="59" xfId="337" applyFont="1" applyBorder="1"/>
    <xf numFmtId="37" fontId="224" fillId="0" borderId="61" xfId="337" applyFont="1" applyBorder="1"/>
    <xf numFmtId="170" fontId="224" fillId="0" borderId="0" xfId="337" applyNumberFormat="1" applyFont="1"/>
    <xf numFmtId="37" fontId="224" fillId="0" borderId="64" xfId="337" applyFont="1" applyBorder="1"/>
    <xf numFmtId="37" fontId="244" fillId="0" borderId="0" xfId="0" applyFont="1"/>
    <xf numFmtId="37" fontId="245" fillId="0" borderId="0" xfId="0" applyFont="1"/>
    <xf numFmtId="37" fontId="0" fillId="0" borderId="0" xfId="0" applyAlignment="1">
      <alignment horizontal="right"/>
    </xf>
    <xf numFmtId="9" fontId="224" fillId="0" borderId="0" xfId="387" applyFont="1" applyBorder="1"/>
    <xf numFmtId="167" fontId="224" fillId="0" borderId="0" xfId="337" applyNumberFormat="1" applyFont="1" applyBorder="1"/>
    <xf numFmtId="167" fontId="240" fillId="0" borderId="0" xfId="337" applyNumberFormat="1" applyFont="1" applyBorder="1"/>
    <xf numFmtId="167" fontId="240" fillId="0" borderId="16" xfId="337" applyNumberFormat="1" applyFont="1" applyBorder="1"/>
    <xf numFmtId="37" fontId="224" fillId="0" borderId="60" xfId="337" applyFont="1" applyFill="1" applyBorder="1"/>
    <xf numFmtId="173" fontId="224" fillId="0" borderId="0" xfId="337" applyNumberFormat="1" applyFont="1" applyBorder="1"/>
    <xf numFmtId="37" fontId="240" fillId="0" borderId="0" xfId="337" applyFont="1" applyBorder="1"/>
    <xf numFmtId="7" fontId="224" fillId="0" borderId="0" xfId="337" applyNumberFormat="1" applyFont="1" applyBorder="1"/>
    <xf numFmtId="7" fontId="242" fillId="0" borderId="0" xfId="337" applyNumberFormat="1" applyFont="1" applyBorder="1"/>
    <xf numFmtId="37" fontId="225" fillId="0" borderId="65" xfId="337" applyFont="1" applyBorder="1"/>
    <xf numFmtId="315" fontId="225" fillId="0" borderId="66" xfId="337" applyNumberFormat="1" applyFont="1" applyBorder="1" applyAlignment="1">
      <alignment horizontal="right"/>
    </xf>
    <xf numFmtId="315" fontId="225" fillId="0" borderId="67" xfId="337" applyNumberFormat="1" applyFont="1" applyBorder="1" applyAlignment="1">
      <alignment horizontal="right"/>
    </xf>
    <xf numFmtId="37" fontId="224" fillId="0" borderId="61" xfId="337" applyFont="1" applyFill="1" applyBorder="1"/>
    <xf numFmtId="5" fontId="225" fillId="0" borderId="1" xfId="337" applyNumberFormat="1" applyFont="1" applyBorder="1" applyAlignment="1">
      <alignment horizontal="right"/>
    </xf>
    <xf numFmtId="7" fontId="225" fillId="3" borderId="0" xfId="348" applyFont="1" applyFill="1" applyBorder="1">
      <alignment horizontal="right"/>
    </xf>
    <xf numFmtId="37" fontId="224" fillId="7" borderId="0" xfId="337" applyFont="1" applyFill="1" applyBorder="1"/>
    <xf numFmtId="180" fontId="224" fillId="7" borderId="0" xfId="337" applyNumberFormat="1" applyFont="1" applyFill="1" applyBorder="1"/>
    <xf numFmtId="44" fontId="224" fillId="0" borderId="0" xfId="3257" applyFont="1" applyBorder="1"/>
    <xf numFmtId="44" fontId="239" fillId="0" borderId="0" xfId="3257" applyFont="1" applyBorder="1"/>
    <xf numFmtId="0" fontId="232" fillId="3" borderId="0" xfId="337" applyNumberFormat="1" applyFont="1" applyFill="1" applyBorder="1" applyAlignment="1">
      <alignment horizontal="center"/>
    </xf>
    <xf numFmtId="17" fontId="233" fillId="4" borderId="0" xfId="337" applyNumberFormat="1" applyFont="1" applyFill="1" applyBorder="1" applyAlignment="1">
      <alignment horizontal="center"/>
    </xf>
    <xf numFmtId="17" fontId="234" fillId="0" borderId="0" xfId="337" applyNumberFormat="1" applyFont="1" applyFill="1" applyBorder="1" applyAlignment="1">
      <alignment horizontal="center"/>
    </xf>
    <xf numFmtId="5" fontId="225" fillId="0" borderId="0" xfId="337" applyNumberFormat="1" applyFont="1" applyBorder="1"/>
    <xf numFmtId="5" fontId="225" fillId="0" borderId="0" xfId="337" applyNumberFormat="1" applyFont="1" applyFill="1" applyBorder="1"/>
    <xf numFmtId="37" fontId="236" fillId="0" borderId="0" xfId="337" applyFont="1" applyBorder="1"/>
    <xf numFmtId="37" fontId="236" fillId="0" borderId="0" xfId="337" applyFont="1" applyFill="1" applyBorder="1"/>
    <xf numFmtId="37" fontId="225" fillId="0" borderId="0" xfId="337" applyFont="1" applyFill="1" applyBorder="1"/>
    <xf numFmtId="167" fontId="241" fillId="0" borderId="0" xfId="337" applyNumberFormat="1" applyFont="1" applyBorder="1"/>
    <xf numFmtId="37" fontId="246" fillId="64" borderId="0" xfId="337" applyFont="1" applyFill="1" applyBorder="1" applyAlignment="1">
      <alignment horizontal="left"/>
    </xf>
    <xf numFmtId="0" fontId="247" fillId="64" borderId="0" xfId="337" applyNumberFormat="1" applyFont="1" applyFill="1" applyBorder="1" applyAlignment="1">
      <alignment horizontal="center"/>
    </xf>
    <xf numFmtId="37" fontId="247" fillId="64" borderId="0" xfId="337" applyFont="1" applyFill="1" applyBorder="1" applyAlignment="1">
      <alignment horizontal="center"/>
    </xf>
    <xf numFmtId="37" fontId="248" fillId="64" borderId="0" xfId="337" applyFont="1" applyFill="1" applyBorder="1" applyAlignment="1">
      <alignment horizontal="left"/>
    </xf>
    <xf numFmtId="164" fontId="248" fillId="64" borderId="0" xfId="337" applyNumberFormat="1" applyFont="1" applyFill="1" applyBorder="1" applyAlignment="1">
      <alignment horizontal="center"/>
    </xf>
    <xf numFmtId="17" fontId="248" fillId="64" borderId="0" xfId="337" applyNumberFormat="1" applyFont="1" applyFill="1" applyBorder="1" applyAlignment="1">
      <alignment horizontal="center"/>
    </xf>
    <xf numFmtId="37" fontId="224" fillId="0" borderId="68" xfId="337" applyFont="1" applyBorder="1"/>
    <xf numFmtId="0" fontId="232" fillId="3" borderId="16" xfId="337" applyNumberFormat="1" applyFont="1" applyFill="1" applyBorder="1" applyAlignment="1">
      <alignment horizontal="center"/>
    </xf>
    <xf numFmtId="17" fontId="233" fillId="4" borderId="16" xfId="337" applyNumberFormat="1" applyFont="1" applyFill="1" applyBorder="1" applyAlignment="1">
      <alignment horizontal="center"/>
    </xf>
    <xf numFmtId="37" fontId="224" fillId="0" borderId="16" xfId="337" applyFont="1" applyBorder="1"/>
    <xf numFmtId="5" fontId="235" fillId="0" borderId="16" xfId="337" applyNumberFormat="1" applyFont="1" applyBorder="1"/>
    <xf numFmtId="37" fontId="225" fillId="0" borderId="16" xfId="337" applyFont="1" applyBorder="1"/>
    <xf numFmtId="37" fontId="237" fillId="0" borderId="16" xfId="337" applyFont="1" applyBorder="1"/>
    <xf numFmtId="37" fontId="238" fillId="0" borderId="16" xfId="337" applyFont="1" applyBorder="1"/>
    <xf numFmtId="37" fontId="235" fillId="0" borderId="16" xfId="337" applyFont="1" applyBorder="1"/>
    <xf numFmtId="37" fontId="240" fillId="0" borderId="16" xfId="337" applyFont="1" applyBorder="1"/>
    <xf numFmtId="44" fontId="239" fillId="0" borderId="16" xfId="3257" applyFont="1" applyBorder="1"/>
    <xf numFmtId="7" fontId="240" fillId="0" borderId="16" xfId="384" applyFont="1" applyBorder="1"/>
    <xf numFmtId="178" fontId="225" fillId="3" borderId="33" xfId="357" applyFont="1" applyFill="1" applyBorder="1"/>
    <xf numFmtId="9" fontId="224" fillId="0" borderId="16" xfId="337" applyNumberFormat="1" applyFont="1" applyBorder="1"/>
    <xf numFmtId="9" fontId="224" fillId="0" borderId="25" xfId="337" applyNumberFormat="1" applyFont="1" applyBorder="1"/>
    <xf numFmtId="37" fontId="224" fillId="0" borderId="69" xfId="337" applyFont="1" applyBorder="1"/>
    <xf numFmtId="37" fontId="225" fillId="7" borderId="0" xfId="337" applyFont="1" applyFill="1" applyBorder="1"/>
    <xf numFmtId="7" fontId="225" fillId="7" borderId="0" xfId="348" applyFont="1" applyFill="1" applyBorder="1">
      <alignment horizontal="right"/>
    </xf>
    <xf numFmtId="7" fontId="225" fillId="7" borderId="3" xfId="348" applyFont="1" applyFill="1" applyBorder="1">
      <alignment horizontal="right"/>
    </xf>
    <xf numFmtId="7" fontId="225" fillId="7" borderId="33" xfId="348" applyFont="1" applyFill="1" applyBorder="1">
      <alignment horizontal="right"/>
    </xf>
    <xf numFmtId="7" fontId="225" fillId="7" borderId="2" xfId="348" applyFont="1" applyFill="1" applyBorder="1">
      <alignment horizontal="right"/>
    </xf>
    <xf numFmtId="7" fontId="225" fillId="7" borderId="58" xfId="348" applyFont="1" applyFill="1" applyBorder="1">
      <alignment horizontal="right"/>
    </xf>
    <xf numFmtId="178" fontId="225" fillId="7" borderId="0" xfId="357" applyFont="1" applyFill="1" applyBorder="1"/>
    <xf numFmtId="178" fontId="225" fillId="7" borderId="3" xfId="357" applyFont="1" applyFill="1" applyBorder="1"/>
    <xf numFmtId="168" fontId="224" fillId="7" borderId="0" xfId="337" applyNumberFormat="1" applyFont="1" applyFill="1" applyBorder="1"/>
    <xf numFmtId="9" fontId="224" fillId="7" borderId="0" xfId="337" applyNumberFormat="1" applyFont="1" applyFill="1" applyBorder="1"/>
    <xf numFmtId="9" fontId="224" fillId="7" borderId="0" xfId="337" applyNumberFormat="1" applyFont="1" applyFill="1"/>
    <xf numFmtId="9" fontId="224" fillId="7" borderId="1" xfId="337" applyNumberFormat="1" applyFont="1" applyFill="1" applyBorder="1"/>
    <xf numFmtId="37" fontId="224" fillId="7" borderId="10" xfId="337" applyFont="1" applyFill="1" applyBorder="1"/>
    <xf numFmtId="9" fontId="224" fillId="7" borderId="18" xfId="337" applyNumberFormat="1" applyFont="1" applyFill="1" applyBorder="1"/>
    <xf numFmtId="9" fontId="224" fillId="7" borderId="10" xfId="337" applyNumberFormat="1" applyFont="1" applyFill="1" applyBorder="1"/>
    <xf numFmtId="37" fontId="243" fillId="7" borderId="0" xfId="337" applyFont="1" applyFill="1"/>
    <xf numFmtId="37" fontId="224" fillId="7" borderId="7" xfId="337" applyFont="1" applyFill="1" applyBorder="1"/>
    <xf numFmtId="318" fontId="228" fillId="7" borderId="0" xfId="337" applyNumberFormat="1" applyFont="1" applyFill="1" applyBorder="1"/>
    <xf numFmtId="318" fontId="228" fillId="7" borderId="0" xfId="337" applyNumberFormat="1" applyFont="1" applyFill="1"/>
    <xf numFmtId="318" fontId="228" fillId="0" borderId="16" xfId="337" applyNumberFormat="1" applyFont="1" applyBorder="1"/>
    <xf numFmtId="318" fontId="228" fillId="0" borderId="1" xfId="337" applyNumberFormat="1" applyFont="1" applyBorder="1"/>
    <xf numFmtId="318" fontId="249" fillId="7" borderId="0" xfId="337" applyNumberFormat="1" applyFont="1" applyFill="1"/>
    <xf numFmtId="318" fontId="249" fillId="0" borderId="16" xfId="337" applyNumberFormat="1" applyFont="1" applyBorder="1"/>
    <xf numFmtId="318" fontId="249" fillId="0" borderId="1" xfId="337" applyNumberFormat="1" applyFont="1" applyBorder="1"/>
    <xf numFmtId="168" fontId="228" fillId="0" borderId="0" xfId="3421" applyNumberFormat="1" applyFont="1" applyBorder="1"/>
    <xf numFmtId="168" fontId="228" fillId="0" borderId="16" xfId="3421" applyNumberFormat="1" applyFont="1" applyBorder="1"/>
    <xf numFmtId="168" fontId="228" fillId="0" borderId="1" xfId="3421" applyNumberFormat="1" applyFont="1" applyBorder="1"/>
    <xf numFmtId="37" fontId="225" fillId="0" borderId="57" xfId="337" applyFont="1" applyBorder="1"/>
    <xf numFmtId="167" fontId="224" fillId="0" borderId="61" xfId="337" applyNumberFormat="1" applyFont="1" applyBorder="1"/>
    <xf numFmtId="37" fontId="224" fillId="0" borderId="60" xfId="383" applyFont="1" applyBorder="1"/>
    <xf numFmtId="7" fontId="224" fillId="0" borderId="61" xfId="337" applyNumberFormat="1" applyFont="1" applyBorder="1"/>
    <xf numFmtId="9" fontId="224" fillId="0" borderId="62" xfId="387" applyFont="1" applyBorder="1"/>
    <xf numFmtId="167" fontId="224" fillId="0" borderId="63" xfId="337" applyNumberFormat="1" applyFont="1" applyBorder="1"/>
    <xf numFmtId="167" fontId="240" fillId="0" borderId="63" xfId="337" applyNumberFormat="1" applyFont="1" applyBorder="1"/>
    <xf numFmtId="9" fontId="224" fillId="0" borderId="63" xfId="3421" applyFont="1" applyBorder="1"/>
    <xf numFmtId="168" fontId="228" fillId="0" borderId="63" xfId="3421" applyNumberFormat="1" applyFont="1" applyBorder="1"/>
    <xf numFmtId="168" fontId="228" fillId="0" borderId="64" xfId="3421" applyNumberFormat="1" applyFont="1" applyBorder="1"/>
    <xf numFmtId="169" fontId="225" fillId="7" borderId="57" xfId="337" applyNumberFormat="1" applyFont="1" applyFill="1" applyBorder="1"/>
    <xf numFmtId="37" fontId="224" fillId="7" borderId="58" xfId="337" applyFont="1" applyFill="1" applyBorder="1"/>
    <xf numFmtId="37" fontId="224" fillId="7" borderId="59" xfId="337" applyFont="1" applyFill="1" applyBorder="1"/>
    <xf numFmtId="169" fontId="224" fillId="7" borderId="60" xfId="337" applyNumberFormat="1" applyFont="1" applyFill="1" applyBorder="1"/>
    <xf numFmtId="37" fontId="224" fillId="7" borderId="61" xfId="337" applyFont="1" applyFill="1" applyBorder="1"/>
    <xf numFmtId="170" fontId="224" fillId="7" borderId="60" xfId="337" applyNumberFormat="1" applyFont="1" applyFill="1" applyBorder="1"/>
    <xf numFmtId="170" fontId="225" fillId="7" borderId="62" xfId="337" applyNumberFormat="1" applyFont="1" applyFill="1" applyBorder="1"/>
    <xf numFmtId="178" fontId="225" fillId="7" borderId="63" xfId="357" applyFont="1" applyFill="1" applyBorder="1"/>
    <xf numFmtId="178" fontId="225" fillId="7" borderId="66" xfId="357" applyFont="1" applyFill="1" applyBorder="1"/>
    <xf numFmtId="178" fontId="225" fillId="7" borderId="67" xfId="357" applyFont="1" applyFill="1" applyBorder="1"/>
    <xf numFmtId="37" fontId="225" fillId="7" borderId="57" xfId="337" applyFont="1" applyFill="1" applyBorder="1"/>
    <xf numFmtId="37" fontId="224" fillId="7" borderId="60" xfId="337" applyFont="1" applyFill="1" applyBorder="1"/>
    <xf numFmtId="318" fontId="228" fillId="7" borderId="61" xfId="337" applyNumberFormat="1" applyFont="1" applyFill="1" applyBorder="1"/>
    <xf numFmtId="37" fontId="224" fillId="7" borderId="62" xfId="337" applyFont="1" applyFill="1" applyBorder="1"/>
    <xf numFmtId="168" fontId="224" fillId="7" borderId="63" xfId="337" applyNumberFormat="1" applyFont="1" applyFill="1" applyBorder="1"/>
    <xf numFmtId="318" fontId="228" fillId="7" borderId="63" xfId="337" applyNumberFormat="1" applyFont="1" applyFill="1" applyBorder="1"/>
    <xf numFmtId="318" fontId="228" fillId="7" borderId="64" xfId="337" applyNumberFormat="1" applyFont="1" applyFill="1" applyBorder="1"/>
    <xf numFmtId="318" fontId="228" fillId="7" borderId="58" xfId="337" applyNumberFormat="1" applyFont="1" applyFill="1" applyBorder="1"/>
    <xf numFmtId="318" fontId="228" fillId="7" borderId="59" xfId="337" applyNumberFormat="1" applyFont="1" applyFill="1" applyBorder="1"/>
    <xf numFmtId="9" fontId="224" fillId="7" borderId="70" xfId="337" applyNumberFormat="1" applyFont="1" applyFill="1" applyBorder="1"/>
    <xf numFmtId="9" fontId="224" fillId="7" borderId="63" xfId="337" applyNumberFormat="1" applyFont="1" applyFill="1" applyBorder="1"/>
    <xf numFmtId="9" fontId="224" fillId="7" borderId="64" xfId="337" applyNumberFormat="1" applyFont="1" applyFill="1" applyBorder="1"/>
    <xf numFmtId="37" fontId="229" fillId="63" borderId="0" xfId="337" applyFont="1" applyFill="1" applyBorder="1"/>
    <xf numFmtId="37" fontId="250" fillId="5" borderId="5" xfId="337" applyFont="1" applyFill="1" applyBorder="1" applyAlignment="1">
      <alignment horizontal="left"/>
    </xf>
    <xf numFmtId="37" fontId="232" fillId="3" borderId="0" xfId="337" applyFont="1" applyFill="1" applyBorder="1" applyAlignment="1">
      <alignment horizontal="center"/>
    </xf>
    <xf numFmtId="37" fontId="251" fillId="5" borderId="6" xfId="337" applyFont="1" applyFill="1" applyBorder="1" applyAlignment="1">
      <alignment horizontal="left"/>
    </xf>
    <xf numFmtId="164" fontId="233" fillId="4" borderId="1" xfId="337" applyNumberFormat="1" applyFont="1" applyFill="1" applyBorder="1" applyAlignment="1">
      <alignment horizontal="center"/>
    </xf>
    <xf numFmtId="164" fontId="233" fillId="4" borderId="0" xfId="337" applyNumberFormat="1" applyFont="1" applyFill="1" applyBorder="1" applyAlignment="1">
      <alignment horizontal="center"/>
    </xf>
    <xf numFmtId="37" fontId="225" fillId="3" borderId="0" xfId="337" applyFont="1" applyFill="1"/>
    <xf numFmtId="2" fontId="242" fillId="0" borderId="0" xfId="337" applyNumberFormat="1" applyFont="1" applyBorder="1" applyAlignment="1">
      <alignment horizontal="left"/>
    </xf>
    <xf numFmtId="5" fontId="224" fillId="0" borderId="1" xfId="337" applyNumberFormat="1" applyFont="1" applyBorder="1"/>
    <xf numFmtId="5" fontId="224" fillId="0" borderId="0" xfId="337" applyNumberFormat="1" applyFont="1"/>
    <xf numFmtId="5" fontId="237" fillId="0" borderId="0" xfId="337" applyNumberFormat="1" applyFont="1"/>
    <xf numFmtId="5" fontId="237" fillId="0" borderId="1" xfId="337" applyNumberFormat="1" applyFont="1" applyBorder="1"/>
    <xf numFmtId="37" fontId="236" fillId="0" borderId="1" xfId="337" applyFont="1" applyBorder="1"/>
    <xf numFmtId="2" fontId="252" fillId="0" borderId="0" xfId="337" applyNumberFormat="1" applyFont="1" applyBorder="1" applyAlignment="1">
      <alignment horizontal="left"/>
    </xf>
    <xf numFmtId="2" fontId="252" fillId="4" borderId="3" xfId="337" applyNumberFormat="1" applyFont="1" applyFill="1" applyBorder="1" applyAlignment="1">
      <alignment horizontal="left"/>
    </xf>
    <xf numFmtId="37" fontId="225" fillId="4" borderId="2" xfId="337" applyFont="1" applyFill="1" applyBorder="1"/>
    <xf numFmtId="37" fontId="225" fillId="4" borderId="3" xfId="337" applyFont="1" applyFill="1" applyBorder="1"/>
    <xf numFmtId="170" fontId="225" fillId="4" borderId="3" xfId="337" applyNumberFormat="1" applyFont="1" applyFill="1" applyBorder="1"/>
    <xf numFmtId="37" fontId="253" fillId="0" borderId="0" xfId="337" applyFont="1"/>
    <xf numFmtId="37" fontId="253" fillId="0" borderId="1" xfId="337" applyFont="1" applyBorder="1"/>
    <xf numFmtId="37" fontId="224" fillId="0" borderId="3" xfId="337" applyFont="1" applyBorder="1"/>
    <xf numFmtId="37" fontId="224" fillId="0" borderId="2" xfId="337" applyFont="1" applyBorder="1"/>
    <xf numFmtId="173" fontId="224" fillId="0" borderId="0" xfId="337" applyNumberFormat="1" applyFont="1"/>
    <xf numFmtId="173" fontId="224" fillId="0" borderId="1" xfId="337" applyNumberFormat="1" applyFont="1" applyBorder="1"/>
    <xf numFmtId="7" fontId="224" fillId="0" borderId="1" xfId="337" applyNumberFormat="1" applyFont="1" applyFill="1" applyBorder="1"/>
    <xf numFmtId="7" fontId="224" fillId="0" borderId="0" xfId="337" applyNumberFormat="1" applyFont="1" applyFill="1"/>
    <xf numFmtId="173" fontId="224" fillId="0" borderId="17" xfId="337" applyNumberFormat="1" applyFont="1" applyBorder="1"/>
    <xf numFmtId="173" fontId="224" fillId="0" borderId="16" xfId="337" applyNumberFormat="1" applyFont="1" applyBorder="1"/>
    <xf numFmtId="174" fontId="224" fillId="0" borderId="1" xfId="337" applyNumberFormat="1" applyFont="1" applyBorder="1"/>
    <xf numFmtId="37" fontId="242" fillId="0" borderId="0" xfId="337" applyFont="1" applyBorder="1"/>
    <xf numFmtId="179" fontId="224" fillId="0" borderId="1" xfId="337" applyNumberFormat="1" applyFont="1" applyBorder="1"/>
    <xf numFmtId="179" fontId="224" fillId="0" borderId="0" xfId="337" applyNumberFormat="1" applyFont="1" applyBorder="1"/>
    <xf numFmtId="179" fontId="242" fillId="0" borderId="0" xfId="337" applyNumberFormat="1" applyFont="1" applyBorder="1"/>
    <xf numFmtId="179" fontId="224" fillId="0" borderId="0" xfId="337" applyNumberFormat="1" applyFont="1" applyFill="1" applyBorder="1"/>
    <xf numFmtId="179" fontId="240" fillId="0" borderId="0" xfId="337" applyNumberFormat="1" applyFont="1" applyBorder="1"/>
    <xf numFmtId="179" fontId="240" fillId="0" borderId="1" xfId="337" applyNumberFormat="1" applyFont="1" applyBorder="1"/>
    <xf numFmtId="174" fontId="224" fillId="0" borderId="0" xfId="337" applyNumberFormat="1" applyFont="1" applyBorder="1"/>
    <xf numFmtId="174" fontId="242" fillId="0" borderId="0" xfId="337" applyNumberFormat="1" applyFont="1" applyBorder="1"/>
    <xf numFmtId="175" fontId="224" fillId="0" borderId="1" xfId="337" applyNumberFormat="1" applyFont="1" applyBorder="1"/>
    <xf numFmtId="175" fontId="224" fillId="0" borderId="0" xfId="337" applyNumberFormat="1" applyFont="1" applyBorder="1"/>
    <xf numFmtId="176" fontId="224" fillId="0" borderId="1" xfId="337" applyNumberFormat="1" applyFont="1" applyBorder="1"/>
    <xf numFmtId="176" fontId="224" fillId="0" borderId="0" xfId="337" applyNumberFormat="1" applyFont="1"/>
    <xf numFmtId="168" fontId="224" fillId="0" borderId="1" xfId="3421" applyNumberFormat="1" applyFont="1" applyBorder="1"/>
    <xf numFmtId="168" fontId="224" fillId="0" borderId="1" xfId="337" applyNumberFormat="1" applyFont="1" applyBorder="1"/>
    <xf numFmtId="168" fontId="224" fillId="0" borderId="0" xfId="337" applyNumberFormat="1" applyFont="1"/>
    <xf numFmtId="37" fontId="224" fillId="0" borderId="18" xfId="337" applyFont="1" applyBorder="1"/>
    <xf numFmtId="168" fontId="224" fillId="0" borderId="18" xfId="337" applyNumberFormat="1" applyFont="1" applyBorder="1"/>
    <xf numFmtId="168" fontId="224" fillId="0" borderId="10" xfId="337" applyNumberFormat="1" applyFont="1" applyBorder="1"/>
    <xf numFmtId="321" fontId="228" fillId="0" borderId="0" xfId="337" applyNumberFormat="1" applyFont="1" applyBorder="1"/>
    <xf numFmtId="324" fontId="228" fillId="0" borderId="0" xfId="337" applyNumberFormat="1" applyFont="1" applyBorder="1"/>
    <xf numFmtId="325" fontId="228" fillId="0" borderId="0" xfId="337" applyNumberFormat="1" applyFont="1" applyBorder="1"/>
    <xf numFmtId="223" fontId="224" fillId="0" borderId="0" xfId="337" applyNumberFormat="1" applyFont="1" applyBorder="1"/>
    <xf numFmtId="37" fontId="225" fillId="0" borderId="58" xfId="337" applyFont="1" applyFill="1" applyBorder="1"/>
    <xf numFmtId="37" fontId="224" fillId="0" borderId="58" xfId="337" applyFont="1" applyFill="1" applyBorder="1"/>
    <xf numFmtId="319" fontId="225" fillId="0" borderId="58" xfId="337" applyNumberFormat="1" applyFont="1" applyFill="1" applyBorder="1"/>
    <xf numFmtId="323" fontId="255" fillId="64" borderId="0" xfId="337" applyNumberFormat="1" applyFont="1" applyFill="1" applyBorder="1" applyAlignment="1">
      <alignment horizontal="center"/>
    </xf>
    <xf numFmtId="37" fontId="255" fillId="64" borderId="0" xfId="337" applyFont="1" applyFill="1" applyBorder="1" applyAlignment="1">
      <alignment horizontal="center"/>
    </xf>
    <xf numFmtId="37" fontId="256" fillId="64" borderId="0" xfId="337" applyFont="1" applyFill="1" applyBorder="1" applyAlignment="1">
      <alignment horizontal="left"/>
    </xf>
    <xf numFmtId="14" fontId="257" fillId="64" borderId="0" xfId="337" applyNumberFormat="1" applyFont="1" applyFill="1" applyBorder="1" applyAlignment="1">
      <alignment horizontal="centerContinuous"/>
    </xf>
    <xf numFmtId="37" fontId="257" fillId="64" borderId="0" xfId="337" applyFont="1" applyFill="1" applyBorder="1" applyAlignment="1">
      <alignment horizontal="centerContinuous"/>
    </xf>
    <xf numFmtId="37" fontId="254" fillId="0" borderId="0" xfId="337" applyFont="1" applyBorder="1"/>
    <xf numFmtId="319" fontId="254" fillId="0" borderId="0" xfId="337" applyNumberFormat="1" applyFont="1" applyBorder="1"/>
    <xf numFmtId="37" fontId="224" fillId="0" borderId="72" xfId="337" applyFont="1" applyBorder="1"/>
    <xf numFmtId="37" fontId="224" fillId="0" borderId="73" xfId="337" applyFont="1" applyBorder="1"/>
    <xf numFmtId="326" fontId="254" fillId="0" borderId="71" xfId="337" applyNumberFormat="1" applyFont="1" applyBorder="1"/>
    <xf numFmtId="325" fontId="225" fillId="0" borderId="58" xfId="337" applyNumberFormat="1" applyFont="1" applyFill="1" applyBorder="1"/>
    <xf numFmtId="214" fontId="254" fillId="0" borderId="0" xfId="337" applyNumberFormat="1" applyFont="1" applyBorder="1"/>
    <xf numFmtId="325" fontId="224" fillId="0" borderId="0" xfId="337" applyNumberFormat="1" applyFont="1" applyBorder="1"/>
    <xf numFmtId="37" fontId="230" fillId="0" borderId="57" xfId="337" applyFont="1" applyBorder="1"/>
    <xf numFmtId="328" fontId="225" fillId="0" borderId="58" xfId="337" applyNumberFormat="1" applyFont="1" applyBorder="1"/>
    <xf numFmtId="327" fontId="225" fillId="0" borderId="58" xfId="337" applyNumberFormat="1" applyFont="1" applyBorder="1"/>
    <xf numFmtId="327" fontId="225" fillId="0" borderId="59" xfId="337" applyNumberFormat="1" applyFont="1" applyBorder="1"/>
    <xf numFmtId="319" fontId="224" fillId="0" borderId="61" xfId="337" applyNumberFormat="1" applyFont="1" applyBorder="1"/>
    <xf numFmtId="318" fontId="228" fillId="0" borderId="61" xfId="337" applyNumberFormat="1" applyFont="1" applyBorder="1"/>
    <xf numFmtId="325" fontId="224" fillId="0" borderId="61" xfId="337" applyNumberFormat="1" applyFont="1" applyBorder="1"/>
    <xf numFmtId="325" fontId="228" fillId="0" borderId="61" xfId="337" applyNumberFormat="1" applyFont="1" applyBorder="1"/>
    <xf numFmtId="325" fontId="224" fillId="0" borderId="63" xfId="337" applyNumberFormat="1" applyFont="1" applyBorder="1"/>
    <xf numFmtId="325" fontId="228" fillId="0" borderId="63" xfId="337" applyNumberFormat="1" applyFont="1" applyBorder="1"/>
    <xf numFmtId="325" fontId="228" fillId="0" borderId="64" xfId="337" applyNumberFormat="1" applyFont="1" applyBorder="1"/>
    <xf numFmtId="37" fontId="244" fillId="0" borderId="0" xfId="337" applyFont="1"/>
    <xf numFmtId="37" fontId="244" fillId="7" borderId="0" xfId="337" applyFont="1" applyFill="1"/>
    <xf numFmtId="37" fontId="244" fillId="0" borderId="4" xfId="337" applyFont="1" applyBorder="1"/>
    <xf numFmtId="37" fontId="258" fillId="5" borderId="5" xfId="337" applyFont="1" applyFill="1" applyBorder="1" applyAlignment="1">
      <alignment horizontal="left"/>
    </xf>
    <xf numFmtId="0" fontId="259" fillId="3" borderId="1" xfId="337" applyNumberFormat="1" applyFont="1" applyFill="1" applyBorder="1" applyAlignment="1">
      <alignment horizontal="center"/>
    </xf>
    <xf numFmtId="37" fontId="259" fillId="3" borderId="0" xfId="337" applyFont="1" applyFill="1" applyAlignment="1">
      <alignment horizontal="center"/>
    </xf>
    <xf numFmtId="37" fontId="260" fillId="5" borderId="6" xfId="337" applyFont="1" applyFill="1" applyBorder="1" applyAlignment="1">
      <alignment horizontal="left"/>
    </xf>
    <xf numFmtId="164" fontId="245" fillId="4" borderId="1" xfId="337" applyNumberFormat="1" applyFont="1" applyFill="1" applyBorder="1" applyAlignment="1">
      <alignment horizontal="center"/>
    </xf>
    <xf numFmtId="164" fontId="245" fillId="4" borderId="0" xfId="337" applyNumberFormat="1" applyFont="1" applyFill="1" applyAlignment="1">
      <alignment horizontal="center"/>
    </xf>
    <xf numFmtId="17" fontId="245" fillId="4" borderId="0" xfId="337" applyNumberFormat="1" applyFont="1" applyFill="1" applyAlignment="1">
      <alignment horizontal="center"/>
    </xf>
    <xf numFmtId="17" fontId="245" fillId="4" borderId="1" xfId="337" applyNumberFormat="1" applyFont="1" applyFill="1" applyBorder="1" applyAlignment="1">
      <alignment horizontal="center"/>
    </xf>
    <xf numFmtId="37" fontId="244" fillId="0" borderId="1" xfId="337" applyFont="1" applyBorder="1"/>
    <xf numFmtId="37" fontId="259" fillId="3" borderId="0" xfId="337" applyFont="1" applyFill="1"/>
    <xf numFmtId="37" fontId="259" fillId="2" borderId="0" xfId="337" applyFont="1" applyFill="1"/>
    <xf numFmtId="37" fontId="244" fillId="2" borderId="1" xfId="337" applyFont="1" applyFill="1" applyBorder="1"/>
    <xf numFmtId="37" fontId="244" fillId="2" borderId="0" xfId="337" applyFont="1" applyFill="1"/>
    <xf numFmtId="37" fontId="244" fillId="7" borderId="1" xfId="337" applyFont="1" applyFill="1" applyBorder="1"/>
    <xf numFmtId="37" fontId="261" fillId="0" borderId="0" xfId="337" applyFont="1" applyAlignment="1">
      <alignment horizontal="left" indent="1"/>
    </xf>
    <xf numFmtId="37" fontId="244" fillId="0" borderId="0" xfId="337" applyFont="1" applyAlignment="1">
      <alignment horizontal="left" indent="1"/>
    </xf>
    <xf numFmtId="37" fontId="262" fillId="0" borderId="1" xfId="337" applyFont="1" applyBorder="1"/>
    <xf numFmtId="37" fontId="263" fillId="0" borderId="0" xfId="337" applyFont="1"/>
    <xf numFmtId="37" fontId="244" fillId="0" borderId="0" xfId="337" applyFont="1" applyFill="1"/>
    <xf numFmtId="37" fontId="263" fillId="0" borderId="1" xfId="337" applyFont="1" applyBorder="1"/>
    <xf numFmtId="174" fontId="264" fillId="0" borderId="0" xfId="346" applyNumberFormat="1" applyFont="1"/>
    <xf numFmtId="174" fontId="264" fillId="0" borderId="1" xfId="346" applyNumberFormat="1" applyFont="1" applyBorder="1"/>
    <xf numFmtId="37" fontId="263" fillId="2" borderId="0" xfId="337" applyFont="1" applyFill="1"/>
    <xf numFmtId="37" fontId="263" fillId="2" borderId="1" xfId="337" applyFont="1" applyFill="1" applyBorder="1"/>
    <xf numFmtId="37" fontId="261" fillId="0" borderId="0" xfId="337" applyFont="1"/>
    <xf numFmtId="37" fontId="261" fillId="0" borderId="16" xfId="337" applyFont="1" applyBorder="1" applyAlignment="1">
      <alignment horizontal="left"/>
    </xf>
    <xf numFmtId="37" fontId="263" fillId="7" borderId="0" xfId="337" applyFont="1" applyFill="1"/>
    <xf numFmtId="37" fontId="259" fillId="0" borderId="3" xfId="337" applyFont="1" applyBorder="1"/>
    <xf numFmtId="37" fontId="259" fillId="0" borderId="2" xfId="337" applyFont="1" applyBorder="1"/>
    <xf numFmtId="168" fontId="244" fillId="0" borderId="0" xfId="3421" applyNumberFormat="1" applyFont="1" applyFill="1" applyBorder="1"/>
    <xf numFmtId="39" fontId="244" fillId="0" borderId="0" xfId="337" applyNumberFormat="1" applyFont="1"/>
    <xf numFmtId="37" fontId="244" fillId="0" borderId="3" xfId="337" applyFont="1" applyBorder="1"/>
    <xf numFmtId="37" fontId="244" fillId="0" borderId="2" xfId="337" applyFont="1" applyBorder="1"/>
    <xf numFmtId="9" fontId="244" fillId="0" borderId="0" xfId="3" applyFont="1" applyBorder="1"/>
    <xf numFmtId="10" fontId="244" fillId="0" borderId="0" xfId="3" applyNumberFormat="1" applyFont="1" applyBorder="1"/>
    <xf numFmtId="167" fontId="244" fillId="0" borderId="0" xfId="337" applyNumberFormat="1" applyFont="1"/>
    <xf numFmtId="167" fontId="244" fillId="0" borderId="1" xfId="337" applyNumberFormat="1" applyFont="1" applyBorder="1"/>
    <xf numFmtId="173" fontId="244" fillId="0" borderId="1" xfId="337" applyNumberFormat="1" applyFont="1" applyBorder="1"/>
    <xf numFmtId="9" fontId="244" fillId="0" borderId="1" xfId="3421" applyFont="1" applyBorder="1"/>
    <xf numFmtId="9" fontId="244" fillId="0" borderId="1" xfId="337" applyNumberFormat="1" applyFont="1" applyBorder="1"/>
    <xf numFmtId="9" fontId="244" fillId="0" borderId="0" xfId="337" applyNumberFormat="1" applyFont="1"/>
    <xf numFmtId="9" fontId="265" fillId="0" borderId="1" xfId="337" applyNumberFormat="1" applyFont="1" applyBorder="1"/>
    <xf numFmtId="9" fontId="259" fillId="0" borderId="2" xfId="337" applyNumberFormat="1" applyFont="1" applyBorder="1"/>
    <xf numFmtId="9" fontId="259" fillId="0" borderId="3" xfId="337" applyNumberFormat="1" applyFont="1" applyBorder="1"/>
    <xf numFmtId="9" fontId="259" fillId="0" borderId="2" xfId="337" applyNumberFormat="1" applyFont="1" applyFill="1" applyBorder="1"/>
    <xf numFmtId="37" fontId="259" fillId="0" borderId="0" xfId="337" applyFont="1"/>
    <xf numFmtId="9" fontId="265" fillId="0" borderId="0" xfId="337" applyNumberFormat="1" applyFont="1"/>
    <xf numFmtId="9" fontId="266" fillId="0" borderId="3" xfId="337" applyNumberFormat="1" applyFont="1" applyBorder="1"/>
    <xf numFmtId="9" fontId="266" fillId="0" borderId="2" xfId="337" applyNumberFormat="1" applyFont="1" applyBorder="1"/>
    <xf numFmtId="1" fontId="244" fillId="0" borderId="0" xfId="337" applyNumberFormat="1" applyFont="1"/>
    <xf numFmtId="168" fontId="244" fillId="0" borderId="1" xfId="337" applyNumberFormat="1" applyFont="1" applyBorder="1"/>
    <xf numFmtId="168" fontId="244" fillId="0" borderId="0" xfId="337" applyNumberFormat="1" applyFont="1"/>
    <xf numFmtId="37" fontId="263" fillId="0" borderId="3" xfId="337" applyFont="1" applyBorder="1"/>
    <xf numFmtId="37" fontId="263" fillId="0" borderId="2" xfId="337" applyFont="1" applyBorder="1"/>
    <xf numFmtId="168" fontId="244" fillId="0" borderId="2" xfId="337" applyNumberFormat="1" applyFont="1" applyBorder="1"/>
    <xf numFmtId="9" fontId="244" fillId="0" borderId="2" xfId="337" applyNumberFormat="1" applyFont="1" applyBorder="1"/>
    <xf numFmtId="9" fontId="244" fillId="0" borderId="3" xfId="337" applyNumberFormat="1" applyFont="1" applyBorder="1"/>
    <xf numFmtId="39" fontId="244" fillId="0" borderId="0" xfId="337" applyNumberFormat="1" applyFont="1" applyFill="1" applyBorder="1"/>
    <xf numFmtId="37" fontId="244" fillId="0" borderId="14" xfId="337" applyFont="1" applyBorder="1"/>
    <xf numFmtId="37" fontId="244" fillId="0" borderId="15" xfId="337" applyFont="1" applyBorder="1"/>
    <xf numFmtId="37" fontId="244" fillId="0" borderId="14" xfId="337" applyFont="1" applyFill="1" applyBorder="1"/>
    <xf numFmtId="37" fontId="263" fillId="0" borderId="15" xfId="337" applyFont="1" applyBorder="1"/>
    <xf numFmtId="37" fontId="244" fillId="0" borderId="0" xfId="337" applyFont="1" applyBorder="1"/>
    <xf numFmtId="37" fontId="267" fillId="0" borderId="0" xfId="337" applyFont="1"/>
    <xf numFmtId="37" fontId="259" fillId="4" borderId="3" xfId="337" applyFont="1" applyFill="1" applyBorder="1"/>
    <xf numFmtId="37" fontId="259" fillId="4" borderId="2" xfId="337" applyFont="1" applyFill="1" applyBorder="1"/>
    <xf numFmtId="168" fontId="244" fillId="0" borderId="0" xfId="3421" applyNumberFormat="1" applyFont="1" applyBorder="1"/>
    <xf numFmtId="37" fontId="244" fillId="0" borderId="19" xfId="337" applyFont="1" applyBorder="1"/>
    <xf numFmtId="9" fontId="244" fillId="0" borderId="20" xfId="337" applyNumberFormat="1" applyFont="1" applyBorder="1"/>
    <xf numFmtId="9" fontId="244" fillId="0" borderId="19" xfId="337" applyNumberFormat="1" applyFont="1" applyBorder="1"/>
    <xf numFmtId="9" fontId="244" fillId="0" borderId="15" xfId="337" applyNumberFormat="1" applyFont="1" applyBorder="1"/>
    <xf numFmtId="9" fontId="244" fillId="0" borderId="14" xfId="337" applyNumberFormat="1" applyFont="1" applyBorder="1"/>
    <xf numFmtId="9" fontId="244" fillId="0" borderId="0" xfId="337" applyNumberFormat="1" applyFont="1" applyFill="1"/>
    <xf numFmtId="9" fontId="244" fillId="0" borderId="1" xfId="337" applyNumberFormat="1" applyFont="1" applyFill="1" applyBorder="1"/>
    <xf numFmtId="168" fontId="244" fillId="0" borderId="0" xfId="337" applyNumberFormat="1" applyFont="1" applyFill="1"/>
    <xf numFmtId="168" fontId="244" fillId="0" borderId="1" xfId="337" applyNumberFormat="1" applyFont="1" applyFill="1" applyBorder="1"/>
    <xf numFmtId="168" fontId="265" fillId="0" borderId="1" xfId="337" applyNumberFormat="1" applyFont="1" applyFill="1" applyBorder="1"/>
    <xf numFmtId="168" fontId="267" fillId="0" borderId="0" xfId="337" applyNumberFormat="1" applyFont="1" applyFill="1"/>
    <xf numFmtId="168" fontId="262" fillId="0" borderId="1" xfId="337" applyNumberFormat="1" applyFont="1" applyBorder="1"/>
    <xf numFmtId="168" fontId="244" fillId="0" borderId="20" xfId="337" applyNumberFormat="1" applyFont="1" applyBorder="1"/>
    <xf numFmtId="168" fontId="244" fillId="0" borderId="19" xfId="337" applyNumberFormat="1" applyFont="1" applyBorder="1"/>
    <xf numFmtId="168" fontId="244" fillId="0" borderId="19" xfId="337" applyNumberFormat="1" applyFont="1" applyFill="1" applyBorder="1"/>
    <xf numFmtId="168" fontId="244" fillId="0" borderId="20" xfId="337" applyNumberFormat="1" applyFont="1" applyFill="1" applyBorder="1"/>
    <xf numFmtId="168" fontId="244" fillId="0" borderId="3" xfId="337" applyNumberFormat="1" applyFont="1" applyBorder="1"/>
    <xf numFmtId="168" fontId="244" fillId="0" borderId="3" xfId="337" applyNumberFormat="1" applyFont="1" applyFill="1" applyBorder="1"/>
    <xf numFmtId="168" fontId="244" fillId="0" borderId="2" xfId="337" applyNumberFormat="1" applyFont="1" applyFill="1" applyBorder="1"/>
    <xf numFmtId="168" fontId="259" fillId="0" borderId="2" xfId="337" applyNumberFormat="1" applyFont="1" applyBorder="1"/>
    <xf numFmtId="168" fontId="259" fillId="0" borderId="3" xfId="337" applyNumberFormat="1" applyFont="1" applyBorder="1"/>
    <xf numFmtId="168" fontId="259" fillId="0" borderId="3" xfId="337" applyNumberFormat="1" applyFont="1" applyFill="1" applyBorder="1"/>
    <xf numFmtId="168" fontId="259" fillId="0" borderId="2" xfId="337" applyNumberFormat="1" applyFont="1" applyFill="1" applyBorder="1"/>
    <xf numFmtId="37" fontId="259" fillId="0" borderId="0" xfId="337" applyFont="1" applyBorder="1"/>
    <xf numFmtId="9" fontId="259" fillId="0" borderId="1" xfId="337" applyNumberFormat="1" applyFont="1" applyBorder="1"/>
    <xf numFmtId="9" fontId="259" fillId="0" borderId="0" xfId="337" applyNumberFormat="1" applyFont="1" applyBorder="1"/>
    <xf numFmtId="9" fontId="244" fillId="0" borderId="0" xfId="337" applyNumberFormat="1" applyFont="1" applyBorder="1"/>
    <xf numFmtId="37" fontId="259" fillId="3" borderId="0" xfId="319" applyFont="1" applyFill="1"/>
    <xf numFmtId="37" fontId="244" fillId="0" borderId="1" xfId="319" applyFont="1" applyBorder="1"/>
    <xf numFmtId="37" fontId="244" fillId="0" borderId="0" xfId="319" applyFont="1"/>
    <xf numFmtId="167" fontId="244" fillId="0" borderId="0" xfId="319" applyNumberFormat="1" applyFont="1"/>
    <xf numFmtId="167" fontId="244" fillId="0" borderId="1" xfId="319" applyNumberFormat="1" applyFont="1" applyBorder="1"/>
    <xf numFmtId="37" fontId="244" fillId="0" borderId="0" xfId="319" applyFont="1" applyFill="1"/>
    <xf numFmtId="37" fontId="263" fillId="0" borderId="0" xfId="319" applyFont="1"/>
    <xf numFmtId="37" fontId="263" fillId="0" borderId="1" xfId="319" applyFont="1" applyBorder="1"/>
    <xf numFmtId="37" fontId="244" fillId="0" borderId="14" xfId="319" applyFont="1" applyBorder="1"/>
    <xf numFmtId="37" fontId="244" fillId="0" borderId="15" xfId="319" applyFont="1" applyBorder="1"/>
    <xf numFmtId="37" fontId="244" fillId="0" borderId="14" xfId="319" applyFont="1" applyFill="1" applyBorder="1"/>
    <xf numFmtId="37" fontId="263" fillId="0" borderId="14" xfId="319" applyFont="1" applyBorder="1"/>
    <xf numFmtId="37" fontId="263" fillId="0" borderId="15" xfId="319" applyFont="1" applyBorder="1"/>
    <xf numFmtId="37" fontId="262" fillId="0" borderId="0" xfId="319" applyFont="1"/>
    <xf numFmtId="37" fontId="262" fillId="0" borderId="1" xfId="319" applyFont="1" applyBorder="1"/>
    <xf numFmtId="37" fontId="259" fillId="4" borderId="3" xfId="319" applyFont="1" applyFill="1" applyBorder="1"/>
    <xf numFmtId="37" fontId="259" fillId="4" borderId="2" xfId="319" applyFont="1" applyFill="1" applyBorder="1"/>
    <xf numFmtId="9" fontId="244" fillId="0" borderId="1" xfId="319" applyNumberFormat="1" applyFont="1" applyBorder="1"/>
    <xf numFmtId="9" fontId="244" fillId="0" borderId="0" xfId="319" applyNumberFormat="1" applyFont="1"/>
    <xf numFmtId="37" fontId="259" fillId="7" borderId="0" xfId="319" applyFont="1" applyFill="1"/>
    <xf numFmtId="37" fontId="244" fillId="0" borderId="17" xfId="319" applyFont="1" applyBorder="1"/>
    <xf numFmtId="37" fontId="244" fillId="0" borderId="0" xfId="319" applyFont="1" applyBorder="1"/>
    <xf numFmtId="37" fontId="244" fillId="0" borderId="16" xfId="319" applyFont="1" applyBorder="1"/>
    <xf numFmtId="37" fontId="244" fillId="0" borderId="3" xfId="319" applyFont="1" applyBorder="1"/>
    <xf numFmtId="37" fontId="244" fillId="0" borderId="2" xfId="319" applyFont="1" applyBorder="1"/>
    <xf numFmtId="37" fontId="244" fillId="0" borderId="34" xfId="319" applyFont="1" applyBorder="1"/>
    <xf numFmtId="37" fontId="244" fillId="0" borderId="33" xfId="319" applyFont="1" applyBorder="1"/>
    <xf numFmtId="37" fontId="259" fillId="4" borderId="34" xfId="319" applyFont="1" applyFill="1" applyBorder="1"/>
    <xf numFmtId="37" fontId="259" fillId="4" borderId="33" xfId="319" applyFont="1" applyFill="1" applyBorder="1"/>
    <xf numFmtId="9" fontId="244" fillId="0" borderId="17" xfId="319" applyNumberFormat="1" applyFont="1" applyBorder="1"/>
    <xf numFmtId="9" fontId="244" fillId="0" borderId="0" xfId="319" applyNumberFormat="1" applyFont="1" applyBorder="1"/>
    <xf numFmtId="37" fontId="259" fillId="0" borderId="0" xfId="319" applyFont="1"/>
    <xf numFmtId="9" fontId="244" fillId="0" borderId="1" xfId="319" applyNumberFormat="1" applyFont="1" applyFill="1" applyBorder="1"/>
    <xf numFmtId="168" fontId="244" fillId="0" borderId="1" xfId="319" applyNumberFormat="1" applyFont="1" applyBorder="1"/>
    <xf numFmtId="168" fontId="244" fillId="0" borderId="0" xfId="319" applyNumberFormat="1" applyFont="1"/>
    <xf numFmtId="168" fontId="244" fillId="0" borderId="17" xfId="319" applyNumberFormat="1" applyFont="1" applyBorder="1"/>
    <xf numFmtId="168" fontId="244" fillId="0" borderId="0" xfId="319" applyNumberFormat="1" applyFont="1" applyBorder="1"/>
    <xf numFmtId="168" fontId="244" fillId="0" borderId="16" xfId="319" applyNumberFormat="1" applyFont="1" applyBorder="1"/>
    <xf numFmtId="168" fontId="244" fillId="0" borderId="2" xfId="319" applyNumberFormat="1" applyFont="1" applyBorder="1"/>
    <xf numFmtId="168" fontId="244" fillId="0" borderId="3" xfId="319" applyNumberFormat="1" applyFont="1" applyBorder="1"/>
    <xf numFmtId="168" fontId="244" fillId="0" borderId="34" xfId="319" applyNumberFormat="1" applyFont="1" applyBorder="1"/>
    <xf numFmtId="168" fontId="244" fillId="0" borderId="33" xfId="319" applyNumberFormat="1" applyFont="1" applyBorder="1"/>
    <xf numFmtId="37" fontId="259" fillId="0" borderId="3" xfId="319" applyFont="1" applyBorder="1"/>
    <xf numFmtId="168" fontId="259" fillId="0" borderId="2" xfId="319" applyNumberFormat="1" applyFont="1" applyBorder="1"/>
    <xf numFmtId="168" fontId="259" fillId="0" borderId="3" xfId="319" applyNumberFormat="1" applyFont="1" applyBorder="1"/>
    <xf numFmtId="168" fontId="259" fillId="0" borderId="34" xfId="319" applyNumberFormat="1" applyFont="1" applyBorder="1"/>
    <xf numFmtId="168" fontId="259" fillId="0" borderId="33" xfId="319" applyNumberFormat="1" applyFont="1" applyBorder="1"/>
    <xf numFmtId="37" fontId="259" fillId="0" borderId="0" xfId="319" applyFont="1" applyBorder="1"/>
    <xf numFmtId="168" fontId="259" fillId="0" borderId="1" xfId="319" applyNumberFormat="1" applyFont="1" applyBorder="1"/>
    <xf numFmtId="168" fontId="259" fillId="0" borderId="0" xfId="319" applyNumberFormat="1" applyFont="1" applyBorder="1"/>
    <xf numFmtId="168" fontId="259" fillId="0" borderId="17" xfId="319" applyNumberFormat="1" applyFont="1" applyBorder="1"/>
    <xf numFmtId="37" fontId="244" fillId="0" borderId="7" xfId="319" applyFont="1" applyBorder="1"/>
    <xf numFmtId="167" fontId="244" fillId="0" borderId="7" xfId="319" applyNumberFormat="1" applyFont="1" applyBorder="1"/>
    <xf numFmtId="167" fontId="244" fillId="0" borderId="17" xfId="319" applyNumberFormat="1" applyFont="1" applyBorder="1"/>
    <xf numFmtId="167" fontId="244" fillId="0" borderId="0" xfId="319" applyNumberFormat="1" applyFont="1" applyBorder="1"/>
    <xf numFmtId="170" fontId="244" fillId="0" borderId="0" xfId="337" applyNumberFormat="1" applyFont="1"/>
    <xf numFmtId="318" fontId="245" fillId="0" borderId="0" xfId="337" applyNumberFormat="1" applyFont="1"/>
    <xf numFmtId="37" fontId="268" fillId="64" borderId="0" xfId="337" applyFont="1" applyFill="1"/>
    <xf numFmtId="37" fontId="269" fillId="64" borderId="0" xfId="337" applyFont="1" applyFill="1"/>
    <xf numFmtId="0" fontId="268" fillId="64" borderId="0" xfId="337" applyNumberFormat="1" applyFont="1" applyFill="1" applyAlignment="1">
      <alignment horizontal="right"/>
    </xf>
    <xf numFmtId="318" fontId="245" fillId="0" borderId="0" xfId="337" applyNumberFormat="1" applyFont="1" applyBorder="1"/>
    <xf numFmtId="37" fontId="259" fillId="0" borderId="58" xfId="337" applyFont="1" applyFill="1" applyBorder="1"/>
    <xf numFmtId="168" fontId="270" fillId="0" borderId="58" xfId="337" applyNumberFormat="1" applyFont="1" applyFill="1" applyBorder="1"/>
    <xf numFmtId="0" fontId="268" fillId="64" borderId="74" xfId="337" applyNumberFormat="1" applyFont="1" applyFill="1" applyBorder="1" applyAlignment="1">
      <alignment horizontal="right"/>
    </xf>
    <xf numFmtId="318" fontId="245" fillId="0" borderId="75" xfId="337" applyNumberFormat="1" applyFont="1" applyBorder="1"/>
    <xf numFmtId="168" fontId="270" fillId="0" borderId="76" xfId="337" applyNumberFormat="1" applyFont="1" applyFill="1" applyBorder="1"/>
    <xf numFmtId="318" fontId="271" fillId="0" borderId="0" xfId="3421" applyNumberFormat="1" applyFont="1" applyBorder="1"/>
    <xf numFmtId="318" fontId="272" fillId="0" borderId="0" xfId="3421" applyNumberFormat="1" applyFont="1" applyBorder="1"/>
    <xf numFmtId="37" fontId="227" fillId="0" borderId="58" xfId="337" applyFont="1" applyBorder="1" applyAlignment="1">
      <alignment horizontal="centerContinuous"/>
    </xf>
    <xf numFmtId="37" fontId="226" fillId="0" borderId="58" xfId="337" applyFont="1" applyBorder="1" applyAlignment="1">
      <alignment horizontal="centerContinuous"/>
    </xf>
    <xf numFmtId="37" fontId="224" fillId="0" borderId="63" xfId="337" applyFont="1" applyBorder="1" applyAlignment="1">
      <alignment horizontal="right"/>
    </xf>
    <xf numFmtId="37" fontId="24" fillId="0" borderId="0" xfId="337" applyFont="1" applyFill="1" applyBorder="1"/>
    <xf numFmtId="7" fontId="24" fillId="0" borderId="0" xfId="337" applyNumberFormat="1" applyFont="1" applyBorder="1"/>
    <xf numFmtId="37" fontId="259" fillId="0" borderId="0" xfId="337" applyFont="1" applyFill="1" applyBorder="1"/>
    <xf numFmtId="37" fontId="244" fillId="0" borderId="0" xfId="337" applyFont="1" applyFill="1" applyBorder="1"/>
    <xf numFmtId="37" fontId="258" fillId="0" borderId="0" xfId="337" applyFont="1" applyFill="1" applyBorder="1"/>
    <xf numFmtId="37" fontId="244" fillId="2" borderId="0" xfId="337" applyFont="1" applyFill="1" applyBorder="1"/>
    <xf numFmtId="37" fontId="260" fillId="2" borderId="0" xfId="337" applyFont="1" applyFill="1" applyBorder="1" applyAlignment="1">
      <alignment horizontal="left"/>
    </xf>
    <xf numFmtId="164" fontId="245" fillId="2" borderId="0" xfId="337" applyNumberFormat="1" applyFont="1" applyFill="1" applyBorder="1" applyAlignment="1">
      <alignment horizontal="center"/>
    </xf>
    <xf numFmtId="17" fontId="245" fillId="2" borderId="0" xfId="337" applyNumberFormat="1" applyFont="1" applyFill="1" applyBorder="1" applyAlignment="1">
      <alignment horizontal="center"/>
    </xf>
    <xf numFmtId="37" fontId="259" fillId="3" borderId="0" xfId="337" applyFont="1" applyFill="1" applyBorder="1"/>
    <xf numFmtId="37" fontId="244" fillId="7" borderId="0" xfId="337" applyFont="1" applyFill="1" applyBorder="1"/>
    <xf numFmtId="170" fontId="244" fillId="0" borderId="0" xfId="337" applyNumberFormat="1" applyFont="1" applyBorder="1"/>
    <xf numFmtId="37" fontId="273" fillId="0" borderId="0" xfId="337" applyFont="1" applyBorder="1"/>
    <xf numFmtId="37" fontId="273" fillId="0" borderId="0" xfId="337" applyFont="1" applyFill="1" applyBorder="1"/>
    <xf numFmtId="37" fontId="273" fillId="7" borderId="0" xfId="337" applyFont="1" applyFill="1" applyBorder="1"/>
    <xf numFmtId="37" fontId="259" fillId="7" borderId="0" xfId="337" applyFont="1" applyFill="1" applyBorder="1"/>
    <xf numFmtId="170" fontId="259" fillId="0" borderId="0" xfId="337" applyNumberFormat="1" applyFont="1" applyBorder="1"/>
    <xf numFmtId="170" fontId="259" fillId="0" borderId="0" xfId="337" applyNumberFormat="1" applyFont="1" applyFill="1" applyBorder="1"/>
    <xf numFmtId="170" fontId="259" fillId="7" borderId="0" xfId="337" applyNumberFormat="1" applyFont="1" applyFill="1" applyBorder="1"/>
    <xf numFmtId="7" fontId="244" fillId="0" borderId="0" xfId="337" applyNumberFormat="1" applyFont="1" applyBorder="1"/>
    <xf numFmtId="7" fontId="244" fillId="0" borderId="0" xfId="337" applyNumberFormat="1" applyFont="1" applyFill="1" applyBorder="1"/>
    <xf numFmtId="7" fontId="244" fillId="7" borderId="0" xfId="337" applyNumberFormat="1" applyFont="1" applyFill="1" applyBorder="1"/>
    <xf numFmtId="7" fontId="273" fillId="0" borderId="0" xfId="337" applyNumberFormat="1" applyFont="1" applyBorder="1"/>
    <xf numFmtId="7" fontId="273" fillId="0" borderId="0" xfId="337" applyNumberFormat="1" applyFont="1" applyFill="1" applyBorder="1"/>
    <xf numFmtId="7" fontId="273" fillId="7" borderId="0" xfId="337" applyNumberFormat="1" applyFont="1" applyFill="1" applyBorder="1"/>
    <xf numFmtId="7" fontId="259" fillId="0" borderId="0" xfId="337" applyNumberFormat="1" applyFont="1" applyBorder="1"/>
    <xf numFmtId="7" fontId="259" fillId="0" borderId="0" xfId="337" applyNumberFormat="1" applyFont="1" applyFill="1" applyBorder="1"/>
    <xf numFmtId="167" fontId="244" fillId="0" borderId="0" xfId="337" applyNumberFormat="1" applyFont="1" applyBorder="1"/>
    <xf numFmtId="167" fontId="244" fillId="0" borderId="0" xfId="337" applyNumberFormat="1" applyFont="1" applyFill="1" applyBorder="1"/>
    <xf numFmtId="170" fontId="244" fillId="0" borderId="0" xfId="337" applyNumberFormat="1" applyFont="1" applyFill="1" applyBorder="1"/>
    <xf numFmtId="170" fontId="244" fillId="7" borderId="0" xfId="337" applyNumberFormat="1" applyFont="1" applyFill="1" applyBorder="1"/>
    <xf numFmtId="2" fontId="265" fillId="0" borderId="0" xfId="337" applyNumberFormat="1" applyFont="1" applyBorder="1" applyAlignment="1">
      <alignment horizontal="left"/>
    </xf>
    <xf numFmtId="2" fontId="266" fillId="0" borderId="0" xfId="337" applyNumberFormat="1" applyFont="1" applyBorder="1" applyAlignment="1">
      <alignment horizontal="left"/>
    </xf>
    <xf numFmtId="166" fontId="259" fillId="0" borderId="0" xfId="337" applyNumberFormat="1" applyFont="1" applyBorder="1"/>
    <xf numFmtId="37" fontId="265" fillId="0" borderId="0" xfId="337" applyFont="1" applyBorder="1" applyAlignment="1">
      <alignment horizontal="right"/>
    </xf>
    <xf numFmtId="37" fontId="244" fillId="0" borderId="0" xfId="337" applyFont="1" applyBorder="1" applyAlignment="1">
      <alignment horizontal="left"/>
    </xf>
    <xf numFmtId="37" fontId="244" fillId="0" borderId="0" xfId="337" applyFont="1" applyBorder="1" applyAlignment="1">
      <alignment horizontal="left" indent="1"/>
    </xf>
    <xf numFmtId="39" fontId="244" fillId="0" borderId="0" xfId="337" applyNumberFormat="1" applyFont="1" applyBorder="1"/>
    <xf numFmtId="37" fontId="259" fillId="2" borderId="0" xfId="337" applyFont="1" applyFill="1" applyBorder="1"/>
    <xf numFmtId="37" fontId="244" fillId="8" borderId="0" xfId="337" applyFont="1" applyFill="1" applyBorder="1"/>
    <xf numFmtId="167" fontId="259" fillId="0" borderId="0" xfId="337" applyNumberFormat="1" applyFont="1" applyBorder="1"/>
    <xf numFmtId="167" fontId="259" fillId="2" borderId="0" xfId="337" applyNumberFormat="1" applyFont="1" applyFill="1" applyBorder="1"/>
    <xf numFmtId="10" fontId="244" fillId="0" borderId="0" xfId="337" applyNumberFormat="1" applyFont="1" applyBorder="1"/>
    <xf numFmtId="9" fontId="244" fillId="2" borderId="0" xfId="337" applyNumberFormat="1" applyFont="1" applyFill="1" applyBorder="1"/>
    <xf numFmtId="9" fontId="262" fillId="0" borderId="0" xfId="337" applyNumberFormat="1" applyFont="1" applyBorder="1"/>
    <xf numFmtId="2" fontId="265" fillId="0" borderId="0" xfId="337" applyNumberFormat="1" applyFont="1" applyFill="1" applyBorder="1" applyAlignment="1">
      <alignment horizontal="left"/>
    </xf>
    <xf numFmtId="9" fontId="273" fillId="0" borderId="0" xfId="337" applyNumberFormat="1" applyFont="1" applyBorder="1"/>
    <xf numFmtId="9" fontId="273" fillId="2" borderId="0" xfId="337" applyNumberFormat="1" applyFont="1" applyFill="1" applyBorder="1"/>
    <xf numFmtId="9" fontId="274" fillId="0" borderId="0" xfId="337" applyNumberFormat="1" applyFont="1" applyBorder="1"/>
    <xf numFmtId="9" fontId="244" fillId="0" borderId="0" xfId="337" applyNumberFormat="1" applyFont="1" applyBorder="1" applyAlignment="1">
      <alignment horizontal="right"/>
    </xf>
    <xf numFmtId="44" fontId="244" fillId="0" borderId="0" xfId="3257" applyFont="1" applyBorder="1"/>
    <xf numFmtId="5" fontId="244" fillId="0" borderId="0" xfId="337" applyNumberFormat="1" applyFont="1" applyBorder="1"/>
    <xf numFmtId="2" fontId="266" fillId="0" borderId="0" xfId="337" applyNumberFormat="1" applyFont="1" applyFill="1" applyBorder="1" applyAlignment="1">
      <alignment horizontal="left"/>
    </xf>
    <xf numFmtId="314" fontId="244" fillId="0" borderId="0" xfId="337" applyNumberFormat="1" applyFont="1" applyBorder="1"/>
    <xf numFmtId="5" fontId="244" fillId="0" borderId="0" xfId="337" applyNumberFormat="1" applyFont="1" applyFill="1" applyBorder="1"/>
    <xf numFmtId="173" fontId="259" fillId="0" borderId="0" xfId="337" applyNumberFormat="1" applyFont="1" applyBorder="1"/>
    <xf numFmtId="173" fontId="244" fillId="0" borderId="0" xfId="337" applyNumberFormat="1" applyFont="1" applyBorder="1"/>
    <xf numFmtId="173" fontId="244" fillId="2" borderId="0" xfId="337" applyNumberFormat="1" applyFont="1" applyFill="1" applyBorder="1"/>
    <xf numFmtId="1" fontId="244" fillId="0" borderId="0" xfId="337" applyNumberFormat="1" applyFont="1" applyBorder="1"/>
    <xf numFmtId="37" fontId="273" fillId="2" borderId="0" xfId="337" applyFont="1" applyFill="1" applyBorder="1"/>
    <xf numFmtId="1" fontId="273" fillId="0" borderId="0" xfId="337" applyNumberFormat="1" applyFont="1" applyBorder="1"/>
    <xf numFmtId="37" fontId="275" fillId="7" borderId="0" xfId="337" applyFont="1" applyFill="1" applyBorder="1"/>
    <xf numFmtId="37" fontId="276" fillId="0" borderId="0" xfId="337" applyFont="1" applyBorder="1"/>
    <xf numFmtId="37" fontId="267" fillId="0" borderId="0" xfId="337" applyFont="1" applyBorder="1"/>
    <xf numFmtId="37" fontId="259" fillId="19" borderId="0" xfId="337" applyFont="1" applyFill="1" applyBorder="1"/>
    <xf numFmtId="9" fontId="244" fillId="7" borderId="0" xfId="3421" applyFont="1" applyFill="1" applyBorder="1"/>
    <xf numFmtId="37" fontId="276" fillId="7" borderId="0" xfId="337" applyFont="1" applyFill="1" applyBorder="1"/>
    <xf numFmtId="37" fontId="259" fillId="20" borderId="0" xfId="337" applyFont="1" applyFill="1" applyBorder="1"/>
    <xf numFmtId="9" fontId="244" fillId="0" borderId="0" xfId="374" applyFont="1" applyBorder="1"/>
    <xf numFmtId="0" fontId="245" fillId="0" borderId="0" xfId="3420" applyFont="1" applyBorder="1"/>
    <xf numFmtId="0" fontId="244" fillId="0" borderId="0" xfId="3420" applyFont="1" applyBorder="1"/>
    <xf numFmtId="37" fontId="259" fillId="3" borderId="0" xfId="3350" applyFont="1" applyFill="1" applyBorder="1"/>
    <xf numFmtId="37" fontId="244" fillId="0" borderId="0" xfId="3350" applyFont="1" applyBorder="1"/>
    <xf numFmtId="9" fontId="244" fillId="7" borderId="0" xfId="337" applyNumberFormat="1" applyFont="1" applyFill="1" applyBorder="1"/>
    <xf numFmtId="37" fontId="244" fillId="0" borderId="0" xfId="3350" applyFont="1" applyFill="1" applyBorder="1"/>
    <xf numFmtId="168" fontId="244" fillId="7" borderId="0" xfId="337" applyNumberFormat="1" applyFont="1" applyFill="1" applyBorder="1"/>
    <xf numFmtId="168" fontId="244" fillId="0" borderId="0" xfId="337" applyNumberFormat="1" applyFont="1" applyBorder="1"/>
    <xf numFmtId="37" fontId="277" fillId="64" borderId="0" xfId="337" applyFont="1" applyFill="1" applyBorder="1" applyAlignment="1">
      <alignment horizontal="left"/>
    </xf>
    <xf numFmtId="0" fontId="268" fillId="64" borderId="0" xfId="337" applyNumberFormat="1" applyFont="1" applyFill="1" applyBorder="1" applyAlignment="1">
      <alignment horizontal="center"/>
    </xf>
    <xf numFmtId="37" fontId="268" fillId="64" borderId="0" xfId="337" applyFont="1" applyFill="1" applyBorder="1" applyAlignment="1">
      <alignment horizontal="center"/>
    </xf>
    <xf numFmtId="37" fontId="278" fillId="0" borderId="0" xfId="337" applyFont="1" applyFill="1" applyBorder="1"/>
    <xf numFmtId="326" fontId="244" fillId="0" borderId="0" xfId="337" applyNumberFormat="1" applyFont="1" applyFill="1" applyBorder="1"/>
    <xf numFmtId="326" fontId="244" fillId="7" borderId="0" xfId="337" applyNumberFormat="1" applyFont="1" applyFill="1" applyBorder="1"/>
    <xf numFmtId="319" fontId="244" fillId="0" borderId="0" xfId="337" applyNumberFormat="1" applyFont="1" applyFill="1" applyBorder="1"/>
    <xf numFmtId="319" fontId="244" fillId="7" borderId="0" xfId="337" applyNumberFormat="1" applyFont="1" applyFill="1" applyBorder="1"/>
    <xf numFmtId="37" fontId="259" fillId="0" borderId="0" xfId="337" applyNumberFormat="1" applyFont="1" applyFill="1" applyBorder="1"/>
    <xf numFmtId="319" fontId="244" fillId="0" borderId="0" xfId="337" applyNumberFormat="1" applyFont="1" applyBorder="1"/>
    <xf numFmtId="37" fontId="259" fillId="7" borderId="0" xfId="337" applyNumberFormat="1" applyFont="1" applyFill="1" applyBorder="1"/>
    <xf numFmtId="37" fontId="259" fillId="0" borderId="0" xfId="337" applyNumberFormat="1" applyFont="1" applyBorder="1"/>
    <xf numFmtId="37" fontId="244" fillId="0" borderId="0" xfId="337" applyNumberFormat="1" applyFont="1" applyBorder="1"/>
    <xf numFmtId="37" fontId="273" fillId="0" borderId="0" xfId="337" applyNumberFormat="1" applyFont="1" applyBorder="1"/>
    <xf numFmtId="320" fontId="244" fillId="0" borderId="0" xfId="337" applyNumberFormat="1" applyFont="1" applyBorder="1"/>
    <xf numFmtId="320" fontId="244" fillId="0" borderId="0" xfId="337" applyNumberFormat="1" applyFont="1" applyFill="1" applyBorder="1"/>
    <xf numFmtId="320" fontId="244" fillId="7" borderId="0" xfId="337" applyNumberFormat="1" applyFont="1" applyFill="1" applyBorder="1"/>
    <xf numFmtId="7" fontId="259" fillId="7" borderId="0" xfId="337" applyNumberFormat="1" applyFont="1" applyFill="1" applyBorder="1"/>
    <xf numFmtId="37" fontId="277" fillId="0" borderId="0" xfId="337" applyFont="1" applyFill="1" applyBorder="1" applyAlignment="1">
      <alignment horizontal="left"/>
    </xf>
    <xf numFmtId="0" fontId="268" fillId="0" borderId="0" xfId="337" applyNumberFormat="1" applyFont="1" applyFill="1" applyBorder="1" applyAlignment="1">
      <alignment horizontal="center"/>
    </xf>
    <xf numFmtId="37" fontId="268" fillId="0" borderId="0" xfId="337" applyFont="1" applyFill="1" applyBorder="1" applyAlignment="1">
      <alignment horizontal="center"/>
    </xf>
    <xf numFmtId="326" fontId="259" fillId="0" borderId="0" xfId="337" applyNumberFormat="1" applyFont="1" applyBorder="1"/>
    <xf numFmtId="319" fontId="259" fillId="0" borderId="0" xfId="337" applyNumberFormat="1" applyFont="1" applyBorder="1"/>
    <xf numFmtId="319" fontId="259" fillId="7" borderId="0" xfId="337" applyNumberFormat="1" applyFont="1" applyFill="1" applyBorder="1"/>
    <xf numFmtId="326" fontId="259" fillId="0" borderId="0" xfId="337" applyNumberFormat="1" applyFont="1" applyFill="1" applyBorder="1"/>
    <xf numFmtId="319" fontId="259" fillId="0" borderId="0" xfId="337" applyNumberFormat="1" applyFont="1" applyFill="1" applyBorder="1"/>
    <xf numFmtId="322" fontId="244" fillId="0" borderId="0" xfId="337" applyNumberFormat="1" applyFont="1" applyBorder="1"/>
    <xf numFmtId="322" fontId="244" fillId="0" borderId="0" xfId="337" applyNumberFormat="1" applyFont="1" applyFill="1" applyBorder="1"/>
    <xf numFmtId="322" fontId="244" fillId="7" borderId="0" xfId="337" applyNumberFormat="1" applyFont="1" applyFill="1" applyBorder="1"/>
    <xf numFmtId="322" fontId="244" fillId="8" borderId="0" xfId="337" applyNumberFormat="1" applyFont="1" applyFill="1" applyBorder="1"/>
    <xf numFmtId="37" fontId="244" fillId="0" borderId="58" xfId="337" applyFont="1" applyFill="1" applyBorder="1"/>
    <xf numFmtId="37" fontId="244" fillId="7" borderId="58" xfId="337" applyFont="1" applyFill="1" applyBorder="1"/>
    <xf numFmtId="2" fontId="265" fillId="0" borderId="61" xfId="337" applyNumberFormat="1" applyFont="1" applyFill="1" applyBorder="1" applyAlignment="1">
      <alignment horizontal="left"/>
    </xf>
    <xf numFmtId="319" fontId="259" fillId="0" borderId="58" xfId="337" applyNumberFormat="1" applyFont="1" applyFill="1" applyBorder="1"/>
    <xf numFmtId="319" fontId="259" fillId="0" borderId="77" xfId="337" applyNumberFormat="1" applyFont="1" applyFill="1" applyBorder="1"/>
    <xf numFmtId="319" fontId="259" fillId="7" borderId="77" xfId="337" applyNumberFormat="1" applyFont="1" applyFill="1" applyBorder="1"/>
    <xf numFmtId="319" fontId="244" fillId="0" borderId="77" xfId="337" applyNumberFormat="1" applyFont="1" applyFill="1" applyBorder="1"/>
    <xf numFmtId="319" fontId="244" fillId="7" borderId="77" xfId="337" applyNumberFormat="1" applyFont="1" applyFill="1" applyBorder="1"/>
    <xf numFmtId="318" fontId="264" fillId="0" borderId="0" xfId="337" applyNumberFormat="1" applyFont="1" applyBorder="1"/>
    <xf numFmtId="318" fontId="261" fillId="0" borderId="0" xfId="337" applyNumberFormat="1" applyFont="1" applyBorder="1"/>
    <xf numFmtId="318" fontId="245" fillId="0" borderId="0" xfId="337" applyNumberFormat="1" applyFont="1" applyFill="1" applyBorder="1"/>
    <xf numFmtId="329" fontId="245" fillId="0" borderId="0" xfId="337" applyNumberFormat="1" applyFont="1" applyBorder="1"/>
    <xf numFmtId="326" fontId="259" fillId="0" borderId="58" xfId="337" applyNumberFormat="1" applyFont="1" applyFill="1" applyBorder="1"/>
    <xf numFmtId="330" fontId="259" fillId="2" borderId="0" xfId="337" applyNumberFormat="1" applyFont="1" applyFill="1" applyBorder="1"/>
    <xf numFmtId="330" fontId="259" fillId="7" borderId="0" xfId="337" applyNumberFormat="1" applyFont="1" applyFill="1" applyBorder="1"/>
    <xf numFmtId="331" fontId="259" fillId="7" borderId="0" xfId="337" applyNumberFormat="1" applyFont="1" applyFill="1" applyBorder="1"/>
    <xf numFmtId="9" fontId="259" fillId="2" borderId="0" xfId="337" applyNumberFormat="1" applyFont="1" applyFill="1" applyBorder="1"/>
    <xf numFmtId="329" fontId="270" fillId="0" borderId="77" xfId="337" applyNumberFormat="1" applyFont="1" applyFill="1" applyBorder="1"/>
    <xf numFmtId="318" fontId="270" fillId="0" borderId="77" xfId="337" applyNumberFormat="1" applyFont="1" applyFill="1" applyBorder="1"/>
    <xf numFmtId="172" fontId="24" fillId="0" borderId="0" xfId="337" applyNumberFormat="1" applyFont="1" applyBorder="1"/>
    <xf numFmtId="318" fontId="31" fillId="0" borderId="0" xfId="337" applyNumberFormat="1" applyFont="1" applyBorder="1"/>
    <xf numFmtId="37" fontId="259" fillId="0" borderId="77" xfId="337" applyFont="1" applyFill="1" applyBorder="1"/>
    <xf numFmtId="7" fontId="239" fillId="0" borderId="0" xfId="3257" applyNumberFormat="1" applyFont="1"/>
  </cellXfs>
  <cellStyles count="3422">
    <cellStyle name="—" xfId="487" xr:uid="{00000000-0005-0000-0000-000000000000}"/>
    <cellStyle name="$" xfId="488" xr:uid="{00000000-0005-0000-0000-000001000000}"/>
    <cellStyle name="$ 2" xfId="489" xr:uid="{00000000-0005-0000-0000-000002000000}"/>
    <cellStyle name="$_AG" xfId="490" xr:uid="{00000000-0005-0000-0000-000003000000}"/>
    <cellStyle name="$_CNH" xfId="491" xr:uid="{00000000-0005-0000-0000-000004000000}"/>
    <cellStyle name="$_DOV" xfId="492" xr:uid="{00000000-0005-0000-0000-000005000000}"/>
    <cellStyle name="$_ETN" xfId="493" xr:uid="{00000000-0005-0000-0000-000006000000}"/>
    <cellStyle name="$_FSS" xfId="494" xr:uid="{00000000-0005-0000-0000-000007000000}"/>
    <cellStyle name="$_Hist Summary" xfId="495" xr:uid="{00000000-0005-0000-0000-000008000000}"/>
    <cellStyle name="$_JOYG" xfId="496" xr:uid="{00000000-0005-0000-0000-000009000000}"/>
    <cellStyle name="$_Machinery group valuation" xfId="497" xr:uid="{00000000-0005-0000-0000-00000A000000}"/>
    <cellStyle name="$_MLM" xfId="498" xr:uid="{00000000-0005-0000-0000-00000B000000}"/>
    <cellStyle name="$_NAV" xfId="499" xr:uid="{00000000-0005-0000-0000-00000C000000}"/>
    <cellStyle name="$_OSK" xfId="500" xr:uid="{00000000-0005-0000-0000-00000D000000}"/>
    <cellStyle name="$_PCAR" xfId="501" xr:uid="{00000000-0005-0000-0000-00000E000000}"/>
    <cellStyle name="$_PCP" xfId="502" xr:uid="{00000000-0005-0000-0000-00000F000000}"/>
    <cellStyle name="$_PH" xfId="503" xr:uid="{00000000-0005-0000-0000-000010000000}"/>
    <cellStyle name="$0.0" xfId="504" xr:uid="{00000000-0005-0000-0000-000011000000}"/>
    <cellStyle name="$0.0 2" xfId="505" xr:uid="{00000000-0005-0000-0000-000012000000}"/>
    <cellStyle name="$0.0 3" xfId="506" xr:uid="{00000000-0005-0000-0000-000013000000}"/>
    <cellStyle name="$0.0_PNR working 21" xfId="507" xr:uid="{00000000-0005-0000-0000-000014000000}"/>
    <cellStyle name="$0.00" xfId="508" xr:uid="{00000000-0005-0000-0000-000015000000}"/>
    <cellStyle name="$0.000" xfId="509" xr:uid="{00000000-0005-0000-0000-000016000000}"/>
    <cellStyle name="$0.000 2" xfId="510" xr:uid="{00000000-0005-0000-0000-000017000000}"/>
    <cellStyle name="$3places" xfId="511" xr:uid="{00000000-0005-0000-0000-000018000000}"/>
    <cellStyle name="$3places 2" xfId="512" xr:uid="{00000000-0005-0000-0000-000019000000}"/>
    <cellStyle name="$currency" xfId="513" xr:uid="{00000000-0005-0000-0000-00001A000000}"/>
    <cellStyle name="$m" xfId="514" xr:uid="{00000000-0005-0000-0000-00001B000000}"/>
    <cellStyle name="$q" xfId="515" xr:uid="{00000000-0005-0000-0000-00001C000000}"/>
    <cellStyle name="$q*" xfId="516" xr:uid="{00000000-0005-0000-0000-00001D000000}"/>
    <cellStyle name="$qA" xfId="517" xr:uid="{00000000-0005-0000-0000-00001E000000}"/>
    <cellStyle name="$qRange" xfId="518" xr:uid="{00000000-0005-0000-0000-00001F000000}"/>
    <cellStyle name="%" xfId="519" xr:uid="{00000000-0005-0000-0000-000020000000}"/>
    <cellStyle name="% 2" xfId="520" xr:uid="{00000000-0005-0000-0000-000021000000}"/>
    <cellStyle name="% Underline" xfId="521" xr:uid="{00000000-0005-0000-0000-000022000000}"/>
    <cellStyle name="% Underline 2" xfId="522" xr:uid="{00000000-0005-0000-0000-000023000000}"/>
    <cellStyle name="%_AG" xfId="523" xr:uid="{00000000-0005-0000-0000-000024000000}"/>
    <cellStyle name="%_CNH" xfId="524" xr:uid="{00000000-0005-0000-0000-000025000000}"/>
    <cellStyle name="%_DOV" xfId="525" xr:uid="{00000000-0005-0000-0000-000026000000}"/>
    <cellStyle name="%_ETN" xfId="526" xr:uid="{00000000-0005-0000-0000-000027000000}"/>
    <cellStyle name="%_FSS" xfId="527" xr:uid="{00000000-0005-0000-0000-000028000000}"/>
    <cellStyle name="%_Hist Summary" xfId="528" xr:uid="{00000000-0005-0000-0000-000029000000}"/>
    <cellStyle name="%_JOYG" xfId="529" xr:uid="{00000000-0005-0000-0000-00002A000000}"/>
    <cellStyle name="%_Machinery group valuation" xfId="530" xr:uid="{00000000-0005-0000-0000-00002B000000}"/>
    <cellStyle name="%_MLM" xfId="531" xr:uid="{00000000-0005-0000-0000-00002C000000}"/>
    <cellStyle name="%_NAV" xfId="532" xr:uid="{00000000-0005-0000-0000-00002D000000}"/>
    <cellStyle name="%_OSK" xfId="533" xr:uid="{00000000-0005-0000-0000-00002E000000}"/>
    <cellStyle name="%_PCAR" xfId="534" xr:uid="{00000000-0005-0000-0000-00002F000000}"/>
    <cellStyle name="%_PH" xfId="535" xr:uid="{00000000-0005-0000-0000-000030000000}"/>
    <cellStyle name="%_Utility" xfId="536" xr:uid="{00000000-0005-0000-0000-000031000000}"/>
    <cellStyle name="(1,000)" xfId="537" xr:uid="{00000000-0005-0000-0000-000032000000}"/>
    <cellStyle name="(1,000)x" xfId="538" xr:uid="{00000000-0005-0000-0000-000033000000}"/>
    <cellStyle name="******************************************" xfId="408" xr:uid="{00000000-0005-0000-0000-000034000000}"/>
    <cellStyle name="****************************************** 2" xfId="409" xr:uid="{00000000-0005-0000-0000-000035000000}"/>
    <cellStyle name="****************************************** 2 2" xfId="3105" xr:uid="{00000000-0005-0000-0000-000036000000}"/>
    <cellStyle name="****************************************** 2 3" xfId="539" xr:uid="{00000000-0005-0000-0000-000037000000}"/>
    <cellStyle name="_%(SignOnly)" xfId="5" xr:uid="{00000000-0005-0000-0000-000038000000}"/>
    <cellStyle name="_%(SignOnly) 2" xfId="411" xr:uid="{00000000-0005-0000-0000-000039000000}"/>
    <cellStyle name="_%(SignOnly) 2 2" xfId="3106" xr:uid="{00000000-0005-0000-0000-00003A000000}"/>
    <cellStyle name="_%(SignOnly) 2 3" xfId="540" xr:uid="{00000000-0005-0000-0000-00003B000000}"/>
    <cellStyle name="_%(SignOnly) 3" xfId="412" xr:uid="{00000000-0005-0000-0000-00003C000000}"/>
    <cellStyle name="_%(SignOnly) 4" xfId="413" xr:uid="{00000000-0005-0000-0000-00003D000000}"/>
    <cellStyle name="_%(SignOnly) 5" xfId="3265" xr:uid="{00000000-0005-0000-0000-00003E000000}"/>
    <cellStyle name="_%(SignOnly) 6" xfId="2646" xr:uid="{00000000-0005-0000-0000-00003F000000}"/>
    <cellStyle name="_%(SignOnly) 7" xfId="410" xr:uid="{00000000-0005-0000-0000-000040000000}"/>
    <cellStyle name="_%(SignOnly)_AG" xfId="541" xr:uid="{00000000-0005-0000-0000-000041000000}"/>
    <cellStyle name="_%(SignOnly)_CNH" xfId="542" xr:uid="{00000000-0005-0000-0000-000042000000}"/>
    <cellStyle name="_%(SignOnly)_DOV" xfId="543" xr:uid="{00000000-0005-0000-0000-000043000000}"/>
    <cellStyle name="_%(SignOnly)_ETN" xfId="544" xr:uid="{00000000-0005-0000-0000-000044000000}"/>
    <cellStyle name="_%(SignOnly)_FSS" xfId="545" xr:uid="{00000000-0005-0000-0000-000045000000}"/>
    <cellStyle name="_%(SignOnly)_JOYG" xfId="546" xr:uid="{00000000-0005-0000-0000-000046000000}"/>
    <cellStyle name="_%(SignOnly)_MLM" xfId="547" xr:uid="{00000000-0005-0000-0000-000047000000}"/>
    <cellStyle name="_%(SignOnly)_NAV" xfId="548" xr:uid="{00000000-0005-0000-0000-000048000000}"/>
    <cellStyle name="_%(SignOnly)_OSK" xfId="549" xr:uid="{00000000-0005-0000-0000-000049000000}"/>
    <cellStyle name="_%(SignOnly)_PCAR" xfId="550" xr:uid="{00000000-0005-0000-0000-00004A000000}"/>
    <cellStyle name="_%(SignOnly)_PH" xfId="551" xr:uid="{00000000-0005-0000-0000-00004B000000}"/>
    <cellStyle name="_%(SignSpaceOnly)" xfId="6" xr:uid="{00000000-0005-0000-0000-00004C000000}"/>
    <cellStyle name="_%(SignSpaceOnly) 2" xfId="415" xr:uid="{00000000-0005-0000-0000-00004D000000}"/>
    <cellStyle name="_%(SignSpaceOnly) 2 2" xfId="3107" xr:uid="{00000000-0005-0000-0000-00004E000000}"/>
    <cellStyle name="_%(SignSpaceOnly) 2 3" xfId="553" xr:uid="{00000000-0005-0000-0000-00004F000000}"/>
    <cellStyle name="_%(SignSpaceOnly) 3" xfId="416" xr:uid="{00000000-0005-0000-0000-000050000000}"/>
    <cellStyle name="_%(SignSpaceOnly) 4" xfId="417" xr:uid="{00000000-0005-0000-0000-000051000000}"/>
    <cellStyle name="_%(SignSpaceOnly) 5" xfId="3266" xr:uid="{00000000-0005-0000-0000-000052000000}"/>
    <cellStyle name="_%(SignSpaceOnly) 6" xfId="3098" xr:uid="{00000000-0005-0000-0000-000053000000}"/>
    <cellStyle name="_%(SignSpaceOnly) 7" xfId="414" xr:uid="{00000000-0005-0000-0000-000054000000}"/>
    <cellStyle name="_%(SignSpaceOnly)_AG" xfId="554" xr:uid="{00000000-0005-0000-0000-000055000000}"/>
    <cellStyle name="_%(SignSpaceOnly)_CNH" xfId="555" xr:uid="{00000000-0005-0000-0000-000056000000}"/>
    <cellStyle name="_%(SignSpaceOnly)_DOV" xfId="556" xr:uid="{00000000-0005-0000-0000-000057000000}"/>
    <cellStyle name="_%(SignSpaceOnly)_ETN" xfId="557" xr:uid="{00000000-0005-0000-0000-000058000000}"/>
    <cellStyle name="_%(SignSpaceOnly)_FSS" xfId="558" xr:uid="{00000000-0005-0000-0000-000059000000}"/>
    <cellStyle name="_%(SignSpaceOnly)_JOYG" xfId="559" xr:uid="{00000000-0005-0000-0000-00005A000000}"/>
    <cellStyle name="_%(SignSpaceOnly)_MLM" xfId="560" xr:uid="{00000000-0005-0000-0000-00005B000000}"/>
    <cellStyle name="_%(SignSpaceOnly)_NAV" xfId="561" xr:uid="{00000000-0005-0000-0000-00005C000000}"/>
    <cellStyle name="_%(SignSpaceOnly)_OSK" xfId="562" xr:uid="{00000000-0005-0000-0000-00005D000000}"/>
    <cellStyle name="_%(SignSpaceOnly)_PCAR" xfId="563" xr:uid="{00000000-0005-0000-0000-00005E000000}"/>
    <cellStyle name="_%(SignSpaceOnly)_PH" xfId="564" xr:uid="{00000000-0005-0000-0000-00005F000000}"/>
    <cellStyle name="_CBS Accretion - Dilution" xfId="565" xr:uid="{00000000-0005-0000-0000-000060000000}"/>
    <cellStyle name="_Comma" xfId="7" xr:uid="{00000000-0005-0000-0000-000061000000}"/>
    <cellStyle name="_Comma 2" xfId="419" xr:uid="{00000000-0005-0000-0000-000062000000}"/>
    <cellStyle name="_Comma 2 2" xfId="3109" xr:uid="{00000000-0005-0000-0000-000063000000}"/>
    <cellStyle name="_Comma 2 3" xfId="567" xr:uid="{00000000-0005-0000-0000-000064000000}"/>
    <cellStyle name="_Comma 3" xfId="420" xr:uid="{00000000-0005-0000-0000-000065000000}"/>
    <cellStyle name="_Comma 3 2" xfId="3110" xr:uid="{00000000-0005-0000-0000-000066000000}"/>
    <cellStyle name="_Comma 3 3" xfId="568" xr:uid="{00000000-0005-0000-0000-000067000000}"/>
    <cellStyle name="_Comma 4" xfId="421" xr:uid="{00000000-0005-0000-0000-000068000000}"/>
    <cellStyle name="_Comma 5" xfId="3108" xr:uid="{00000000-0005-0000-0000-000069000000}"/>
    <cellStyle name="_Comma 6" xfId="566" xr:uid="{00000000-0005-0000-0000-00006A000000}"/>
    <cellStyle name="_Comma 7" xfId="3151" xr:uid="{00000000-0005-0000-0000-00006B000000}"/>
    <cellStyle name="_Comma 8" xfId="418" xr:uid="{00000000-0005-0000-0000-00006C000000}"/>
    <cellStyle name="_Comma_01 adj for merger plan" xfId="8" xr:uid="{00000000-0005-0000-0000-00006D000000}"/>
    <cellStyle name="_Comma_Ability to Pay Analysis" xfId="9" xr:uid="{00000000-0005-0000-0000-00006E000000}"/>
    <cellStyle name="_Comma_AFL" xfId="10" xr:uid="{00000000-0005-0000-0000-00006F000000}"/>
    <cellStyle name="_Comma_AG" xfId="569" xr:uid="{00000000-0005-0000-0000-000070000000}"/>
    <cellStyle name="_Comma_AIZ" xfId="11" xr:uid="{00000000-0005-0000-0000-000071000000}"/>
    <cellStyle name="_Comma_AIZ04-Quantum2" xfId="12" xr:uid="{00000000-0005-0000-0000-000072000000}"/>
    <cellStyle name="_Comma_AMP" xfId="13" xr:uid="{00000000-0005-0000-0000-000073000000}"/>
    <cellStyle name="_Comma_bls roic" xfId="570" xr:uid="{00000000-0005-0000-0000-000074000000}"/>
    <cellStyle name="_Comma_bls roic 2" xfId="571" xr:uid="{00000000-0005-0000-0000-000075000000}"/>
    <cellStyle name="_Comma_bls roic 3" xfId="572" xr:uid="{00000000-0005-0000-0000-000076000000}"/>
    <cellStyle name="_Comma_bls roic_AG" xfId="573" xr:uid="{00000000-0005-0000-0000-000077000000}"/>
    <cellStyle name="_Comma_bls roic_CNH" xfId="574" xr:uid="{00000000-0005-0000-0000-000078000000}"/>
    <cellStyle name="_Comma_bls roic_DOV" xfId="575" xr:uid="{00000000-0005-0000-0000-000079000000}"/>
    <cellStyle name="_Comma_bls roic_ETN" xfId="576" xr:uid="{00000000-0005-0000-0000-00007A000000}"/>
    <cellStyle name="_Comma_bls roic_FSS" xfId="577" xr:uid="{00000000-0005-0000-0000-00007B000000}"/>
    <cellStyle name="_Comma_bls roic_JOYG" xfId="578" xr:uid="{00000000-0005-0000-0000-00007C000000}"/>
    <cellStyle name="_Comma_bls roic_MLM" xfId="579" xr:uid="{00000000-0005-0000-0000-00007D000000}"/>
    <cellStyle name="_Comma_bls roic_NAV" xfId="580" xr:uid="{00000000-0005-0000-0000-00007E000000}"/>
    <cellStyle name="_Comma_bls roic_OSK" xfId="581" xr:uid="{00000000-0005-0000-0000-00007F000000}"/>
    <cellStyle name="_Comma_bls roic_PCAR" xfId="582" xr:uid="{00000000-0005-0000-0000-000080000000}"/>
    <cellStyle name="_Comma_bls roic_PH" xfId="583" xr:uid="{00000000-0005-0000-0000-000081000000}"/>
    <cellStyle name="_Comma_Book1" xfId="14" xr:uid="{00000000-0005-0000-0000-000082000000}"/>
    <cellStyle name="_Comma_Book3" xfId="15" xr:uid="{00000000-0005-0000-0000-000083000000}"/>
    <cellStyle name="_Comma_Book3 2" xfId="3286" xr:uid="{00000000-0005-0000-0000-000084000000}"/>
    <cellStyle name="_Comma_Book3 3" xfId="2286" xr:uid="{00000000-0005-0000-0000-000085000000}"/>
    <cellStyle name="_Comma_Book3 4" xfId="584" xr:uid="{00000000-0005-0000-0000-000086000000}"/>
    <cellStyle name="_Comma_Broadcasting" xfId="585" xr:uid="{00000000-0005-0000-0000-000087000000}"/>
    <cellStyle name="_Comma_capital expenditures 6-18-02" xfId="586" xr:uid="{00000000-0005-0000-0000-000088000000}"/>
    <cellStyle name="_Comma_capital expenditures 6-18-02 2" xfId="587" xr:uid="{00000000-0005-0000-0000-000089000000}"/>
    <cellStyle name="_Comma_capital expenditures 6-18-02 3" xfId="588" xr:uid="{00000000-0005-0000-0000-00008A000000}"/>
    <cellStyle name="_Comma_capital expenditures 6-18-02_AG" xfId="589" xr:uid="{00000000-0005-0000-0000-00008B000000}"/>
    <cellStyle name="_Comma_capital expenditures 6-18-02_CNH" xfId="590" xr:uid="{00000000-0005-0000-0000-00008C000000}"/>
    <cellStyle name="_Comma_capital expenditures 6-18-02_DOV" xfId="591" xr:uid="{00000000-0005-0000-0000-00008D000000}"/>
    <cellStyle name="_Comma_capital expenditures 6-18-02_ETN" xfId="592" xr:uid="{00000000-0005-0000-0000-00008E000000}"/>
    <cellStyle name="_Comma_capital expenditures 6-18-02_FSS" xfId="593" xr:uid="{00000000-0005-0000-0000-00008F000000}"/>
    <cellStyle name="_Comma_capital expenditures 6-18-02_JOYG" xfId="594" xr:uid="{00000000-0005-0000-0000-000090000000}"/>
    <cellStyle name="_Comma_capital expenditures 6-18-02_MLM" xfId="595" xr:uid="{00000000-0005-0000-0000-000091000000}"/>
    <cellStyle name="_Comma_capital expenditures 6-18-02_NAV" xfId="596" xr:uid="{00000000-0005-0000-0000-000092000000}"/>
    <cellStyle name="_Comma_capital expenditures 6-18-02_OSK" xfId="597" xr:uid="{00000000-0005-0000-0000-000093000000}"/>
    <cellStyle name="_Comma_capital expenditures 6-18-02_PCAR" xfId="598" xr:uid="{00000000-0005-0000-0000-000094000000}"/>
    <cellStyle name="_Comma_capital expenditures 6-18-02_PH" xfId="599" xr:uid="{00000000-0005-0000-0000-000095000000}"/>
    <cellStyle name="_Comma_CNH" xfId="600" xr:uid="{00000000-0005-0000-0000-000096000000}"/>
    <cellStyle name="_Comma_CNO" xfId="16" xr:uid="{00000000-0005-0000-0000-000097000000}"/>
    <cellStyle name="_Comma_CNO04" xfId="17" xr:uid="{00000000-0005-0000-0000-000098000000}"/>
    <cellStyle name="_Comma_Commtech" xfId="601" xr:uid="{00000000-0005-0000-0000-000099000000}"/>
    <cellStyle name="_Comma_CRO 3Q group metrics 12-22-03 for reports" xfId="602" xr:uid="{00000000-0005-0000-0000-00009A000000}"/>
    <cellStyle name="_Comma_CRO comp metrics 4Q03 2-18-04 send out" xfId="603" xr:uid="{00000000-0005-0000-0000-00009B000000}"/>
    <cellStyle name="_Comma_Data" xfId="604" xr:uid="{00000000-0005-0000-0000-00009C000000}"/>
    <cellStyle name="_Comma_DCF Alexander Forbes" xfId="18" xr:uid="{00000000-0005-0000-0000-00009D000000}"/>
    <cellStyle name="_Comma_dcf_1" xfId="605" xr:uid="{00000000-0005-0000-0000-00009E000000}"/>
    <cellStyle name="_Comma_DOV" xfId="606" xr:uid="{00000000-0005-0000-0000-00009F000000}"/>
    <cellStyle name="_Comma_DUK" xfId="607" xr:uid="{00000000-0005-0000-0000-0000A0000000}"/>
    <cellStyle name="_Comma_ED 2005.08.01" xfId="608" xr:uid="{00000000-0005-0000-0000-0000A1000000}"/>
    <cellStyle name="_Comma_ETN" xfId="609" xr:uid="{00000000-0005-0000-0000-0000A2000000}"/>
    <cellStyle name="_Comma_fmbi counties" xfId="19" xr:uid="{00000000-0005-0000-0000-0000A3000000}"/>
    <cellStyle name="_Comma_FMBI MBHI Graphs" xfId="20" xr:uid="{00000000-0005-0000-0000-0000A4000000}"/>
    <cellStyle name="_Comma_FMBI MBHI Graphs 07102001" xfId="21" xr:uid="{00000000-0005-0000-0000-0000A5000000}"/>
    <cellStyle name="_Comma_FMBI MBHI Graphs_7601" xfId="22" xr:uid="{00000000-0005-0000-0000-0000A6000000}"/>
    <cellStyle name="_Comma_FSS" xfId="610" xr:uid="{00000000-0005-0000-0000-0000A7000000}"/>
    <cellStyle name="_Comma_genworth model" xfId="23" xr:uid="{00000000-0005-0000-0000-0000A8000000}"/>
    <cellStyle name="_Comma_Hist Summary" xfId="611" xr:uid="{00000000-0005-0000-0000-0000A9000000}"/>
    <cellStyle name="_Comma_Insurance Brokerage CSC_1Q2002" xfId="24" xr:uid="{00000000-0005-0000-0000-0000AA000000}"/>
    <cellStyle name="_Comma_JOYG" xfId="612" xr:uid="{00000000-0005-0000-0000-0000AB000000}"/>
    <cellStyle name="_Comma_JP_LNC_spread_monitor (2)" xfId="25" xr:uid="{00000000-0005-0000-0000-0000AC000000}"/>
    <cellStyle name="_Comma_Kent" xfId="613" xr:uid="{00000000-0005-0000-0000-0000AD000000}"/>
    <cellStyle name="_Comma_Machinery group valuation" xfId="614" xr:uid="{00000000-0005-0000-0000-0000AE000000}"/>
    <cellStyle name="_Comma_MHS" xfId="615" xr:uid="{00000000-0005-0000-0000-0000AF000000}"/>
    <cellStyle name="_Comma_MLM" xfId="616" xr:uid="{00000000-0005-0000-0000-0000B0000000}"/>
    <cellStyle name="_Comma_MLP Val-Client-10_02_06" xfId="617" xr:uid="{00000000-0005-0000-0000-0000B1000000}"/>
    <cellStyle name="_Comma_NAV" xfId="618" xr:uid="{00000000-0005-0000-0000-0000B2000000}"/>
    <cellStyle name="_Comma_NFP" xfId="26" xr:uid="{00000000-0005-0000-0000-0000B3000000}"/>
    <cellStyle name="_Comma_NFS" xfId="27" xr:uid="{00000000-0005-0000-0000-0000B4000000}"/>
    <cellStyle name="_Comma_NRG 2005.07.22" xfId="619" xr:uid="{00000000-0005-0000-0000-0000B5000000}"/>
    <cellStyle name="_Comma_OSK" xfId="620" xr:uid="{00000000-0005-0000-0000-0000B6000000}"/>
    <cellStyle name="_Comma_Overview3" xfId="28" xr:uid="{00000000-0005-0000-0000-0000B7000000}"/>
    <cellStyle name="_Comma_PCAR" xfId="621" xr:uid="{00000000-0005-0000-0000-0000B8000000}"/>
    <cellStyle name="_Comma_PH" xfId="622" xr:uid="{00000000-0005-0000-0000-0000B9000000}"/>
    <cellStyle name="_Comma_phil data" xfId="29" xr:uid="{00000000-0005-0000-0000-0000BA000000}"/>
    <cellStyle name="_Comma_Price Performance Charts" xfId="30" xr:uid="{00000000-0005-0000-0000-0000BB000000}"/>
    <cellStyle name="_Comma_Quarterly Review by Company" xfId="31" xr:uid="{00000000-0005-0000-0000-0000BC000000}"/>
    <cellStyle name="_Comma_RBOC historicals" xfId="623" xr:uid="{00000000-0005-0000-0000-0000BD000000}"/>
    <cellStyle name="_Comma_RBOC historicals 2" xfId="624" xr:uid="{00000000-0005-0000-0000-0000BE000000}"/>
    <cellStyle name="_Comma_RBOC historicals 3" xfId="625" xr:uid="{00000000-0005-0000-0000-0000BF000000}"/>
    <cellStyle name="_Comma_RBOC historicals_AG" xfId="626" xr:uid="{00000000-0005-0000-0000-0000C0000000}"/>
    <cellStyle name="_Comma_RBOC historicals_CNH" xfId="627" xr:uid="{00000000-0005-0000-0000-0000C1000000}"/>
    <cellStyle name="_Comma_RBOC historicals_DOV" xfId="628" xr:uid="{00000000-0005-0000-0000-0000C2000000}"/>
    <cellStyle name="_Comma_RBOC historicals_ETN" xfId="629" xr:uid="{00000000-0005-0000-0000-0000C3000000}"/>
    <cellStyle name="_Comma_RBOC historicals_FSS" xfId="630" xr:uid="{00000000-0005-0000-0000-0000C4000000}"/>
    <cellStyle name="_Comma_RBOC historicals_JOYG" xfId="631" xr:uid="{00000000-0005-0000-0000-0000C5000000}"/>
    <cellStyle name="_Comma_RBOC historicals_MLM" xfId="632" xr:uid="{00000000-0005-0000-0000-0000C6000000}"/>
    <cellStyle name="_Comma_RBOC historicals_NAV" xfId="633" xr:uid="{00000000-0005-0000-0000-0000C7000000}"/>
    <cellStyle name="_Comma_RBOC historicals_OSK" xfId="634" xr:uid="{00000000-0005-0000-0000-0000C8000000}"/>
    <cellStyle name="_Comma_RBOC historicals_PCAR" xfId="635" xr:uid="{00000000-0005-0000-0000-0000C9000000}"/>
    <cellStyle name="_Comma_RBOC historicals_PH" xfId="636" xr:uid="{00000000-0005-0000-0000-0000CA000000}"/>
    <cellStyle name="_Comma_SFG Data File" xfId="32" xr:uid="{00000000-0005-0000-0000-0000CB000000}"/>
    <cellStyle name="_Comma_Sheet1" xfId="33" xr:uid="{00000000-0005-0000-0000-0000CC000000}"/>
    <cellStyle name="_Comma_Sheet1 2" xfId="3287" xr:uid="{00000000-0005-0000-0000-0000CD000000}"/>
    <cellStyle name="_Comma_Sheet1 3" xfId="3120" xr:uid="{00000000-0005-0000-0000-0000CE000000}"/>
    <cellStyle name="_Comma_Sheet1 4" xfId="637" xr:uid="{00000000-0005-0000-0000-0000CF000000}"/>
    <cellStyle name="_Comma_SOP" xfId="638" xr:uid="{00000000-0005-0000-0000-0000D0000000}"/>
    <cellStyle name="_Comma_SRE" xfId="639" xr:uid="{00000000-0005-0000-0000-0000D1000000}"/>
    <cellStyle name="_Comma_SRE Working" xfId="640" xr:uid="{00000000-0005-0000-0000-0000D2000000}"/>
    <cellStyle name="_Comma_Stock-QTR1 FDS" xfId="34" xr:uid="{00000000-0005-0000-0000-0000D3000000}"/>
    <cellStyle name="_Comma_T - new" xfId="641" xr:uid="{00000000-0005-0000-0000-0000D4000000}"/>
    <cellStyle name="_Comma_T - new 2" xfId="642" xr:uid="{00000000-0005-0000-0000-0000D5000000}"/>
    <cellStyle name="_Comma_T - new 3" xfId="643" xr:uid="{00000000-0005-0000-0000-0000D6000000}"/>
    <cellStyle name="_Comma_T - new_AG" xfId="644" xr:uid="{00000000-0005-0000-0000-0000D7000000}"/>
    <cellStyle name="_Comma_T - new_CNH" xfId="645" xr:uid="{00000000-0005-0000-0000-0000D8000000}"/>
    <cellStyle name="_Comma_T - new_DOV" xfId="646" xr:uid="{00000000-0005-0000-0000-0000D9000000}"/>
    <cellStyle name="_Comma_T - new_ETN" xfId="647" xr:uid="{00000000-0005-0000-0000-0000DA000000}"/>
    <cellStyle name="_Comma_T - new_FSS" xfId="648" xr:uid="{00000000-0005-0000-0000-0000DB000000}"/>
    <cellStyle name="_Comma_T - new_JOYG" xfId="649" xr:uid="{00000000-0005-0000-0000-0000DC000000}"/>
    <cellStyle name="_Comma_T - new_MLM" xfId="650" xr:uid="{00000000-0005-0000-0000-0000DD000000}"/>
    <cellStyle name="_Comma_T - new_NAV" xfId="651" xr:uid="{00000000-0005-0000-0000-0000DE000000}"/>
    <cellStyle name="_Comma_T - new_OSK" xfId="652" xr:uid="{00000000-0005-0000-0000-0000DF000000}"/>
    <cellStyle name="_Comma_T - new_PCAR" xfId="653" xr:uid="{00000000-0005-0000-0000-0000E0000000}"/>
    <cellStyle name="_Comma_T - new_PH" xfId="654" xr:uid="{00000000-0005-0000-0000-0000E1000000}"/>
    <cellStyle name="_Comma_Updated Valuation Changes" xfId="35" xr:uid="{00000000-0005-0000-0000-0000E2000000}"/>
    <cellStyle name="_Comma_Val Sheets" xfId="655" xr:uid="{00000000-0005-0000-0000-0000E3000000}"/>
    <cellStyle name="_Comma_Valuation Graphs" xfId="36" xr:uid="{00000000-0005-0000-0000-0000E4000000}"/>
    <cellStyle name="_Comma_xratio - historical mkt val" xfId="37" xr:uid="{00000000-0005-0000-0000-0000E5000000}"/>
    <cellStyle name="_Commtech" xfId="656" xr:uid="{00000000-0005-0000-0000-0000E6000000}"/>
    <cellStyle name="_Currency" xfId="38" xr:uid="{00000000-0005-0000-0000-0000E7000000}"/>
    <cellStyle name="_Currency 2" xfId="423" xr:uid="{00000000-0005-0000-0000-0000E8000000}"/>
    <cellStyle name="_Currency 2 2" xfId="3112" xr:uid="{00000000-0005-0000-0000-0000E9000000}"/>
    <cellStyle name="_Currency 2 3" xfId="658" xr:uid="{00000000-0005-0000-0000-0000EA000000}"/>
    <cellStyle name="_Currency 3" xfId="424" xr:uid="{00000000-0005-0000-0000-0000EB000000}"/>
    <cellStyle name="_Currency 3 2" xfId="3113" xr:uid="{00000000-0005-0000-0000-0000EC000000}"/>
    <cellStyle name="_Currency 3 3" xfId="659" xr:uid="{00000000-0005-0000-0000-0000ED000000}"/>
    <cellStyle name="_Currency 4" xfId="425" xr:uid="{00000000-0005-0000-0000-0000EE000000}"/>
    <cellStyle name="_Currency 5" xfId="3111" xr:uid="{00000000-0005-0000-0000-0000EF000000}"/>
    <cellStyle name="_Currency 6" xfId="657" xr:uid="{00000000-0005-0000-0000-0000F0000000}"/>
    <cellStyle name="_Currency 7" xfId="422" xr:uid="{00000000-0005-0000-0000-0000F1000000}"/>
    <cellStyle name="_Currency_01 adj for merger plan" xfId="39" xr:uid="{00000000-0005-0000-0000-0000F2000000}"/>
    <cellStyle name="_Currency_Ability to Pay Analysis" xfId="40" xr:uid="{00000000-0005-0000-0000-0000F3000000}"/>
    <cellStyle name="_Currency_AFL" xfId="41" xr:uid="{00000000-0005-0000-0000-0000F4000000}"/>
    <cellStyle name="_Currency_AG" xfId="660" xr:uid="{00000000-0005-0000-0000-0000F5000000}"/>
    <cellStyle name="_Currency_AIZ" xfId="42" xr:uid="{00000000-0005-0000-0000-0000F6000000}"/>
    <cellStyle name="_Currency_AMP" xfId="43" xr:uid="{00000000-0005-0000-0000-0000F7000000}"/>
    <cellStyle name="_Currency_AT" xfId="661" xr:uid="{00000000-0005-0000-0000-0000F8000000}"/>
    <cellStyle name="_Currency_AT 2" xfId="662" xr:uid="{00000000-0005-0000-0000-0000F9000000}"/>
    <cellStyle name="_Currency_AT 3" xfId="663" xr:uid="{00000000-0005-0000-0000-0000FA000000}"/>
    <cellStyle name="_Currency_AT_AG" xfId="664" xr:uid="{00000000-0005-0000-0000-0000FB000000}"/>
    <cellStyle name="_Currency_AT_CNH" xfId="665" xr:uid="{00000000-0005-0000-0000-0000FC000000}"/>
    <cellStyle name="_Currency_AT_DOV" xfId="666" xr:uid="{00000000-0005-0000-0000-0000FD000000}"/>
    <cellStyle name="_Currency_AT_ETN" xfId="667" xr:uid="{00000000-0005-0000-0000-0000FE000000}"/>
    <cellStyle name="_Currency_AT_FSS" xfId="668" xr:uid="{00000000-0005-0000-0000-0000FF000000}"/>
    <cellStyle name="_Currency_AT_JOYG" xfId="669" xr:uid="{00000000-0005-0000-0000-000000010000}"/>
    <cellStyle name="_Currency_AT_MLM" xfId="670" xr:uid="{00000000-0005-0000-0000-000001010000}"/>
    <cellStyle name="_Currency_AT_NAV" xfId="671" xr:uid="{00000000-0005-0000-0000-000002010000}"/>
    <cellStyle name="_Currency_AT_OSK" xfId="672" xr:uid="{00000000-0005-0000-0000-000003010000}"/>
    <cellStyle name="_Currency_AT_PCAR" xfId="673" xr:uid="{00000000-0005-0000-0000-000004010000}"/>
    <cellStyle name="_Currency_AT_PH" xfId="674" xr:uid="{00000000-0005-0000-0000-000005010000}"/>
    <cellStyle name="_Currency_AWE" xfId="675" xr:uid="{00000000-0005-0000-0000-000006010000}"/>
    <cellStyle name="_Currency_AWE 2" xfId="676" xr:uid="{00000000-0005-0000-0000-000007010000}"/>
    <cellStyle name="_Currency_AWE 3" xfId="677" xr:uid="{00000000-0005-0000-0000-000008010000}"/>
    <cellStyle name="_Currency_AWE_AG" xfId="678" xr:uid="{00000000-0005-0000-0000-000009010000}"/>
    <cellStyle name="_Currency_AWE_CNH" xfId="679" xr:uid="{00000000-0005-0000-0000-00000A010000}"/>
    <cellStyle name="_Currency_AWE_DOV" xfId="680" xr:uid="{00000000-0005-0000-0000-00000B010000}"/>
    <cellStyle name="_Currency_AWE_ETN" xfId="681" xr:uid="{00000000-0005-0000-0000-00000C010000}"/>
    <cellStyle name="_Currency_AWE_FSS" xfId="682" xr:uid="{00000000-0005-0000-0000-00000D010000}"/>
    <cellStyle name="_Currency_AWE_JOYG" xfId="683" xr:uid="{00000000-0005-0000-0000-00000E010000}"/>
    <cellStyle name="_Currency_AWE_MLM" xfId="684" xr:uid="{00000000-0005-0000-0000-00000F010000}"/>
    <cellStyle name="_Currency_AWE_NAV" xfId="685" xr:uid="{00000000-0005-0000-0000-000010010000}"/>
    <cellStyle name="_Currency_AWE_OSK" xfId="686" xr:uid="{00000000-0005-0000-0000-000011010000}"/>
    <cellStyle name="_Currency_AWE_PCAR" xfId="687" xr:uid="{00000000-0005-0000-0000-000012010000}"/>
    <cellStyle name="_Currency_AWE_PH" xfId="688" xr:uid="{00000000-0005-0000-0000-000013010000}"/>
    <cellStyle name="_Currency_Balance Sheet" xfId="44" xr:uid="{00000000-0005-0000-0000-000014010000}"/>
    <cellStyle name="_Currency_BHI" xfId="689" xr:uid="{00000000-0005-0000-0000-000015010000}"/>
    <cellStyle name="_Currency_BHI 2" xfId="690" xr:uid="{00000000-0005-0000-0000-000016010000}"/>
    <cellStyle name="_Currency_BHI 3" xfId="691" xr:uid="{00000000-0005-0000-0000-000017010000}"/>
    <cellStyle name="_Currency_BHI_AG" xfId="692" xr:uid="{00000000-0005-0000-0000-000018010000}"/>
    <cellStyle name="_Currency_BHI_CNH" xfId="693" xr:uid="{00000000-0005-0000-0000-000019010000}"/>
    <cellStyle name="_Currency_BHI_DOV" xfId="694" xr:uid="{00000000-0005-0000-0000-00001A010000}"/>
    <cellStyle name="_Currency_BHI_ETN" xfId="695" xr:uid="{00000000-0005-0000-0000-00001B010000}"/>
    <cellStyle name="_Currency_BHI_FSS" xfId="696" xr:uid="{00000000-0005-0000-0000-00001C010000}"/>
    <cellStyle name="_Currency_BHI_JOYG" xfId="697" xr:uid="{00000000-0005-0000-0000-00001D010000}"/>
    <cellStyle name="_Currency_BHI_MLM" xfId="698" xr:uid="{00000000-0005-0000-0000-00001E010000}"/>
    <cellStyle name="_Currency_BHI_NAV" xfId="699" xr:uid="{00000000-0005-0000-0000-00001F010000}"/>
    <cellStyle name="_Currency_BHI_OSK" xfId="700" xr:uid="{00000000-0005-0000-0000-000020010000}"/>
    <cellStyle name="_Currency_BHI_PCAR" xfId="701" xr:uid="{00000000-0005-0000-0000-000021010000}"/>
    <cellStyle name="_Currency_BHI_PH" xfId="702" xr:uid="{00000000-0005-0000-0000-000022010000}"/>
    <cellStyle name="_Currency_BLS" xfId="703" xr:uid="{00000000-0005-0000-0000-000023010000}"/>
    <cellStyle name="_Currency_BLS 2" xfId="704" xr:uid="{00000000-0005-0000-0000-000024010000}"/>
    <cellStyle name="_Currency_BLS 3" xfId="705" xr:uid="{00000000-0005-0000-0000-000025010000}"/>
    <cellStyle name="_Currency_bls roic" xfId="706" xr:uid="{00000000-0005-0000-0000-000026010000}"/>
    <cellStyle name="_Currency_bls roic 2" xfId="707" xr:uid="{00000000-0005-0000-0000-000027010000}"/>
    <cellStyle name="_Currency_bls roic 3" xfId="708" xr:uid="{00000000-0005-0000-0000-000028010000}"/>
    <cellStyle name="_Currency_bls roic_AG" xfId="709" xr:uid="{00000000-0005-0000-0000-000029010000}"/>
    <cellStyle name="_Currency_bls roic_CNH" xfId="710" xr:uid="{00000000-0005-0000-0000-00002A010000}"/>
    <cellStyle name="_Currency_bls roic_DOV" xfId="711" xr:uid="{00000000-0005-0000-0000-00002B010000}"/>
    <cellStyle name="_Currency_bls roic_ETN" xfId="712" xr:uid="{00000000-0005-0000-0000-00002C010000}"/>
    <cellStyle name="_Currency_bls roic_FSS" xfId="713" xr:uid="{00000000-0005-0000-0000-00002D010000}"/>
    <cellStyle name="_Currency_bls roic_JOYG" xfId="714" xr:uid="{00000000-0005-0000-0000-00002E010000}"/>
    <cellStyle name="_Currency_bls roic_MLM" xfId="715" xr:uid="{00000000-0005-0000-0000-00002F010000}"/>
    <cellStyle name="_Currency_bls roic_NAV" xfId="716" xr:uid="{00000000-0005-0000-0000-000030010000}"/>
    <cellStyle name="_Currency_bls roic_OSK" xfId="717" xr:uid="{00000000-0005-0000-0000-000031010000}"/>
    <cellStyle name="_Currency_bls roic_PCAR" xfId="718" xr:uid="{00000000-0005-0000-0000-000032010000}"/>
    <cellStyle name="_Currency_bls roic_PH" xfId="719" xr:uid="{00000000-0005-0000-0000-000033010000}"/>
    <cellStyle name="_Currency_BLS_AG" xfId="720" xr:uid="{00000000-0005-0000-0000-000034010000}"/>
    <cellStyle name="_Currency_BLS_CNH" xfId="721" xr:uid="{00000000-0005-0000-0000-000035010000}"/>
    <cellStyle name="_Currency_BLS_DOV" xfId="722" xr:uid="{00000000-0005-0000-0000-000036010000}"/>
    <cellStyle name="_Currency_BLS_ETN" xfId="723" xr:uid="{00000000-0005-0000-0000-000037010000}"/>
    <cellStyle name="_Currency_BLS_FSS" xfId="724" xr:uid="{00000000-0005-0000-0000-000038010000}"/>
    <cellStyle name="_Currency_BLS_JOYG" xfId="725" xr:uid="{00000000-0005-0000-0000-000039010000}"/>
    <cellStyle name="_Currency_BLS_MLM" xfId="726" xr:uid="{00000000-0005-0000-0000-00003A010000}"/>
    <cellStyle name="_Currency_BLS_NAV" xfId="727" xr:uid="{00000000-0005-0000-0000-00003B010000}"/>
    <cellStyle name="_Currency_BLS_OSK" xfId="728" xr:uid="{00000000-0005-0000-0000-00003C010000}"/>
    <cellStyle name="_Currency_BLS_PCAR" xfId="729" xr:uid="{00000000-0005-0000-0000-00003D010000}"/>
    <cellStyle name="_Currency_BLS_PH" xfId="730" xr:uid="{00000000-0005-0000-0000-00003E010000}"/>
    <cellStyle name="_Currency_Book1" xfId="45" xr:uid="{00000000-0005-0000-0000-00003F010000}"/>
    <cellStyle name="_Currency_Book2" xfId="731" xr:uid="{00000000-0005-0000-0000-000040010000}"/>
    <cellStyle name="_Currency_Book2 2" xfId="732" xr:uid="{00000000-0005-0000-0000-000041010000}"/>
    <cellStyle name="_Currency_Book2 3" xfId="733" xr:uid="{00000000-0005-0000-0000-000042010000}"/>
    <cellStyle name="_Currency_Book2_AG" xfId="734" xr:uid="{00000000-0005-0000-0000-000043010000}"/>
    <cellStyle name="_Currency_Book2_CNH" xfId="735" xr:uid="{00000000-0005-0000-0000-000044010000}"/>
    <cellStyle name="_Currency_Book2_DOV" xfId="736" xr:uid="{00000000-0005-0000-0000-000045010000}"/>
    <cellStyle name="_Currency_Book2_ETN" xfId="737" xr:uid="{00000000-0005-0000-0000-000046010000}"/>
    <cellStyle name="_Currency_Book2_FSS" xfId="738" xr:uid="{00000000-0005-0000-0000-000047010000}"/>
    <cellStyle name="_Currency_Book2_JOYG" xfId="739" xr:uid="{00000000-0005-0000-0000-000048010000}"/>
    <cellStyle name="_Currency_Book2_MLM" xfId="740" xr:uid="{00000000-0005-0000-0000-000049010000}"/>
    <cellStyle name="_Currency_Book2_NAV" xfId="741" xr:uid="{00000000-0005-0000-0000-00004A010000}"/>
    <cellStyle name="_Currency_Book2_OSK" xfId="742" xr:uid="{00000000-0005-0000-0000-00004B010000}"/>
    <cellStyle name="_Currency_Book2_PCAR" xfId="743" xr:uid="{00000000-0005-0000-0000-00004C010000}"/>
    <cellStyle name="_Currency_Book2_PH" xfId="744" xr:uid="{00000000-0005-0000-0000-00004D010000}"/>
    <cellStyle name="_Currency_Book29" xfId="46" xr:uid="{00000000-0005-0000-0000-00004E010000}"/>
    <cellStyle name="_Currency_Book3" xfId="47" xr:uid="{00000000-0005-0000-0000-00004F010000}"/>
    <cellStyle name="_Currency_Book3 2" xfId="3288" xr:uid="{00000000-0005-0000-0000-000050010000}"/>
    <cellStyle name="_Currency_Book3 3" xfId="552" xr:uid="{00000000-0005-0000-0000-000051010000}"/>
    <cellStyle name="_Currency_Book3 4" xfId="745" xr:uid="{00000000-0005-0000-0000-000052010000}"/>
    <cellStyle name="_Currency_Book3_1" xfId="48" xr:uid="{00000000-0005-0000-0000-000053010000}"/>
    <cellStyle name="_Currency_Book32" xfId="746" xr:uid="{00000000-0005-0000-0000-000054010000}"/>
    <cellStyle name="_Currency_Book32 2" xfId="747" xr:uid="{00000000-0005-0000-0000-000055010000}"/>
    <cellStyle name="_Currency_Book32 3" xfId="748" xr:uid="{00000000-0005-0000-0000-000056010000}"/>
    <cellStyle name="_Currency_Book32_AG" xfId="749" xr:uid="{00000000-0005-0000-0000-000057010000}"/>
    <cellStyle name="_Currency_Book32_CNH" xfId="750" xr:uid="{00000000-0005-0000-0000-000058010000}"/>
    <cellStyle name="_Currency_Book32_DOV" xfId="751" xr:uid="{00000000-0005-0000-0000-000059010000}"/>
    <cellStyle name="_Currency_Book32_ETN" xfId="752" xr:uid="{00000000-0005-0000-0000-00005A010000}"/>
    <cellStyle name="_Currency_Book32_FSS" xfId="753" xr:uid="{00000000-0005-0000-0000-00005B010000}"/>
    <cellStyle name="_Currency_Book32_JOYG" xfId="754" xr:uid="{00000000-0005-0000-0000-00005C010000}"/>
    <cellStyle name="_Currency_Book32_MLM" xfId="755" xr:uid="{00000000-0005-0000-0000-00005D010000}"/>
    <cellStyle name="_Currency_Book32_NAV" xfId="756" xr:uid="{00000000-0005-0000-0000-00005E010000}"/>
    <cellStyle name="_Currency_Book32_OSK" xfId="757" xr:uid="{00000000-0005-0000-0000-00005F010000}"/>
    <cellStyle name="_Currency_Book32_PCAR" xfId="758" xr:uid="{00000000-0005-0000-0000-000060010000}"/>
    <cellStyle name="_Currency_Book32_PH" xfId="759" xr:uid="{00000000-0005-0000-0000-000061010000}"/>
    <cellStyle name="_Currency_Broadcasting" xfId="760" xr:uid="{00000000-0005-0000-0000-000062010000}"/>
    <cellStyle name="_Currency_capital expenditures 6-18-02" xfId="761" xr:uid="{00000000-0005-0000-0000-000063010000}"/>
    <cellStyle name="_Currency_capital expenditures 6-18-02 2" xfId="762" xr:uid="{00000000-0005-0000-0000-000064010000}"/>
    <cellStyle name="_Currency_capital expenditures 6-18-02 3" xfId="763" xr:uid="{00000000-0005-0000-0000-000065010000}"/>
    <cellStyle name="_Currency_capital expenditures 6-18-02_AG" xfId="764" xr:uid="{00000000-0005-0000-0000-000066010000}"/>
    <cellStyle name="_Currency_capital expenditures 6-18-02_CNH" xfId="765" xr:uid="{00000000-0005-0000-0000-000067010000}"/>
    <cellStyle name="_Currency_capital expenditures 6-18-02_DOV" xfId="766" xr:uid="{00000000-0005-0000-0000-000068010000}"/>
    <cellStyle name="_Currency_capital expenditures 6-18-02_ETN" xfId="767" xr:uid="{00000000-0005-0000-0000-000069010000}"/>
    <cellStyle name="_Currency_capital expenditures 6-18-02_FSS" xfId="768" xr:uid="{00000000-0005-0000-0000-00006A010000}"/>
    <cellStyle name="_Currency_capital expenditures 6-18-02_JOYG" xfId="769" xr:uid="{00000000-0005-0000-0000-00006B010000}"/>
    <cellStyle name="_Currency_capital expenditures 6-18-02_MLM" xfId="770" xr:uid="{00000000-0005-0000-0000-00006C010000}"/>
    <cellStyle name="_Currency_capital expenditures 6-18-02_NAV" xfId="771" xr:uid="{00000000-0005-0000-0000-00006D010000}"/>
    <cellStyle name="_Currency_capital expenditures 6-18-02_OSK" xfId="772" xr:uid="{00000000-0005-0000-0000-00006E010000}"/>
    <cellStyle name="_Currency_capital expenditures 6-18-02_PCAR" xfId="773" xr:uid="{00000000-0005-0000-0000-00006F010000}"/>
    <cellStyle name="_Currency_capital expenditures 6-18-02_PH" xfId="774" xr:uid="{00000000-0005-0000-0000-000070010000}"/>
    <cellStyle name="_Currency_Cingular" xfId="775" xr:uid="{00000000-0005-0000-0000-000071010000}"/>
    <cellStyle name="_Currency_Cingular 2" xfId="776" xr:uid="{00000000-0005-0000-0000-000072010000}"/>
    <cellStyle name="_Currency_Cingular 3" xfId="777" xr:uid="{00000000-0005-0000-0000-000073010000}"/>
    <cellStyle name="_Currency_Cingular_AG" xfId="778" xr:uid="{00000000-0005-0000-0000-000074010000}"/>
    <cellStyle name="_Currency_Cingular_CNH" xfId="779" xr:uid="{00000000-0005-0000-0000-000075010000}"/>
    <cellStyle name="_Currency_Cingular_DOV" xfId="780" xr:uid="{00000000-0005-0000-0000-000076010000}"/>
    <cellStyle name="_Currency_Cingular_ETN" xfId="781" xr:uid="{00000000-0005-0000-0000-000077010000}"/>
    <cellStyle name="_Currency_Cingular_FSS" xfId="782" xr:uid="{00000000-0005-0000-0000-000078010000}"/>
    <cellStyle name="_Currency_Cingular_JOYG" xfId="783" xr:uid="{00000000-0005-0000-0000-000079010000}"/>
    <cellStyle name="_Currency_Cingular_MLM" xfId="784" xr:uid="{00000000-0005-0000-0000-00007A010000}"/>
    <cellStyle name="_Currency_Cingular_NAV" xfId="785" xr:uid="{00000000-0005-0000-0000-00007B010000}"/>
    <cellStyle name="_Currency_Cingular_OSK" xfId="786" xr:uid="{00000000-0005-0000-0000-00007C010000}"/>
    <cellStyle name="_Currency_Cingular_PCAR" xfId="787" xr:uid="{00000000-0005-0000-0000-00007D010000}"/>
    <cellStyle name="_Currency_Cingular_PH" xfId="788" xr:uid="{00000000-0005-0000-0000-00007E010000}"/>
    <cellStyle name="_Currency_CNH" xfId="789" xr:uid="{00000000-0005-0000-0000-00007F010000}"/>
    <cellStyle name="_Currency_CNO" xfId="49" xr:uid="{00000000-0005-0000-0000-000080010000}"/>
    <cellStyle name="_Currency_Commtech" xfId="790" xr:uid="{00000000-0005-0000-0000-000081010000}"/>
    <cellStyle name="_Currency_CRO 3Q group metrics 12-22-03 for reports" xfId="791" xr:uid="{00000000-0005-0000-0000-000082010000}"/>
    <cellStyle name="_Currency_CRO comp metrics 4Q03 2-18-04 send out" xfId="792" xr:uid="{00000000-0005-0000-0000-000083010000}"/>
    <cellStyle name="_Currency_Data" xfId="793" xr:uid="{00000000-0005-0000-0000-000084010000}"/>
    <cellStyle name="_Currency_DCF Alexander Forbes" xfId="50" xr:uid="{00000000-0005-0000-0000-000085010000}"/>
    <cellStyle name="_Currency_dcf_1" xfId="794" xr:uid="{00000000-0005-0000-0000-000086010000}"/>
    <cellStyle name="_Currency_DOV" xfId="795" xr:uid="{00000000-0005-0000-0000-000087010000}"/>
    <cellStyle name="_Currency_DUK" xfId="796" xr:uid="{00000000-0005-0000-0000-000088010000}"/>
    <cellStyle name="_Currency_ED 2005.08.01" xfId="797" xr:uid="{00000000-0005-0000-0000-000089010000}"/>
    <cellStyle name="_Currency_ETN" xfId="798" xr:uid="{00000000-0005-0000-0000-00008A010000}"/>
    <cellStyle name="_Currency_fmbi counties" xfId="51" xr:uid="{00000000-0005-0000-0000-00008B010000}"/>
    <cellStyle name="_Currency_FMBI MBHI Graphs" xfId="52" xr:uid="{00000000-0005-0000-0000-00008C010000}"/>
    <cellStyle name="_Currency_FMBI MBHI Graphs 07102001" xfId="53" xr:uid="{00000000-0005-0000-0000-00008D010000}"/>
    <cellStyle name="_Currency_FMBI MBHI Graphs_7601" xfId="54" xr:uid="{00000000-0005-0000-0000-00008E010000}"/>
    <cellStyle name="_Currency_FON" xfId="799" xr:uid="{00000000-0005-0000-0000-00008F010000}"/>
    <cellStyle name="_Currency_FON 2" xfId="800" xr:uid="{00000000-0005-0000-0000-000090010000}"/>
    <cellStyle name="_Currency_FON 3" xfId="801" xr:uid="{00000000-0005-0000-0000-000091010000}"/>
    <cellStyle name="_Currency_FON_AG" xfId="802" xr:uid="{00000000-0005-0000-0000-000092010000}"/>
    <cellStyle name="_Currency_FON_CNH" xfId="803" xr:uid="{00000000-0005-0000-0000-000093010000}"/>
    <cellStyle name="_Currency_FON_DOV" xfId="804" xr:uid="{00000000-0005-0000-0000-000094010000}"/>
    <cellStyle name="_Currency_FON_ETN" xfId="805" xr:uid="{00000000-0005-0000-0000-000095010000}"/>
    <cellStyle name="_Currency_FON_FSS" xfId="806" xr:uid="{00000000-0005-0000-0000-000096010000}"/>
    <cellStyle name="_Currency_FON_JOYG" xfId="807" xr:uid="{00000000-0005-0000-0000-000097010000}"/>
    <cellStyle name="_Currency_FON_MLM" xfId="808" xr:uid="{00000000-0005-0000-0000-000098010000}"/>
    <cellStyle name="_Currency_FON_NAV" xfId="809" xr:uid="{00000000-0005-0000-0000-000099010000}"/>
    <cellStyle name="_Currency_FON_OSK" xfId="810" xr:uid="{00000000-0005-0000-0000-00009A010000}"/>
    <cellStyle name="_Currency_FON_PCAR" xfId="811" xr:uid="{00000000-0005-0000-0000-00009B010000}"/>
    <cellStyle name="_Currency_FON_PH" xfId="812" xr:uid="{00000000-0005-0000-0000-00009C010000}"/>
    <cellStyle name="_Currency_FSS" xfId="813" xr:uid="{00000000-0005-0000-0000-00009D010000}"/>
    <cellStyle name="_Currency_GNW" xfId="55" xr:uid="{00000000-0005-0000-0000-00009E010000}"/>
    <cellStyle name="_Currency_GS_Brant_CSCO_mod (Working)" xfId="814" xr:uid="{00000000-0005-0000-0000-00009F010000}"/>
    <cellStyle name="_Currency_GS_BRANT_MOTMOD" xfId="815" xr:uid="{00000000-0005-0000-0000-0000A0010000}"/>
    <cellStyle name="_Currency_gs_scur_internal " xfId="816" xr:uid="{00000000-0005-0000-0000-0000A1010000}"/>
    <cellStyle name="_Currency_gs_scur_internal  2" xfId="817" xr:uid="{00000000-0005-0000-0000-0000A2010000}"/>
    <cellStyle name="_Currency_Hist Summary" xfId="818" xr:uid="{00000000-0005-0000-0000-0000A3010000}"/>
    <cellStyle name="_Currency_Insurance Brokerage CSC_1Q2002" xfId="56" xr:uid="{00000000-0005-0000-0000-0000A4010000}"/>
    <cellStyle name="_Currency_JOYG" xfId="819" xr:uid="{00000000-0005-0000-0000-0000A5010000}"/>
    <cellStyle name="_Currency_JP" xfId="57" xr:uid="{00000000-0005-0000-0000-0000A6010000}"/>
    <cellStyle name="_Currency_Kent" xfId="820" xr:uid="{00000000-0005-0000-0000-0000A7010000}"/>
    <cellStyle name="_Currency_LNC" xfId="58" xr:uid="{00000000-0005-0000-0000-0000A8010000}"/>
    <cellStyle name="_Currency_Machinery group valuation" xfId="821" xr:uid="{00000000-0005-0000-0000-0000A9010000}"/>
    <cellStyle name="_Currency_MET" xfId="59" xr:uid="{00000000-0005-0000-0000-0000AA010000}"/>
    <cellStyle name="_Currency_MET04" xfId="60" xr:uid="{00000000-0005-0000-0000-0000AB010000}"/>
    <cellStyle name="_Currency_MHS" xfId="822" xr:uid="{00000000-0005-0000-0000-0000AC010000}"/>
    <cellStyle name="_Currency_MLM" xfId="823" xr:uid="{00000000-0005-0000-0000-0000AD010000}"/>
    <cellStyle name="_Currency_MLP Val-Client-10_02_06" xfId="824" xr:uid="{00000000-0005-0000-0000-0000AE010000}"/>
    <cellStyle name="_Currency_NAV" xfId="825" xr:uid="{00000000-0005-0000-0000-0000AF010000}"/>
    <cellStyle name="_Currency_NFS" xfId="61" xr:uid="{00000000-0005-0000-0000-0000B0010000}"/>
    <cellStyle name="_Currency_NRG 2005.07.22" xfId="826" xr:uid="{00000000-0005-0000-0000-0000B1010000}"/>
    <cellStyle name="_Currency_NXTL" xfId="827" xr:uid="{00000000-0005-0000-0000-0000B2010000}"/>
    <cellStyle name="_Currency_NXTL 2" xfId="828" xr:uid="{00000000-0005-0000-0000-0000B3010000}"/>
    <cellStyle name="_Currency_NXTL 3" xfId="829" xr:uid="{00000000-0005-0000-0000-0000B4010000}"/>
    <cellStyle name="_Currency_NXTL_AG" xfId="830" xr:uid="{00000000-0005-0000-0000-0000B5010000}"/>
    <cellStyle name="_Currency_NXTL_CNH" xfId="831" xr:uid="{00000000-0005-0000-0000-0000B6010000}"/>
    <cellStyle name="_Currency_NXTL_DOV" xfId="832" xr:uid="{00000000-0005-0000-0000-0000B7010000}"/>
    <cellStyle name="_Currency_NXTL_ETN" xfId="833" xr:uid="{00000000-0005-0000-0000-0000B8010000}"/>
    <cellStyle name="_Currency_NXTL_FSS" xfId="834" xr:uid="{00000000-0005-0000-0000-0000B9010000}"/>
    <cellStyle name="_Currency_NXTL_JOYG" xfId="835" xr:uid="{00000000-0005-0000-0000-0000BA010000}"/>
    <cellStyle name="_Currency_NXTL_MLM" xfId="836" xr:uid="{00000000-0005-0000-0000-0000BB010000}"/>
    <cellStyle name="_Currency_NXTL_NAV" xfId="837" xr:uid="{00000000-0005-0000-0000-0000BC010000}"/>
    <cellStyle name="_Currency_NXTL_OSK" xfId="838" xr:uid="{00000000-0005-0000-0000-0000BD010000}"/>
    <cellStyle name="_Currency_NXTL_PCAR" xfId="839" xr:uid="{00000000-0005-0000-0000-0000BE010000}"/>
    <cellStyle name="_Currency_NXTL_PH" xfId="840" xr:uid="{00000000-0005-0000-0000-0000BF010000}"/>
    <cellStyle name="_Currency_OSK" xfId="841" xr:uid="{00000000-0005-0000-0000-0000C0010000}"/>
    <cellStyle name="_Currency_Overview3" xfId="62" xr:uid="{00000000-0005-0000-0000-0000C1010000}"/>
    <cellStyle name="_Currency_PCAR" xfId="842" xr:uid="{00000000-0005-0000-0000-0000C2010000}"/>
    <cellStyle name="_Currency_PCS" xfId="843" xr:uid="{00000000-0005-0000-0000-0000C3010000}"/>
    <cellStyle name="_Currency_PCS 2" xfId="844" xr:uid="{00000000-0005-0000-0000-0000C4010000}"/>
    <cellStyle name="_Currency_PCS 3" xfId="845" xr:uid="{00000000-0005-0000-0000-0000C5010000}"/>
    <cellStyle name="_Currency_PCS_AG" xfId="846" xr:uid="{00000000-0005-0000-0000-0000C6010000}"/>
    <cellStyle name="_Currency_PCS_CNH" xfId="847" xr:uid="{00000000-0005-0000-0000-0000C7010000}"/>
    <cellStyle name="_Currency_PCS_DOV" xfId="848" xr:uid="{00000000-0005-0000-0000-0000C8010000}"/>
    <cellStyle name="_Currency_PCS_ETN" xfId="849" xr:uid="{00000000-0005-0000-0000-0000C9010000}"/>
    <cellStyle name="_Currency_PCS_FSS" xfId="850" xr:uid="{00000000-0005-0000-0000-0000CA010000}"/>
    <cellStyle name="_Currency_PCS_JOYG" xfId="851" xr:uid="{00000000-0005-0000-0000-0000CB010000}"/>
    <cellStyle name="_Currency_PCS_MLM" xfId="852" xr:uid="{00000000-0005-0000-0000-0000CC010000}"/>
    <cellStyle name="_Currency_PCS_NAV" xfId="853" xr:uid="{00000000-0005-0000-0000-0000CD010000}"/>
    <cellStyle name="_Currency_PCS_OSK" xfId="854" xr:uid="{00000000-0005-0000-0000-0000CE010000}"/>
    <cellStyle name="_Currency_PCS_PCAR" xfId="855" xr:uid="{00000000-0005-0000-0000-0000CF010000}"/>
    <cellStyle name="_Currency_PCS_PH" xfId="856" xr:uid="{00000000-0005-0000-0000-0000D0010000}"/>
    <cellStyle name="_Currency_PH" xfId="857" xr:uid="{00000000-0005-0000-0000-0000D1010000}"/>
    <cellStyle name="_Currency_phil data" xfId="63" xr:uid="{00000000-0005-0000-0000-0000D2010000}"/>
    <cellStyle name="_Currency_Price Performance Charts" xfId="64" xr:uid="{00000000-0005-0000-0000-0000D3010000}"/>
    <cellStyle name="_Currency_PRU" xfId="65" xr:uid="{00000000-0005-0000-0000-0000D4010000}"/>
    <cellStyle name="_Currency_PRU04" xfId="66" xr:uid="{00000000-0005-0000-0000-0000D5010000}"/>
    <cellStyle name="_Currency_RBOC historicals" xfId="858" xr:uid="{00000000-0005-0000-0000-0000D6010000}"/>
    <cellStyle name="_Currency_RBOC historicals 2" xfId="859" xr:uid="{00000000-0005-0000-0000-0000D7010000}"/>
    <cellStyle name="_Currency_RBOC historicals 3" xfId="860" xr:uid="{00000000-0005-0000-0000-0000D8010000}"/>
    <cellStyle name="_Currency_RBOC historicals_AG" xfId="861" xr:uid="{00000000-0005-0000-0000-0000D9010000}"/>
    <cellStyle name="_Currency_RBOC historicals_CNH" xfId="862" xr:uid="{00000000-0005-0000-0000-0000DA010000}"/>
    <cellStyle name="_Currency_RBOC historicals_DOV" xfId="863" xr:uid="{00000000-0005-0000-0000-0000DB010000}"/>
    <cellStyle name="_Currency_RBOC historicals_ETN" xfId="864" xr:uid="{00000000-0005-0000-0000-0000DC010000}"/>
    <cellStyle name="_Currency_RBOC historicals_FSS" xfId="865" xr:uid="{00000000-0005-0000-0000-0000DD010000}"/>
    <cellStyle name="_Currency_RBOC historicals_JOYG" xfId="866" xr:uid="{00000000-0005-0000-0000-0000DE010000}"/>
    <cellStyle name="_Currency_RBOC historicals_MLM" xfId="867" xr:uid="{00000000-0005-0000-0000-0000DF010000}"/>
    <cellStyle name="_Currency_RBOC historicals_NAV" xfId="868" xr:uid="{00000000-0005-0000-0000-0000E0010000}"/>
    <cellStyle name="_Currency_RBOC historicals_OSK" xfId="869" xr:uid="{00000000-0005-0000-0000-0000E1010000}"/>
    <cellStyle name="_Currency_RBOC historicals_PCAR" xfId="870" xr:uid="{00000000-0005-0000-0000-0000E2010000}"/>
    <cellStyle name="_Currency_RBOC historicals_PH" xfId="871" xr:uid="{00000000-0005-0000-0000-0000E3010000}"/>
    <cellStyle name="_Currency_RiskReward" xfId="67" xr:uid="{00000000-0005-0000-0000-0000E4010000}"/>
    <cellStyle name="_Currency_SFG" xfId="68" xr:uid="{00000000-0005-0000-0000-0000E5010000}"/>
    <cellStyle name="_Currency_Sheet1" xfId="69" xr:uid="{00000000-0005-0000-0000-0000E6010000}"/>
    <cellStyle name="_Currency_Sheet1 2" xfId="3289" xr:uid="{00000000-0005-0000-0000-0000E7010000}"/>
    <cellStyle name="_Currency_Sheet1 3" xfId="3221" xr:uid="{00000000-0005-0000-0000-0000E8010000}"/>
    <cellStyle name="_Currency_Sheet1 4" xfId="872" xr:uid="{00000000-0005-0000-0000-0000E9010000}"/>
    <cellStyle name="_Currency_SOP" xfId="873" xr:uid="{00000000-0005-0000-0000-0000EA010000}"/>
    <cellStyle name="_Currency_SRE" xfId="874" xr:uid="{00000000-0005-0000-0000-0000EB010000}"/>
    <cellStyle name="_Currency_SRE Working" xfId="875" xr:uid="{00000000-0005-0000-0000-0000EC010000}"/>
    <cellStyle name="_Currency_Stock-QTR1 FDS" xfId="70" xr:uid="{00000000-0005-0000-0000-0000ED010000}"/>
    <cellStyle name="_Currency_symcqtis" xfId="876" xr:uid="{00000000-0005-0000-0000-0000EE010000}"/>
    <cellStyle name="_Currency_T - new" xfId="877" xr:uid="{00000000-0005-0000-0000-0000EF010000}"/>
    <cellStyle name="_Currency_T - new 2" xfId="878" xr:uid="{00000000-0005-0000-0000-0000F0010000}"/>
    <cellStyle name="_Currency_T - new 3" xfId="879" xr:uid="{00000000-0005-0000-0000-0000F1010000}"/>
    <cellStyle name="_Currency_T - new_AG" xfId="880" xr:uid="{00000000-0005-0000-0000-0000F2010000}"/>
    <cellStyle name="_Currency_T - new_CNH" xfId="881" xr:uid="{00000000-0005-0000-0000-0000F3010000}"/>
    <cellStyle name="_Currency_T - new_DOV" xfId="882" xr:uid="{00000000-0005-0000-0000-0000F4010000}"/>
    <cellStyle name="_Currency_T - new_ETN" xfId="883" xr:uid="{00000000-0005-0000-0000-0000F5010000}"/>
    <cellStyle name="_Currency_T - new_FSS" xfId="884" xr:uid="{00000000-0005-0000-0000-0000F6010000}"/>
    <cellStyle name="_Currency_T - new_JOYG" xfId="885" xr:uid="{00000000-0005-0000-0000-0000F7010000}"/>
    <cellStyle name="_Currency_T - new_MLM" xfId="886" xr:uid="{00000000-0005-0000-0000-0000F8010000}"/>
    <cellStyle name="_Currency_T - new_NAV" xfId="887" xr:uid="{00000000-0005-0000-0000-0000F9010000}"/>
    <cellStyle name="_Currency_T - new_OSK" xfId="888" xr:uid="{00000000-0005-0000-0000-0000FA010000}"/>
    <cellStyle name="_Currency_T - new_PCAR" xfId="889" xr:uid="{00000000-0005-0000-0000-0000FB010000}"/>
    <cellStyle name="_Currency_T - new_PH" xfId="890" xr:uid="{00000000-0005-0000-0000-0000FC010000}"/>
    <cellStyle name="_Currency_TMK" xfId="71" xr:uid="{00000000-0005-0000-0000-0000FD010000}"/>
    <cellStyle name="_Currency_Updated Valuation Changes" xfId="72" xr:uid="{00000000-0005-0000-0000-0000FE010000}"/>
    <cellStyle name="_Currency_Val Sheets" xfId="891" xr:uid="{00000000-0005-0000-0000-0000FF010000}"/>
    <cellStyle name="_Currency_Valuation Graphs" xfId="73" xr:uid="{00000000-0005-0000-0000-000000020000}"/>
    <cellStyle name="_Currency_VZ" xfId="892" xr:uid="{00000000-0005-0000-0000-000001020000}"/>
    <cellStyle name="_Currency_VZ 2" xfId="893" xr:uid="{00000000-0005-0000-0000-000002020000}"/>
    <cellStyle name="_Currency_VZ 3" xfId="894" xr:uid="{00000000-0005-0000-0000-000003020000}"/>
    <cellStyle name="_Currency_VZ_AG" xfId="895" xr:uid="{00000000-0005-0000-0000-000004020000}"/>
    <cellStyle name="_Currency_VZ_CNH" xfId="896" xr:uid="{00000000-0005-0000-0000-000005020000}"/>
    <cellStyle name="_Currency_VZ_DOV" xfId="897" xr:uid="{00000000-0005-0000-0000-000006020000}"/>
    <cellStyle name="_Currency_VZ_ETN" xfId="898" xr:uid="{00000000-0005-0000-0000-000007020000}"/>
    <cellStyle name="_Currency_VZ_FSS" xfId="899" xr:uid="{00000000-0005-0000-0000-000008020000}"/>
    <cellStyle name="_Currency_VZ_JOYG" xfId="900" xr:uid="{00000000-0005-0000-0000-000009020000}"/>
    <cellStyle name="_Currency_VZ_MLM" xfId="901" xr:uid="{00000000-0005-0000-0000-00000A020000}"/>
    <cellStyle name="_Currency_VZ_NAV" xfId="902" xr:uid="{00000000-0005-0000-0000-00000B020000}"/>
    <cellStyle name="_Currency_VZ_OSK" xfId="903" xr:uid="{00000000-0005-0000-0000-00000C020000}"/>
    <cellStyle name="_Currency_VZ_PCAR" xfId="904" xr:uid="{00000000-0005-0000-0000-00000D020000}"/>
    <cellStyle name="_Currency_VZ_PH" xfId="905" xr:uid="{00000000-0005-0000-0000-00000E020000}"/>
    <cellStyle name="_Currency_VZW" xfId="906" xr:uid="{00000000-0005-0000-0000-00000F020000}"/>
    <cellStyle name="_Currency_VZW 2" xfId="907" xr:uid="{00000000-0005-0000-0000-000010020000}"/>
    <cellStyle name="_Currency_VZW 3" xfId="908" xr:uid="{00000000-0005-0000-0000-000011020000}"/>
    <cellStyle name="_Currency_VZW_AG" xfId="909" xr:uid="{00000000-0005-0000-0000-000012020000}"/>
    <cellStyle name="_Currency_VZW_CNH" xfId="910" xr:uid="{00000000-0005-0000-0000-000013020000}"/>
    <cellStyle name="_Currency_VZW_DOV" xfId="911" xr:uid="{00000000-0005-0000-0000-000014020000}"/>
    <cellStyle name="_Currency_VZW_ETN" xfId="912" xr:uid="{00000000-0005-0000-0000-000015020000}"/>
    <cellStyle name="_Currency_VZW_FSS" xfId="913" xr:uid="{00000000-0005-0000-0000-000016020000}"/>
    <cellStyle name="_Currency_VZW_JOYG" xfId="914" xr:uid="{00000000-0005-0000-0000-000017020000}"/>
    <cellStyle name="_Currency_VZW_MLM" xfId="915" xr:uid="{00000000-0005-0000-0000-000018020000}"/>
    <cellStyle name="_Currency_VZW_NAV" xfId="916" xr:uid="{00000000-0005-0000-0000-000019020000}"/>
    <cellStyle name="_Currency_VZW_OSK" xfId="917" xr:uid="{00000000-0005-0000-0000-00001A020000}"/>
    <cellStyle name="_Currency_VZW_PCAR" xfId="918" xr:uid="{00000000-0005-0000-0000-00001B020000}"/>
    <cellStyle name="_Currency_VZW_PH" xfId="919" xr:uid="{00000000-0005-0000-0000-00001C020000}"/>
    <cellStyle name="_Currency_WFT published 1-30-07 Client version (2)" xfId="920" xr:uid="{00000000-0005-0000-0000-00001D020000}"/>
    <cellStyle name="_Currency_WFT published 1-30-07 Client version (2) 2" xfId="921" xr:uid="{00000000-0005-0000-0000-00001E020000}"/>
    <cellStyle name="_Currency_xratio - historical mkt val" xfId="74" xr:uid="{00000000-0005-0000-0000-00001F020000}"/>
    <cellStyle name="_CurrencySpace" xfId="75" xr:uid="{00000000-0005-0000-0000-000020020000}"/>
    <cellStyle name="_CurrencySpace 2" xfId="427" xr:uid="{00000000-0005-0000-0000-000021020000}"/>
    <cellStyle name="_CurrencySpace 2 2" xfId="3115" xr:uid="{00000000-0005-0000-0000-000022020000}"/>
    <cellStyle name="_CurrencySpace 2 3" xfId="923" xr:uid="{00000000-0005-0000-0000-000023020000}"/>
    <cellStyle name="_CurrencySpace 3" xfId="428" xr:uid="{00000000-0005-0000-0000-000024020000}"/>
    <cellStyle name="_CurrencySpace 4" xfId="429" xr:uid="{00000000-0005-0000-0000-000025020000}"/>
    <cellStyle name="_CurrencySpace 5" xfId="3114" xr:uid="{00000000-0005-0000-0000-000026020000}"/>
    <cellStyle name="_CurrencySpace 6" xfId="922" xr:uid="{00000000-0005-0000-0000-000027020000}"/>
    <cellStyle name="_CurrencySpace 7" xfId="426" xr:uid="{00000000-0005-0000-0000-000028020000}"/>
    <cellStyle name="_CurrencySpace_01 adj for merger plan" xfId="76" xr:uid="{00000000-0005-0000-0000-000029020000}"/>
    <cellStyle name="_CurrencySpace_Ability to Pay Analysis" xfId="77" xr:uid="{00000000-0005-0000-0000-00002A020000}"/>
    <cellStyle name="_CurrencySpace_AFL" xfId="78" xr:uid="{00000000-0005-0000-0000-00002B020000}"/>
    <cellStyle name="_CurrencySpace_AIZ" xfId="79" xr:uid="{00000000-0005-0000-0000-00002C020000}"/>
    <cellStyle name="_CurrencySpace_AMP" xfId="80" xr:uid="{00000000-0005-0000-0000-00002D020000}"/>
    <cellStyle name="_CurrencySpace_Balance Sheet" xfId="81" xr:uid="{00000000-0005-0000-0000-00002E020000}"/>
    <cellStyle name="_CurrencySpace_BHI" xfId="924" xr:uid="{00000000-0005-0000-0000-00002F020000}"/>
    <cellStyle name="_CurrencySpace_BHI 2" xfId="925" xr:uid="{00000000-0005-0000-0000-000030020000}"/>
    <cellStyle name="_CurrencySpace_BHI 3" xfId="926" xr:uid="{00000000-0005-0000-0000-000031020000}"/>
    <cellStyle name="_CurrencySpace_BHI_AG" xfId="927" xr:uid="{00000000-0005-0000-0000-000032020000}"/>
    <cellStyle name="_CurrencySpace_BHI_CNH" xfId="928" xr:uid="{00000000-0005-0000-0000-000033020000}"/>
    <cellStyle name="_CurrencySpace_BHI_DOV" xfId="929" xr:uid="{00000000-0005-0000-0000-000034020000}"/>
    <cellStyle name="_CurrencySpace_BHI_ETN" xfId="930" xr:uid="{00000000-0005-0000-0000-000035020000}"/>
    <cellStyle name="_CurrencySpace_BHI_FSS" xfId="931" xr:uid="{00000000-0005-0000-0000-000036020000}"/>
    <cellStyle name="_CurrencySpace_BHI_JOYG" xfId="932" xr:uid="{00000000-0005-0000-0000-000037020000}"/>
    <cellStyle name="_CurrencySpace_BHI_MLM" xfId="933" xr:uid="{00000000-0005-0000-0000-000038020000}"/>
    <cellStyle name="_CurrencySpace_BHI_NAV" xfId="934" xr:uid="{00000000-0005-0000-0000-000039020000}"/>
    <cellStyle name="_CurrencySpace_BHI_OSK" xfId="935" xr:uid="{00000000-0005-0000-0000-00003A020000}"/>
    <cellStyle name="_CurrencySpace_BHI_PCAR" xfId="936" xr:uid="{00000000-0005-0000-0000-00003B020000}"/>
    <cellStyle name="_CurrencySpace_BHI_PH" xfId="937" xr:uid="{00000000-0005-0000-0000-00003C020000}"/>
    <cellStyle name="_CurrencySpace_bls roic" xfId="938" xr:uid="{00000000-0005-0000-0000-00003D020000}"/>
    <cellStyle name="_CurrencySpace_bls roic 2" xfId="939" xr:uid="{00000000-0005-0000-0000-00003E020000}"/>
    <cellStyle name="_CurrencySpace_bls roic 3" xfId="940" xr:uid="{00000000-0005-0000-0000-00003F020000}"/>
    <cellStyle name="_CurrencySpace_bls roic_AG" xfId="941" xr:uid="{00000000-0005-0000-0000-000040020000}"/>
    <cellStyle name="_CurrencySpace_bls roic_CNH" xfId="942" xr:uid="{00000000-0005-0000-0000-000041020000}"/>
    <cellStyle name="_CurrencySpace_bls roic_DOV" xfId="943" xr:uid="{00000000-0005-0000-0000-000042020000}"/>
    <cellStyle name="_CurrencySpace_bls roic_ETN" xfId="944" xr:uid="{00000000-0005-0000-0000-000043020000}"/>
    <cellStyle name="_CurrencySpace_bls roic_FSS" xfId="945" xr:uid="{00000000-0005-0000-0000-000044020000}"/>
    <cellStyle name="_CurrencySpace_bls roic_JOYG" xfId="946" xr:uid="{00000000-0005-0000-0000-000045020000}"/>
    <cellStyle name="_CurrencySpace_bls roic_MLM" xfId="947" xr:uid="{00000000-0005-0000-0000-000046020000}"/>
    <cellStyle name="_CurrencySpace_bls roic_NAV" xfId="948" xr:uid="{00000000-0005-0000-0000-000047020000}"/>
    <cellStyle name="_CurrencySpace_bls roic_OSK" xfId="949" xr:uid="{00000000-0005-0000-0000-000048020000}"/>
    <cellStyle name="_CurrencySpace_bls roic_PCAR" xfId="950" xr:uid="{00000000-0005-0000-0000-000049020000}"/>
    <cellStyle name="_CurrencySpace_bls roic_PH" xfId="951" xr:uid="{00000000-0005-0000-0000-00004A020000}"/>
    <cellStyle name="_CurrencySpace_Book1" xfId="82" xr:uid="{00000000-0005-0000-0000-00004B020000}"/>
    <cellStyle name="_CurrencySpace_Book29" xfId="83" xr:uid="{00000000-0005-0000-0000-00004C020000}"/>
    <cellStyle name="_CurrencySpace_Book3" xfId="84" xr:uid="{00000000-0005-0000-0000-00004D020000}"/>
    <cellStyle name="_CurrencySpace_Book3 2" xfId="3290" xr:uid="{00000000-0005-0000-0000-00004E020000}"/>
    <cellStyle name="_CurrencySpace_Book3 3" xfId="3222" xr:uid="{00000000-0005-0000-0000-00004F020000}"/>
    <cellStyle name="_CurrencySpace_Book3 4" xfId="952" xr:uid="{00000000-0005-0000-0000-000050020000}"/>
    <cellStyle name="_CurrencySpace_Book3_1" xfId="85" xr:uid="{00000000-0005-0000-0000-000051020000}"/>
    <cellStyle name="_CurrencySpace_Broadcasting" xfId="953" xr:uid="{00000000-0005-0000-0000-000052020000}"/>
    <cellStyle name="_CurrencySpace_capital expenditures 6-18-02" xfId="954" xr:uid="{00000000-0005-0000-0000-000053020000}"/>
    <cellStyle name="_CurrencySpace_capital expenditures 6-18-02 2" xfId="955" xr:uid="{00000000-0005-0000-0000-000054020000}"/>
    <cellStyle name="_CurrencySpace_capital expenditures 6-18-02 3" xfId="956" xr:uid="{00000000-0005-0000-0000-000055020000}"/>
    <cellStyle name="_CurrencySpace_capital expenditures 6-18-02_AG" xfId="957" xr:uid="{00000000-0005-0000-0000-000056020000}"/>
    <cellStyle name="_CurrencySpace_capital expenditures 6-18-02_CNH" xfId="958" xr:uid="{00000000-0005-0000-0000-000057020000}"/>
    <cellStyle name="_CurrencySpace_capital expenditures 6-18-02_DOV" xfId="959" xr:uid="{00000000-0005-0000-0000-000058020000}"/>
    <cellStyle name="_CurrencySpace_capital expenditures 6-18-02_ETN" xfId="960" xr:uid="{00000000-0005-0000-0000-000059020000}"/>
    <cellStyle name="_CurrencySpace_capital expenditures 6-18-02_FSS" xfId="961" xr:uid="{00000000-0005-0000-0000-00005A020000}"/>
    <cellStyle name="_CurrencySpace_capital expenditures 6-18-02_JOYG" xfId="962" xr:uid="{00000000-0005-0000-0000-00005B020000}"/>
    <cellStyle name="_CurrencySpace_capital expenditures 6-18-02_MLM" xfId="963" xr:uid="{00000000-0005-0000-0000-00005C020000}"/>
    <cellStyle name="_CurrencySpace_capital expenditures 6-18-02_NAV" xfId="964" xr:uid="{00000000-0005-0000-0000-00005D020000}"/>
    <cellStyle name="_CurrencySpace_capital expenditures 6-18-02_OSK" xfId="965" xr:uid="{00000000-0005-0000-0000-00005E020000}"/>
    <cellStyle name="_CurrencySpace_capital expenditures 6-18-02_PCAR" xfId="966" xr:uid="{00000000-0005-0000-0000-00005F020000}"/>
    <cellStyle name="_CurrencySpace_capital expenditures 6-18-02_PH" xfId="967" xr:uid="{00000000-0005-0000-0000-000060020000}"/>
    <cellStyle name="_CurrencySpace_CNO" xfId="86" xr:uid="{00000000-0005-0000-0000-000061020000}"/>
    <cellStyle name="_CurrencySpace_Commtech" xfId="968" xr:uid="{00000000-0005-0000-0000-000062020000}"/>
    <cellStyle name="_CurrencySpace_CRO 3Q group metrics 12-22-03 for reports" xfId="969" xr:uid="{00000000-0005-0000-0000-000063020000}"/>
    <cellStyle name="_CurrencySpace_CRO comp metrics 4Q03 2-18-04 send out" xfId="970" xr:uid="{00000000-0005-0000-0000-000064020000}"/>
    <cellStyle name="_CurrencySpace_Data" xfId="971" xr:uid="{00000000-0005-0000-0000-000065020000}"/>
    <cellStyle name="_CurrencySpace_DCF Alexander Forbes" xfId="87" xr:uid="{00000000-0005-0000-0000-000066020000}"/>
    <cellStyle name="_CurrencySpace_dcf_1" xfId="972" xr:uid="{00000000-0005-0000-0000-000067020000}"/>
    <cellStyle name="_CurrencySpace_DUK" xfId="973" xr:uid="{00000000-0005-0000-0000-000068020000}"/>
    <cellStyle name="_CurrencySpace_ED 2005.08.01" xfId="974" xr:uid="{00000000-0005-0000-0000-000069020000}"/>
    <cellStyle name="_CurrencySpace_fmbi counties" xfId="88" xr:uid="{00000000-0005-0000-0000-00006A020000}"/>
    <cellStyle name="_CurrencySpace_FMBI MBHI Graphs" xfId="89" xr:uid="{00000000-0005-0000-0000-00006B020000}"/>
    <cellStyle name="_CurrencySpace_FMBI MBHI Graphs 07102001" xfId="90" xr:uid="{00000000-0005-0000-0000-00006C020000}"/>
    <cellStyle name="_CurrencySpace_FMBI MBHI Graphs_7601" xfId="91" xr:uid="{00000000-0005-0000-0000-00006D020000}"/>
    <cellStyle name="_CurrencySpace_GNW" xfId="92" xr:uid="{00000000-0005-0000-0000-00006E020000}"/>
    <cellStyle name="_CurrencySpace_Insurance Brokerage CSC_1Q2002" xfId="93" xr:uid="{00000000-0005-0000-0000-00006F020000}"/>
    <cellStyle name="_CurrencySpace_JP" xfId="94" xr:uid="{00000000-0005-0000-0000-000070020000}"/>
    <cellStyle name="_CurrencySpace_Kent" xfId="975" xr:uid="{00000000-0005-0000-0000-000071020000}"/>
    <cellStyle name="_CurrencySpace_LNC" xfId="95" xr:uid="{00000000-0005-0000-0000-000072020000}"/>
    <cellStyle name="_CurrencySpace_MET" xfId="96" xr:uid="{00000000-0005-0000-0000-000073020000}"/>
    <cellStyle name="_CurrencySpace_MET04" xfId="97" xr:uid="{00000000-0005-0000-0000-000074020000}"/>
    <cellStyle name="_CurrencySpace_MHS" xfId="976" xr:uid="{00000000-0005-0000-0000-000075020000}"/>
    <cellStyle name="_CurrencySpace_MLP Val-Client-10_02_06" xfId="977" xr:uid="{00000000-0005-0000-0000-000076020000}"/>
    <cellStyle name="_CurrencySpace_NFS" xfId="98" xr:uid="{00000000-0005-0000-0000-000077020000}"/>
    <cellStyle name="_CurrencySpace_NRG 2005.07.22" xfId="978" xr:uid="{00000000-0005-0000-0000-000078020000}"/>
    <cellStyle name="_CurrencySpace_Overview3" xfId="99" xr:uid="{00000000-0005-0000-0000-000079020000}"/>
    <cellStyle name="_CurrencySpace_phil data" xfId="100" xr:uid="{00000000-0005-0000-0000-00007A020000}"/>
    <cellStyle name="_CurrencySpace_Price Performance Charts" xfId="101" xr:uid="{00000000-0005-0000-0000-00007B020000}"/>
    <cellStyle name="_CurrencySpace_PRU" xfId="102" xr:uid="{00000000-0005-0000-0000-00007C020000}"/>
    <cellStyle name="_CurrencySpace_PRU04" xfId="103" xr:uid="{00000000-0005-0000-0000-00007D020000}"/>
    <cellStyle name="_CurrencySpace_RATLqtis" xfId="979" xr:uid="{00000000-0005-0000-0000-00007E020000}"/>
    <cellStyle name="_CurrencySpace_RBOC historicals" xfId="980" xr:uid="{00000000-0005-0000-0000-00007F020000}"/>
    <cellStyle name="_CurrencySpace_RBOC historicals 2" xfId="981" xr:uid="{00000000-0005-0000-0000-000080020000}"/>
    <cellStyle name="_CurrencySpace_RBOC historicals 3" xfId="982" xr:uid="{00000000-0005-0000-0000-000081020000}"/>
    <cellStyle name="_CurrencySpace_RBOC historicals_AG" xfId="983" xr:uid="{00000000-0005-0000-0000-000082020000}"/>
    <cellStyle name="_CurrencySpace_RBOC historicals_CNH" xfId="984" xr:uid="{00000000-0005-0000-0000-000083020000}"/>
    <cellStyle name="_CurrencySpace_RBOC historicals_DOV" xfId="985" xr:uid="{00000000-0005-0000-0000-000084020000}"/>
    <cellStyle name="_CurrencySpace_RBOC historicals_ETN" xfId="986" xr:uid="{00000000-0005-0000-0000-000085020000}"/>
    <cellStyle name="_CurrencySpace_RBOC historicals_FSS" xfId="987" xr:uid="{00000000-0005-0000-0000-000086020000}"/>
    <cellStyle name="_CurrencySpace_RBOC historicals_JOYG" xfId="988" xr:uid="{00000000-0005-0000-0000-000087020000}"/>
    <cellStyle name="_CurrencySpace_RBOC historicals_MLM" xfId="989" xr:uid="{00000000-0005-0000-0000-000088020000}"/>
    <cellStyle name="_CurrencySpace_RBOC historicals_NAV" xfId="990" xr:uid="{00000000-0005-0000-0000-000089020000}"/>
    <cellStyle name="_CurrencySpace_RBOC historicals_OSK" xfId="991" xr:uid="{00000000-0005-0000-0000-00008A020000}"/>
    <cellStyle name="_CurrencySpace_RBOC historicals_PCAR" xfId="992" xr:uid="{00000000-0005-0000-0000-00008B020000}"/>
    <cellStyle name="_CurrencySpace_RBOC historicals_PH" xfId="993" xr:uid="{00000000-0005-0000-0000-00008C020000}"/>
    <cellStyle name="_CurrencySpace_RiskReward" xfId="104" xr:uid="{00000000-0005-0000-0000-00008D020000}"/>
    <cellStyle name="_CurrencySpace_SFG" xfId="105" xr:uid="{00000000-0005-0000-0000-00008E020000}"/>
    <cellStyle name="_CurrencySpace_Sheet1" xfId="106" xr:uid="{00000000-0005-0000-0000-00008F020000}"/>
    <cellStyle name="_CurrencySpace_Sheet1 2" xfId="3291" xr:uid="{00000000-0005-0000-0000-000090020000}"/>
    <cellStyle name="_CurrencySpace_Sheet1 3" xfId="3223" xr:uid="{00000000-0005-0000-0000-000091020000}"/>
    <cellStyle name="_CurrencySpace_Sheet1 4" xfId="994" xr:uid="{00000000-0005-0000-0000-000092020000}"/>
    <cellStyle name="_CurrencySpace_SOP" xfId="995" xr:uid="{00000000-0005-0000-0000-000093020000}"/>
    <cellStyle name="_CurrencySpace_SRE" xfId="996" xr:uid="{00000000-0005-0000-0000-000094020000}"/>
    <cellStyle name="_CurrencySpace_SRE Working" xfId="997" xr:uid="{00000000-0005-0000-0000-000095020000}"/>
    <cellStyle name="_CurrencySpace_Stock-QTR1 FDS" xfId="107" xr:uid="{00000000-0005-0000-0000-000096020000}"/>
    <cellStyle name="_CurrencySpace_T - new" xfId="998" xr:uid="{00000000-0005-0000-0000-000097020000}"/>
    <cellStyle name="_CurrencySpace_T - new 2" xfId="999" xr:uid="{00000000-0005-0000-0000-000098020000}"/>
    <cellStyle name="_CurrencySpace_T - new 3" xfId="1000" xr:uid="{00000000-0005-0000-0000-000099020000}"/>
    <cellStyle name="_CurrencySpace_T - new_AG" xfId="1001" xr:uid="{00000000-0005-0000-0000-00009A020000}"/>
    <cellStyle name="_CurrencySpace_T - new_CNH" xfId="1002" xr:uid="{00000000-0005-0000-0000-00009B020000}"/>
    <cellStyle name="_CurrencySpace_T - new_DOV" xfId="1003" xr:uid="{00000000-0005-0000-0000-00009C020000}"/>
    <cellStyle name="_CurrencySpace_T - new_ETN" xfId="1004" xr:uid="{00000000-0005-0000-0000-00009D020000}"/>
    <cellStyle name="_CurrencySpace_T - new_FSS" xfId="1005" xr:uid="{00000000-0005-0000-0000-00009E020000}"/>
    <cellStyle name="_CurrencySpace_T - new_JOYG" xfId="1006" xr:uid="{00000000-0005-0000-0000-00009F020000}"/>
    <cellStyle name="_CurrencySpace_T - new_MLM" xfId="1007" xr:uid="{00000000-0005-0000-0000-0000A0020000}"/>
    <cellStyle name="_CurrencySpace_T - new_NAV" xfId="1008" xr:uid="{00000000-0005-0000-0000-0000A1020000}"/>
    <cellStyle name="_CurrencySpace_T - new_OSK" xfId="1009" xr:uid="{00000000-0005-0000-0000-0000A2020000}"/>
    <cellStyle name="_CurrencySpace_T - new_PCAR" xfId="1010" xr:uid="{00000000-0005-0000-0000-0000A3020000}"/>
    <cellStyle name="_CurrencySpace_T - new_PH" xfId="1011" xr:uid="{00000000-0005-0000-0000-0000A4020000}"/>
    <cellStyle name="_CurrencySpace_TMK" xfId="108" xr:uid="{00000000-0005-0000-0000-0000A5020000}"/>
    <cellStyle name="_CurrencySpace_Updated Valuation Changes" xfId="109" xr:uid="{00000000-0005-0000-0000-0000A6020000}"/>
    <cellStyle name="_CurrencySpace_Val Sheets" xfId="1012" xr:uid="{00000000-0005-0000-0000-0000A7020000}"/>
    <cellStyle name="_CurrencySpace_Valuation Graphs" xfId="110" xr:uid="{00000000-0005-0000-0000-0000A8020000}"/>
    <cellStyle name="_CurrencySpace_WFT published 1-30-07 Client version (2)" xfId="1013" xr:uid="{00000000-0005-0000-0000-0000A9020000}"/>
    <cellStyle name="_CurrencySpace_WFT published 1-30-07 Client version (2) 2" xfId="1014" xr:uid="{00000000-0005-0000-0000-0000AA020000}"/>
    <cellStyle name="_CurrencySpace_xratio - historical mkt val" xfId="111" xr:uid="{00000000-0005-0000-0000-0000AB020000}"/>
    <cellStyle name="_DCF" xfId="1015" xr:uid="{00000000-0005-0000-0000-0000AC020000}"/>
    <cellStyle name="_Dollar" xfId="112" xr:uid="{00000000-0005-0000-0000-0000AD020000}"/>
    <cellStyle name="—_EM-HTI" xfId="1016" xr:uid="{00000000-0005-0000-0000-0000AE020000}"/>
    <cellStyle name="—_EM-HTI_AIS_EROCE" xfId="1017" xr:uid="{00000000-0005-0000-0000-0000AF020000}"/>
    <cellStyle name="—_EM-HTI_PCCW_EROCE" xfId="1018" xr:uid="{00000000-0005-0000-0000-0000B0020000}"/>
    <cellStyle name="—_EM-KT" xfId="1019" xr:uid="{00000000-0005-0000-0000-0000B1020000}"/>
    <cellStyle name="—_EM-SKTelecom_old" xfId="1020" xr:uid="{00000000-0005-0000-0000-0000B2020000}"/>
    <cellStyle name="—_EM-SKTelecom_old_EM-HTI" xfId="1021" xr:uid="{00000000-0005-0000-0000-0000B3020000}"/>
    <cellStyle name="—_EM-SKTelecom_old_EM-HTI_AIS_EROCE" xfId="1022" xr:uid="{00000000-0005-0000-0000-0000B4020000}"/>
    <cellStyle name="—_EM-SKTelecom_old_EM-HTI_PCCW_EROCE" xfId="1023" xr:uid="{00000000-0005-0000-0000-0000B5020000}"/>
    <cellStyle name="_Euro" xfId="113" xr:uid="{00000000-0005-0000-0000-0000B6020000}"/>
    <cellStyle name="_Euro 2" xfId="431" xr:uid="{00000000-0005-0000-0000-0000B7020000}"/>
    <cellStyle name="_Euro 2 2" xfId="3116" xr:uid="{00000000-0005-0000-0000-0000B8020000}"/>
    <cellStyle name="_Euro 2 3" xfId="1024" xr:uid="{00000000-0005-0000-0000-0000B9020000}"/>
    <cellStyle name="_Euro 3" xfId="432" xr:uid="{00000000-0005-0000-0000-0000BA020000}"/>
    <cellStyle name="_Euro 4" xfId="433" xr:uid="{00000000-0005-0000-0000-0000BB020000}"/>
    <cellStyle name="_Euro 5" xfId="3267" xr:uid="{00000000-0005-0000-0000-0000BC020000}"/>
    <cellStyle name="_Euro 6" xfId="3224" xr:uid="{00000000-0005-0000-0000-0000BD020000}"/>
    <cellStyle name="_Euro 7" xfId="430" xr:uid="{00000000-0005-0000-0000-0000BE020000}"/>
    <cellStyle name="_Euro_AG" xfId="1025" xr:uid="{00000000-0005-0000-0000-0000BF020000}"/>
    <cellStyle name="_Euro_CNH" xfId="1026" xr:uid="{00000000-0005-0000-0000-0000C0020000}"/>
    <cellStyle name="_Euro_Commtech" xfId="1027" xr:uid="{00000000-0005-0000-0000-0000C1020000}"/>
    <cellStyle name="_Euro_DOV" xfId="1028" xr:uid="{00000000-0005-0000-0000-0000C2020000}"/>
    <cellStyle name="_Euro_ETN" xfId="1029" xr:uid="{00000000-0005-0000-0000-0000C3020000}"/>
    <cellStyle name="_Euro_FSS" xfId="1030" xr:uid="{00000000-0005-0000-0000-0000C4020000}"/>
    <cellStyle name="_Euro_JOYG" xfId="1031" xr:uid="{00000000-0005-0000-0000-0000C5020000}"/>
    <cellStyle name="_Euro_MLM" xfId="1032" xr:uid="{00000000-0005-0000-0000-0000C6020000}"/>
    <cellStyle name="_Euro_NAV" xfId="1033" xr:uid="{00000000-0005-0000-0000-0000C7020000}"/>
    <cellStyle name="_Euro_OSK" xfId="1034" xr:uid="{00000000-0005-0000-0000-0000C8020000}"/>
    <cellStyle name="_Euro_PCAR" xfId="1035" xr:uid="{00000000-0005-0000-0000-0000C9020000}"/>
    <cellStyle name="_Euro_PH" xfId="1036" xr:uid="{00000000-0005-0000-0000-0000CA020000}"/>
    <cellStyle name="_Euro_Request Template" xfId="1037" xr:uid="{00000000-0005-0000-0000-0000CB020000}"/>
    <cellStyle name="_Euro_Request Template 2" xfId="1038" xr:uid="{00000000-0005-0000-0000-0000CC020000}"/>
    <cellStyle name="—_GS Assumptions-F" xfId="1039" xr:uid="{00000000-0005-0000-0000-0000CD020000}"/>
    <cellStyle name="—_GS_Balance" xfId="1040" xr:uid="{00000000-0005-0000-0000-0000CE020000}"/>
    <cellStyle name="—_GS_Cash " xfId="1041" xr:uid="{00000000-0005-0000-0000-0000CF020000}"/>
    <cellStyle name="—_GS_Cash  (2)" xfId="1042" xr:uid="{00000000-0005-0000-0000-0000D0020000}"/>
    <cellStyle name="—_GS_Cash _MMM nxp 33" xfId="1043" xr:uid="{00000000-0005-0000-0000-0000D1020000}"/>
    <cellStyle name="—_GS_DCF" xfId="1044" xr:uid="{00000000-0005-0000-0000-0000D2020000}"/>
    <cellStyle name="_gs_nscn_internal" xfId="1045" xr:uid="{00000000-0005-0000-0000-0000D3020000}"/>
    <cellStyle name="—_GS_PNL" xfId="1046" xr:uid="{00000000-0005-0000-0000-0000D4020000}"/>
    <cellStyle name="_Heading" xfId="114" xr:uid="{00000000-0005-0000-0000-0000D5020000}"/>
    <cellStyle name="_Heading 2" xfId="1048" xr:uid="{00000000-0005-0000-0000-0000D6020000}"/>
    <cellStyle name="_Heading 3" xfId="1049" xr:uid="{00000000-0005-0000-0000-0000D7020000}"/>
    <cellStyle name="_Heading 4" xfId="1047" xr:uid="{00000000-0005-0000-0000-0000D8020000}"/>
    <cellStyle name="_Heading_AG" xfId="1050" xr:uid="{00000000-0005-0000-0000-0000D9020000}"/>
    <cellStyle name="_Heading_BLS" xfId="1051" xr:uid="{00000000-0005-0000-0000-0000DA020000}"/>
    <cellStyle name="_Heading_BLS 2" xfId="1052" xr:uid="{00000000-0005-0000-0000-0000DB020000}"/>
    <cellStyle name="_Heading_bls roic" xfId="1053" xr:uid="{00000000-0005-0000-0000-0000DC020000}"/>
    <cellStyle name="_Heading_BLS_MLP Val-Client-10_02_06" xfId="1054" xr:uid="{00000000-0005-0000-0000-0000DD020000}"/>
    <cellStyle name="_Heading_Book9" xfId="1055" xr:uid="{00000000-0005-0000-0000-0000DE020000}"/>
    <cellStyle name="_Heading_Book9 2" xfId="1056" xr:uid="{00000000-0005-0000-0000-0000DF020000}"/>
    <cellStyle name="_Heading_Book9_MLP Val-Client-10_02_06" xfId="1057" xr:uid="{00000000-0005-0000-0000-0000E0020000}"/>
    <cellStyle name="_Heading_Broadband Comps" xfId="1058" xr:uid="{00000000-0005-0000-0000-0000E1020000}"/>
    <cellStyle name="_Heading_Broadband Comps 2" xfId="1059" xr:uid="{00000000-0005-0000-0000-0000E2020000}"/>
    <cellStyle name="_Heading_Broadband Comps_MLP Val-Client-10_02_06" xfId="1060" xr:uid="{00000000-0005-0000-0000-0000E3020000}"/>
    <cellStyle name="_Heading_capital expenditures 6-18-02" xfId="1061" xr:uid="{00000000-0005-0000-0000-0000E4020000}"/>
    <cellStyle name="_Heading_CAT" xfId="1062" xr:uid="{00000000-0005-0000-0000-0000E5020000}"/>
    <cellStyle name="_Heading_CNH" xfId="1063" xr:uid="{00000000-0005-0000-0000-0000E6020000}"/>
    <cellStyle name="_Heading_Commtech" xfId="1064" xr:uid="{00000000-0005-0000-0000-0000E7020000}"/>
    <cellStyle name="_Heading_CTCO" xfId="1065" xr:uid="{00000000-0005-0000-0000-0000E8020000}"/>
    <cellStyle name="_Heading_CTCO 2" xfId="1066" xr:uid="{00000000-0005-0000-0000-0000E9020000}"/>
    <cellStyle name="_Heading_CTCO_MLP Val-Client-10_02_06" xfId="1067" xr:uid="{00000000-0005-0000-0000-0000EA020000}"/>
    <cellStyle name="_Heading_DE-working" xfId="1068" xr:uid="{00000000-0005-0000-0000-0000EB020000}"/>
    <cellStyle name="_Heading_DOV" xfId="1069" xr:uid="{00000000-0005-0000-0000-0000EC020000}"/>
    <cellStyle name="_Heading_ETN" xfId="1070" xr:uid="{00000000-0005-0000-0000-0000ED020000}"/>
    <cellStyle name="_Heading_FSS" xfId="1071" xr:uid="{00000000-0005-0000-0000-0000EE020000}"/>
    <cellStyle name="_Heading_JOYG" xfId="1072" xr:uid="{00000000-0005-0000-0000-0000EF020000}"/>
    <cellStyle name="_Heading_Kent" xfId="1073" xr:uid="{00000000-0005-0000-0000-0000F0020000}"/>
    <cellStyle name="_Heading_MLM" xfId="1074" xr:uid="{00000000-0005-0000-0000-0000F1020000}"/>
    <cellStyle name="_Heading_NAV" xfId="1075" xr:uid="{00000000-0005-0000-0000-0000F2020000}"/>
    <cellStyle name="_Heading_OSK" xfId="1076" xr:uid="{00000000-0005-0000-0000-0000F3020000}"/>
    <cellStyle name="_Heading_PCAR" xfId="1077" xr:uid="{00000000-0005-0000-0000-0000F4020000}"/>
    <cellStyle name="_Heading_PH" xfId="1078" xr:uid="{00000000-0005-0000-0000-0000F5020000}"/>
    <cellStyle name="_Heading_prestemp" xfId="115" xr:uid="{00000000-0005-0000-0000-0000F6020000}"/>
    <cellStyle name="_Heading_Q" xfId="1079" xr:uid="{00000000-0005-0000-0000-0000F7020000}"/>
    <cellStyle name="_Heading_q - new guidance" xfId="1080" xr:uid="{00000000-0005-0000-0000-0000F8020000}"/>
    <cellStyle name="_Heading_q - new guidance 2" xfId="1081" xr:uid="{00000000-0005-0000-0000-0000F9020000}"/>
    <cellStyle name="_Heading_q - new guidance_MLP Val-Client-10_02_06" xfId="1082" xr:uid="{00000000-0005-0000-0000-0000FA020000}"/>
    <cellStyle name="_Heading_q - valuation" xfId="1083" xr:uid="{00000000-0005-0000-0000-0000FB020000}"/>
    <cellStyle name="_Heading_q - valuation 2" xfId="1084" xr:uid="{00000000-0005-0000-0000-0000FC020000}"/>
    <cellStyle name="_Heading_q - valuation_MLP Val-Client-10_02_06" xfId="1085" xr:uid="{00000000-0005-0000-0000-0000FD020000}"/>
    <cellStyle name="_Heading_Q 2" xfId="1086" xr:uid="{00000000-0005-0000-0000-0000FE020000}"/>
    <cellStyle name="_Heading_Q model_041802" xfId="1087" xr:uid="{00000000-0005-0000-0000-0000FF020000}"/>
    <cellStyle name="_Heading_Q model_041802 2" xfId="1088" xr:uid="{00000000-0005-0000-0000-000000030000}"/>
    <cellStyle name="_Heading_Q model_041802_MLP Val-Client-10_02_06" xfId="1089" xr:uid="{00000000-0005-0000-0000-000001030000}"/>
    <cellStyle name="_Heading_Q_MLP Val-Client-10_02_06" xfId="1090" xr:uid="{00000000-0005-0000-0000-000002030000}"/>
    <cellStyle name="_Heading_Q_update" xfId="1091" xr:uid="{00000000-0005-0000-0000-000003030000}"/>
    <cellStyle name="_Heading_Q_update 2" xfId="1092" xr:uid="{00000000-0005-0000-0000-000004030000}"/>
    <cellStyle name="_Heading_Q_update_MLP Val-Client-10_02_06" xfId="1093" xr:uid="{00000000-0005-0000-0000-000005030000}"/>
    <cellStyle name="_Heading_Qwest Analysis" xfId="1094" xr:uid="{00000000-0005-0000-0000-000006030000}"/>
    <cellStyle name="_Heading_Qwest Analysis 2" xfId="1095" xr:uid="{00000000-0005-0000-0000-000007030000}"/>
    <cellStyle name="_Heading_Qwest Analysis_MLP Val-Client-10_02_06" xfId="1096" xr:uid="{00000000-0005-0000-0000-000008030000}"/>
    <cellStyle name="_Heading_RBOC historicals" xfId="1097" xr:uid="{00000000-0005-0000-0000-000009030000}"/>
    <cellStyle name="_Heading_Sheet1" xfId="1098" xr:uid="{00000000-0005-0000-0000-00000A030000}"/>
    <cellStyle name="_Heading_T - new" xfId="1099" xr:uid="{00000000-0005-0000-0000-00000B030000}"/>
    <cellStyle name="_Heading_Valuation vals" xfId="1100" xr:uid="{00000000-0005-0000-0000-00000C030000}"/>
    <cellStyle name="_Heading_VZ" xfId="1101" xr:uid="{00000000-0005-0000-0000-00000D030000}"/>
    <cellStyle name="_Heading_VZ 2" xfId="1102" xr:uid="{00000000-0005-0000-0000-00000E030000}"/>
    <cellStyle name="_Heading_VZ_MLP Val-Client-10_02_06" xfId="1103" xr:uid="{00000000-0005-0000-0000-00000F030000}"/>
    <cellStyle name="_Headline" xfId="1104" xr:uid="{00000000-0005-0000-0000-000010030000}"/>
    <cellStyle name="_Highlight" xfId="116" xr:uid="{00000000-0005-0000-0000-000011030000}"/>
    <cellStyle name="_Highlight 2" xfId="435" xr:uid="{00000000-0005-0000-0000-000012030000}"/>
    <cellStyle name="_Highlight 3" xfId="436" xr:uid="{00000000-0005-0000-0000-000013030000}"/>
    <cellStyle name="_Highlight 4" xfId="437" xr:uid="{00000000-0005-0000-0000-000014030000}"/>
    <cellStyle name="_Highlight 5" xfId="3268" xr:uid="{00000000-0005-0000-0000-000015030000}"/>
    <cellStyle name="_Highlight 6" xfId="3225" xr:uid="{00000000-0005-0000-0000-000016030000}"/>
    <cellStyle name="_Highlight 7" xfId="434" xr:uid="{00000000-0005-0000-0000-000017030000}"/>
    <cellStyle name="_msft-dcf" xfId="1105" xr:uid="{00000000-0005-0000-0000-000018030000}"/>
    <cellStyle name="_Multiple" xfId="117" xr:uid="{00000000-0005-0000-0000-000019030000}"/>
    <cellStyle name="_Multiple 2" xfId="439" xr:uid="{00000000-0005-0000-0000-00001A030000}"/>
    <cellStyle name="_Multiple 2 2" xfId="3118" xr:uid="{00000000-0005-0000-0000-00001B030000}"/>
    <cellStyle name="_Multiple 2 3" xfId="1107" xr:uid="{00000000-0005-0000-0000-00001C030000}"/>
    <cellStyle name="_Multiple 3" xfId="440" xr:uid="{00000000-0005-0000-0000-00001D030000}"/>
    <cellStyle name="_Multiple 3 2" xfId="3119" xr:uid="{00000000-0005-0000-0000-00001E030000}"/>
    <cellStyle name="_Multiple 3 3" xfId="1108" xr:uid="{00000000-0005-0000-0000-00001F030000}"/>
    <cellStyle name="_Multiple 4" xfId="441" xr:uid="{00000000-0005-0000-0000-000020030000}"/>
    <cellStyle name="_Multiple 5" xfId="3117" xr:uid="{00000000-0005-0000-0000-000021030000}"/>
    <cellStyle name="_Multiple 6" xfId="1106" xr:uid="{00000000-0005-0000-0000-000022030000}"/>
    <cellStyle name="_Multiple 7" xfId="438" xr:uid="{00000000-0005-0000-0000-000023030000}"/>
    <cellStyle name="_Multiple_01 adj for merger plan" xfId="118" xr:uid="{00000000-0005-0000-0000-000024030000}"/>
    <cellStyle name="_Multiple_Ability to Pay Analysis" xfId="119" xr:uid="{00000000-0005-0000-0000-000025030000}"/>
    <cellStyle name="_Multiple_AFL" xfId="120" xr:uid="{00000000-0005-0000-0000-000026030000}"/>
    <cellStyle name="_Multiple_AG" xfId="1109" xr:uid="{00000000-0005-0000-0000-000027030000}"/>
    <cellStyle name="_Multiple_AIZ" xfId="121" xr:uid="{00000000-0005-0000-0000-000028030000}"/>
    <cellStyle name="_Multiple_AMP" xfId="122" xr:uid="{00000000-0005-0000-0000-000029030000}"/>
    <cellStyle name="_Multiple_AMX1" xfId="1110" xr:uid="{00000000-0005-0000-0000-00002A030000}"/>
    <cellStyle name="_Multiple_Balance Sheet" xfId="123" xr:uid="{00000000-0005-0000-0000-00002B030000}"/>
    <cellStyle name="_Multiple_BHI" xfId="1111" xr:uid="{00000000-0005-0000-0000-00002C030000}"/>
    <cellStyle name="_Multiple_BHI 2" xfId="1112" xr:uid="{00000000-0005-0000-0000-00002D030000}"/>
    <cellStyle name="_Multiple_BHI 3" xfId="1113" xr:uid="{00000000-0005-0000-0000-00002E030000}"/>
    <cellStyle name="_Multiple_BHI_AG" xfId="1114" xr:uid="{00000000-0005-0000-0000-00002F030000}"/>
    <cellStyle name="_Multiple_BHI_CNH" xfId="1115" xr:uid="{00000000-0005-0000-0000-000030030000}"/>
    <cellStyle name="_Multiple_BHI_DOV" xfId="1116" xr:uid="{00000000-0005-0000-0000-000031030000}"/>
    <cellStyle name="_Multiple_BHI_ETN" xfId="1117" xr:uid="{00000000-0005-0000-0000-000032030000}"/>
    <cellStyle name="_Multiple_BHI_FSS" xfId="1118" xr:uid="{00000000-0005-0000-0000-000033030000}"/>
    <cellStyle name="_Multiple_BHI_JOYG" xfId="1119" xr:uid="{00000000-0005-0000-0000-000034030000}"/>
    <cellStyle name="_Multiple_BHI_MLM" xfId="1120" xr:uid="{00000000-0005-0000-0000-000035030000}"/>
    <cellStyle name="_Multiple_BHI_NAV" xfId="1121" xr:uid="{00000000-0005-0000-0000-000036030000}"/>
    <cellStyle name="_Multiple_BHI_OSK" xfId="1122" xr:uid="{00000000-0005-0000-0000-000037030000}"/>
    <cellStyle name="_Multiple_BHI_PCAR" xfId="1123" xr:uid="{00000000-0005-0000-0000-000038030000}"/>
    <cellStyle name="_Multiple_BHI_PH" xfId="1124" xr:uid="{00000000-0005-0000-0000-000039030000}"/>
    <cellStyle name="_Multiple_bls roic" xfId="1125" xr:uid="{00000000-0005-0000-0000-00003A030000}"/>
    <cellStyle name="_Multiple_bls roic 2" xfId="1126" xr:uid="{00000000-0005-0000-0000-00003B030000}"/>
    <cellStyle name="_Multiple_bls roic 3" xfId="1127" xr:uid="{00000000-0005-0000-0000-00003C030000}"/>
    <cellStyle name="_Multiple_bls roic_AG" xfId="1128" xr:uid="{00000000-0005-0000-0000-00003D030000}"/>
    <cellStyle name="_Multiple_bls roic_CNH" xfId="1129" xr:uid="{00000000-0005-0000-0000-00003E030000}"/>
    <cellStyle name="_Multiple_bls roic_DOV" xfId="1130" xr:uid="{00000000-0005-0000-0000-00003F030000}"/>
    <cellStyle name="_Multiple_bls roic_ETN" xfId="1131" xr:uid="{00000000-0005-0000-0000-000040030000}"/>
    <cellStyle name="_Multiple_bls roic_FSS" xfId="1132" xr:uid="{00000000-0005-0000-0000-000041030000}"/>
    <cellStyle name="_Multiple_bls roic_JOYG" xfId="1133" xr:uid="{00000000-0005-0000-0000-000042030000}"/>
    <cellStyle name="_Multiple_bls roic_MLM" xfId="1134" xr:uid="{00000000-0005-0000-0000-000043030000}"/>
    <cellStyle name="_Multiple_bls roic_NAV" xfId="1135" xr:uid="{00000000-0005-0000-0000-000044030000}"/>
    <cellStyle name="_Multiple_bls roic_OSK" xfId="1136" xr:uid="{00000000-0005-0000-0000-000045030000}"/>
    <cellStyle name="_Multiple_bls roic_PCAR" xfId="1137" xr:uid="{00000000-0005-0000-0000-000046030000}"/>
    <cellStyle name="_Multiple_bls roic_PH" xfId="1138" xr:uid="{00000000-0005-0000-0000-000047030000}"/>
    <cellStyle name="_Multiple_Book1" xfId="124" xr:uid="{00000000-0005-0000-0000-000048030000}"/>
    <cellStyle name="_Multiple_Book29" xfId="125" xr:uid="{00000000-0005-0000-0000-000049030000}"/>
    <cellStyle name="_Multiple_Book3" xfId="126" xr:uid="{00000000-0005-0000-0000-00004A030000}"/>
    <cellStyle name="_Multiple_Book3 2" xfId="3292" xr:uid="{00000000-0005-0000-0000-00004B030000}"/>
    <cellStyle name="_Multiple_Book3 3" xfId="3226" xr:uid="{00000000-0005-0000-0000-00004C030000}"/>
    <cellStyle name="_Multiple_Book3 4" xfId="1139" xr:uid="{00000000-0005-0000-0000-00004D030000}"/>
    <cellStyle name="_Multiple_Book3_1" xfId="127" xr:uid="{00000000-0005-0000-0000-00004E030000}"/>
    <cellStyle name="_Multiple_Broadcasting" xfId="1140" xr:uid="{00000000-0005-0000-0000-00004F030000}"/>
    <cellStyle name="_Multiple_capital expenditures 6-18-02" xfId="1141" xr:uid="{00000000-0005-0000-0000-000050030000}"/>
    <cellStyle name="_Multiple_capital expenditures 6-18-02 2" xfId="1142" xr:uid="{00000000-0005-0000-0000-000051030000}"/>
    <cellStyle name="_Multiple_capital expenditures 6-18-02 3" xfId="1143" xr:uid="{00000000-0005-0000-0000-000052030000}"/>
    <cellStyle name="_Multiple_capital expenditures 6-18-02_AG" xfId="1144" xr:uid="{00000000-0005-0000-0000-000053030000}"/>
    <cellStyle name="_Multiple_capital expenditures 6-18-02_CNH" xfId="1145" xr:uid="{00000000-0005-0000-0000-000054030000}"/>
    <cellStyle name="_Multiple_capital expenditures 6-18-02_DOV" xfId="1146" xr:uid="{00000000-0005-0000-0000-000055030000}"/>
    <cellStyle name="_Multiple_capital expenditures 6-18-02_ETN" xfId="1147" xr:uid="{00000000-0005-0000-0000-000056030000}"/>
    <cellStyle name="_Multiple_capital expenditures 6-18-02_FSS" xfId="1148" xr:uid="{00000000-0005-0000-0000-000057030000}"/>
    <cellStyle name="_Multiple_capital expenditures 6-18-02_JOYG" xfId="1149" xr:uid="{00000000-0005-0000-0000-000058030000}"/>
    <cellStyle name="_Multiple_capital expenditures 6-18-02_MLM" xfId="1150" xr:uid="{00000000-0005-0000-0000-000059030000}"/>
    <cellStyle name="_Multiple_capital expenditures 6-18-02_NAV" xfId="1151" xr:uid="{00000000-0005-0000-0000-00005A030000}"/>
    <cellStyle name="_Multiple_capital expenditures 6-18-02_OSK" xfId="1152" xr:uid="{00000000-0005-0000-0000-00005B030000}"/>
    <cellStyle name="_Multiple_capital expenditures 6-18-02_PCAR" xfId="1153" xr:uid="{00000000-0005-0000-0000-00005C030000}"/>
    <cellStyle name="_Multiple_capital expenditures 6-18-02_PH" xfId="1154" xr:uid="{00000000-0005-0000-0000-00005D030000}"/>
    <cellStyle name="_Multiple_CNH" xfId="1155" xr:uid="{00000000-0005-0000-0000-00005E030000}"/>
    <cellStyle name="_Multiple_CNO" xfId="128" xr:uid="{00000000-0005-0000-0000-00005F030000}"/>
    <cellStyle name="_Multiple_Commtech" xfId="1156" xr:uid="{00000000-0005-0000-0000-000060030000}"/>
    <cellStyle name="_Multiple_CRO 3Q group metrics 12-22-03 for reports" xfId="1157" xr:uid="{00000000-0005-0000-0000-000061030000}"/>
    <cellStyle name="_Multiple_CRO comp metrics 4Q03 2-18-04 send out" xfId="1158" xr:uid="{00000000-0005-0000-0000-000062030000}"/>
    <cellStyle name="_Multiple_csc" xfId="1159" xr:uid="{00000000-0005-0000-0000-000063030000}"/>
    <cellStyle name="_Multiple_Data" xfId="1160" xr:uid="{00000000-0005-0000-0000-000064030000}"/>
    <cellStyle name="_Multiple_DCF Alexander Forbes" xfId="129" xr:uid="{00000000-0005-0000-0000-000065030000}"/>
    <cellStyle name="_Multiple_dcf_1" xfId="1161" xr:uid="{00000000-0005-0000-0000-000066030000}"/>
    <cellStyle name="_Multiple_DOV" xfId="1162" xr:uid="{00000000-0005-0000-0000-000067030000}"/>
    <cellStyle name="_Multiple_DUK" xfId="1163" xr:uid="{00000000-0005-0000-0000-000068030000}"/>
    <cellStyle name="_Multiple_ED 2005.08.01" xfId="1164" xr:uid="{00000000-0005-0000-0000-000069030000}"/>
    <cellStyle name="_Multiple_ETN" xfId="1165" xr:uid="{00000000-0005-0000-0000-00006A030000}"/>
    <cellStyle name="_Multiple_fmbi counties" xfId="130" xr:uid="{00000000-0005-0000-0000-00006B030000}"/>
    <cellStyle name="_Multiple_FMBI MBHI Graphs" xfId="131" xr:uid="{00000000-0005-0000-0000-00006C030000}"/>
    <cellStyle name="_Multiple_FMBI MBHI Graphs 07102001" xfId="132" xr:uid="{00000000-0005-0000-0000-00006D030000}"/>
    <cellStyle name="_Multiple_FMBI MBHI Graphs_7601" xfId="133" xr:uid="{00000000-0005-0000-0000-00006E030000}"/>
    <cellStyle name="_Multiple_FSS" xfId="1166" xr:uid="{00000000-0005-0000-0000-00006F030000}"/>
    <cellStyle name="_Multiple_GNW" xfId="134" xr:uid="{00000000-0005-0000-0000-000070030000}"/>
    <cellStyle name="_Multiple_gs_scur_internal " xfId="1167" xr:uid="{00000000-0005-0000-0000-000071030000}"/>
    <cellStyle name="_Multiple_gs_scur_internal  2" xfId="1168" xr:uid="{00000000-0005-0000-0000-000072030000}"/>
    <cellStyle name="_Multiple_Hist Summary" xfId="1169" xr:uid="{00000000-0005-0000-0000-000073030000}"/>
    <cellStyle name="_Multiple_Insurance Brokerage CSC_1Q2002" xfId="135" xr:uid="{00000000-0005-0000-0000-000074030000}"/>
    <cellStyle name="_Multiple_JOYG" xfId="1170" xr:uid="{00000000-0005-0000-0000-000075030000}"/>
    <cellStyle name="_Multiple_JP" xfId="136" xr:uid="{00000000-0005-0000-0000-000076030000}"/>
    <cellStyle name="_Multiple_Kent" xfId="1171" xr:uid="{00000000-0005-0000-0000-000077030000}"/>
    <cellStyle name="_Multiple_LNC" xfId="137" xr:uid="{00000000-0005-0000-0000-000078030000}"/>
    <cellStyle name="_Multiple_Machinery group valuation" xfId="1172" xr:uid="{00000000-0005-0000-0000-000079030000}"/>
    <cellStyle name="_Multiple_MET" xfId="138" xr:uid="{00000000-0005-0000-0000-00007A030000}"/>
    <cellStyle name="_Multiple_MET04" xfId="139" xr:uid="{00000000-0005-0000-0000-00007B030000}"/>
    <cellStyle name="_Multiple_MHS" xfId="1173" xr:uid="{00000000-0005-0000-0000-00007C030000}"/>
    <cellStyle name="_Multiple_MLM" xfId="1174" xr:uid="{00000000-0005-0000-0000-00007D030000}"/>
    <cellStyle name="_Multiple_MLP Val-Client-10_02_06" xfId="1175" xr:uid="{00000000-0005-0000-0000-00007E030000}"/>
    <cellStyle name="_Multiple_NAV" xfId="1176" xr:uid="{00000000-0005-0000-0000-00007F030000}"/>
    <cellStyle name="_Multiple_NFS" xfId="140" xr:uid="{00000000-0005-0000-0000-000080030000}"/>
    <cellStyle name="_Multiple_NRG 2005.07.22" xfId="1177" xr:uid="{00000000-0005-0000-0000-000081030000}"/>
    <cellStyle name="_Multiple_OSK" xfId="1178" xr:uid="{00000000-0005-0000-0000-000082030000}"/>
    <cellStyle name="_Multiple_Overview3" xfId="141" xr:uid="{00000000-0005-0000-0000-000083030000}"/>
    <cellStyle name="_Multiple_PCAR" xfId="1179" xr:uid="{00000000-0005-0000-0000-000084030000}"/>
    <cellStyle name="_Multiple_PH" xfId="1180" xr:uid="{00000000-0005-0000-0000-000085030000}"/>
    <cellStyle name="_Multiple_phil data" xfId="142" xr:uid="{00000000-0005-0000-0000-000086030000}"/>
    <cellStyle name="_Multiple_Price Performance Charts" xfId="143" xr:uid="{00000000-0005-0000-0000-000087030000}"/>
    <cellStyle name="_Multiple_PRU" xfId="144" xr:uid="{00000000-0005-0000-0000-000088030000}"/>
    <cellStyle name="_Multiple_PRU04" xfId="145" xr:uid="{00000000-0005-0000-0000-000089030000}"/>
    <cellStyle name="_Multiple_RBOC historicals" xfId="1181" xr:uid="{00000000-0005-0000-0000-00008A030000}"/>
    <cellStyle name="_Multiple_RBOC historicals 2" xfId="1182" xr:uid="{00000000-0005-0000-0000-00008B030000}"/>
    <cellStyle name="_Multiple_RBOC historicals 3" xfId="1183" xr:uid="{00000000-0005-0000-0000-00008C030000}"/>
    <cellStyle name="_Multiple_RBOC historicals_AG" xfId="1184" xr:uid="{00000000-0005-0000-0000-00008D030000}"/>
    <cellStyle name="_Multiple_RBOC historicals_CNH" xfId="1185" xr:uid="{00000000-0005-0000-0000-00008E030000}"/>
    <cellStyle name="_Multiple_RBOC historicals_DOV" xfId="1186" xr:uid="{00000000-0005-0000-0000-00008F030000}"/>
    <cellStyle name="_Multiple_RBOC historicals_ETN" xfId="1187" xr:uid="{00000000-0005-0000-0000-000090030000}"/>
    <cellStyle name="_Multiple_RBOC historicals_FSS" xfId="1188" xr:uid="{00000000-0005-0000-0000-000091030000}"/>
    <cellStyle name="_Multiple_RBOC historicals_JOYG" xfId="1189" xr:uid="{00000000-0005-0000-0000-000092030000}"/>
    <cellStyle name="_Multiple_RBOC historicals_MLM" xfId="1190" xr:uid="{00000000-0005-0000-0000-000093030000}"/>
    <cellStyle name="_Multiple_RBOC historicals_NAV" xfId="1191" xr:uid="{00000000-0005-0000-0000-000094030000}"/>
    <cellStyle name="_Multiple_RBOC historicals_OSK" xfId="1192" xr:uid="{00000000-0005-0000-0000-000095030000}"/>
    <cellStyle name="_Multiple_RBOC historicals_PCAR" xfId="1193" xr:uid="{00000000-0005-0000-0000-000096030000}"/>
    <cellStyle name="_Multiple_RBOC historicals_PH" xfId="1194" xr:uid="{00000000-0005-0000-0000-000097030000}"/>
    <cellStyle name="_Multiple_RiskReward" xfId="146" xr:uid="{00000000-0005-0000-0000-000098030000}"/>
    <cellStyle name="_Multiple_SFG" xfId="147" xr:uid="{00000000-0005-0000-0000-000099030000}"/>
    <cellStyle name="_Multiple_Sheet1" xfId="148" xr:uid="{00000000-0005-0000-0000-00009A030000}"/>
    <cellStyle name="_Multiple_Sheet1 2" xfId="3293" xr:uid="{00000000-0005-0000-0000-00009B030000}"/>
    <cellStyle name="_Multiple_Sheet1 3" xfId="3227" xr:uid="{00000000-0005-0000-0000-00009C030000}"/>
    <cellStyle name="_Multiple_Sheet1 4" xfId="1195" xr:uid="{00000000-0005-0000-0000-00009D030000}"/>
    <cellStyle name="_Multiple_SOP" xfId="1196" xr:uid="{00000000-0005-0000-0000-00009E030000}"/>
    <cellStyle name="_Multiple_SRE" xfId="1197" xr:uid="{00000000-0005-0000-0000-00009F030000}"/>
    <cellStyle name="_Multiple_SRE Working" xfId="1198" xr:uid="{00000000-0005-0000-0000-0000A0030000}"/>
    <cellStyle name="_Multiple_Stock-QTR1 FDS" xfId="149" xr:uid="{00000000-0005-0000-0000-0000A1030000}"/>
    <cellStyle name="_Multiple_symcqtis" xfId="1199" xr:uid="{00000000-0005-0000-0000-0000A2030000}"/>
    <cellStyle name="_Multiple_T - new" xfId="1200" xr:uid="{00000000-0005-0000-0000-0000A3030000}"/>
    <cellStyle name="_Multiple_T - new 2" xfId="1201" xr:uid="{00000000-0005-0000-0000-0000A4030000}"/>
    <cellStyle name="_Multiple_T - new 3" xfId="1202" xr:uid="{00000000-0005-0000-0000-0000A5030000}"/>
    <cellStyle name="_Multiple_T - new_AG" xfId="1203" xr:uid="{00000000-0005-0000-0000-0000A6030000}"/>
    <cellStyle name="_Multiple_T - new_CNH" xfId="1204" xr:uid="{00000000-0005-0000-0000-0000A7030000}"/>
    <cellStyle name="_Multiple_T - new_DOV" xfId="1205" xr:uid="{00000000-0005-0000-0000-0000A8030000}"/>
    <cellStyle name="_Multiple_T - new_ETN" xfId="1206" xr:uid="{00000000-0005-0000-0000-0000A9030000}"/>
    <cellStyle name="_Multiple_T - new_FSS" xfId="1207" xr:uid="{00000000-0005-0000-0000-0000AA030000}"/>
    <cellStyle name="_Multiple_T - new_JOYG" xfId="1208" xr:uid="{00000000-0005-0000-0000-0000AB030000}"/>
    <cellStyle name="_Multiple_T - new_MLM" xfId="1209" xr:uid="{00000000-0005-0000-0000-0000AC030000}"/>
    <cellStyle name="_Multiple_T - new_NAV" xfId="1210" xr:uid="{00000000-0005-0000-0000-0000AD030000}"/>
    <cellStyle name="_Multiple_T - new_OSK" xfId="1211" xr:uid="{00000000-0005-0000-0000-0000AE030000}"/>
    <cellStyle name="_Multiple_T - new_PCAR" xfId="1212" xr:uid="{00000000-0005-0000-0000-0000AF030000}"/>
    <cellStyle name="_Multiple_T - new_PH" xfId="1213" xr:uid="{00000000-0005-0000-0000-0000B0030000}"/>
    <cellStyle name="_Multiple_TMK" xfId="150" xr:uid="{00000000-0005-0000-0000-0000B1030000}"/>
    <cellStyle name="_Multiple_Updated Valuation Changes" xfId="151" xr:uid="{00000000-0005-0000-0000-0000B2030000}"/>
    <cellStyle name="_Multiple_Val Sheets" xfId="1214" xr:uid="{00000000-0005-0000-0000-0000B3030000}"/>
    <cellStyle name="_Multiple_Valuation Graphs" xfId="152" xr:uid="{00000000-0005-0000-0000-0000B4030000}"/>
    <cellStyle name="_Multiple_WFT published 1-30-07 Client version (2)" xfId="1215" xr:uid="{00000000-0005-0000-0000-0000B5030000}"/>
    <cellStyle name="_Multiple_WFT published 1-30-07 Client version (2) 2" xfId="1216" xr:uid="{00000000-0005-0000-0000-0000B6030000}"/>
    <cellStyle name="_Multiple_xratio - historical mkt val" xfId="153" xr:uid="{00000000-0005-0000-0000-0000B7030000}"/>
    <cellStyle name="_MultipleSpace" xfId="154" xr:uid="{00000000-0005-0000-0000-0000B8030000}"/>
    <cellStyle name="_MultipleSpace 2" xfId="443" xr:uid="{00000000-0005-0000-0000-0000B9030000}"/>
    <cellStyle name="_MultipleSpace 2 2" xfId="3122" xr:uid="{00000000-0005-0000-0000-0000BA030000}"/>
    <cellStyle name="_MultipleSpace 2 3" xfId="1218" xr:uid="{00000000-0005-0000-0000-0000BB030000}"/>
    <cellStyle name="_MultipleSpace 3" xfId="444" xr:uid="{00000000-0005-0000-0000-0000BC030000}"/>
    <cellStyle name="_MultipleSpace 3 2" xfId="3123" xr:uid="{00000000-0005-0000-0000-0000BD030000}"/>
    <cellStyle name="_MultipleSpace 3 3" xfId="1219" xr:uid="{00000000-0005-0000-0000-0000BE030000}"/>
    <cellStyle name="_MultipleSpace 4" xfId="445" xr:uid="{00000000-0005-0000-0000-0000BF030000}"/>
    <cellStyle name="_MultipleSpace 5" xfId="3121" xr:uid="{00000000-0005-0000-0000-0000C0030000}"/>
    <cellStyle name="_MultipleSpace 6" xfId="1217" xr:uid="{00000000-0005-0000-0000-0000C1030000}"/>
    <cellStyle name="_MultipleSpace 7" xfId="442" xr:uid="{00000000-0005-0000-0000-0000C2030000}"/>
    <cellStyle name="_MultipleSpace_01 adj for merger plan" xfId="155" xr:uid="{00000000-0005-0000-0000-0000C3030000}"/>
    <cellStyle name="_MultipleSpace_Ability to Pay Analysis" xfId="156" xr:uid="{00000000-0005-0000-0000-0000C4030000}"/>
    <cellStyle name="_MultipleSpace_AFL" xfId="157" xr:uid="{00000000-0005-0000-0000-0000C5030000}"/>
    <cellStyle name="_MultipleSpace_AG" xfId="1220" xr:uid="{00000000-0005-0000-0000-0000C6030000}"/>
    <cellStyle name="_MultipleSpace_AIZ" xfId="158" xr:uid="{00000000-0005-0000-0000-0000C7030000}"/>
    <cellStyle name="_MultipleSpace_AMP" xfId="159" xr:uid="{00000000-0005-0000-0000-0000C8030000}"/>
    <cellStyle name="_MultipleSpace_Balance Sheet" xfId="160" xr:uid="{00000000-0005-0000-0000-0000C9030000}"/>
    <cellStyle name="_MultipleSpace_BHI" xfId="1221" xr:uid="{00000000-0005-0000-0000-0000CA030000}"/>
    <cellStyle name="_MultipleSpace_BHI 2" xfId="1222" xr:uid="{00000000-0005-0000-0000-0000CB030000}"/>
    <cellStyle name="_MultipleSpace_BHI 3" xfId="1223" xr:uid="{00000000-0005-0000-0000-0000CC030000}"/>
    <cellStyle name="_MultipleSpace_BHI_AG" xfId="1224" xr:uid="{00000000-0005-0000-0000-0000CD030000}"/>
    <cellStyle name="_MultipleSpace_BHI_CNH" xfId="1225" xr:uid="{00000000-0005-0000-0000-0000CE030000}"/>
    <cellStyle name="_MultipleSpace_BHI_DOV" xfId="1226" xr:uid="{00000000-0005-0000-0000-0000CF030000}"/>
    <cellStyle name="_MultipleSpace_BHI_ETN" xfId="1227" xr:uid="{00000000-0005-0000-0000-0000D0030000}"/>
    <cellStyle name="_MultipleSpace_BHI_FSS" xfId="1228" xr:uid="{00000000-0005-0000-0000-0000D1030000}"/>
    <cellStyle name="_MultipleSpace_BHI_JOYG" xfId="1229" xr:uid="{00000000-0005-0000-0000-0000D2030000}"/>
    <cellStyle name="_MultipleSpace_BHI_MLM" xfId="1230" xr:uid="{00000000-0005-0000-0000-0000D3030000}"/>
    <cellStyle name="_MultipleSpace_BHI_NAV" xfId="1231" xr:uid="{00000000-0005-0000-0000-0000D4030000}"/>
    <cellStyle name="_MultipleSpace_BHI_OSK" xfId="1232" xr:uid="{00000000-0005-0000-0000-0000D5030000}"/>
    <cellStyle name="_MultipleSpace_BHI_PCAR" xfId="1233" xr:uid="{00000000-0005-0000-0000-0000D6030000}"/>
    <cellStyle name="_MultipleSpace_BHI_PH" xfId="1234" xr:uid="{00000000-0005-0000-0000-0000D7030000}"/>
    <cellStyle name="_MultipleSpace_bls roic" xfId="1235" xr:uid="{00000000-0005-0000-0000-0000D8030000}"/>
    <cellStyle name="_MultipleSpace_bls roic 2" xfId="1236" xr:uid="{00000000-0005-0000-0000-0000D9030000}"/>
    <cellStyle name="_MultipleSpace_bls roic 3" xfId="1237" xr:uid="{00000000-0005-0000-0000-0000DA030000}"/>
    <cellStyle name="_MultipleSpace_bls roic_AG" xfId="1238" xr:uid="{00000000-0005-0000-0000-0000DB030000}"/>
    <cellStyle name="_MultipleSpace_bls roic_CNH" xfId="1239" xr:uid="{00000000-0005-0000-0000-0000DC030000}"/>
    <cellStyle name="_MultipleSpace_bls roic_DOV" xfId="1240" xr:uid="{00000000-0005-0000-0000-0000DD030000}"/>
    <cellStyle name="_MultipleSpace_bls roic_ETN" xfId="1241" xr:uid="{00000000-0005-0000-0000-0000DE030000}"/>
    <cellStyle name="_MultipleSpace_bls roic_FSS" xfId="1242" xr:uid="{00000000-0005-0000-0000-0000DF030000}"/>
    <cellStyle name="_MultipleSpace_bls roic_JOYG" xfId="1243" xr:uid="{00000000-0005-0000-0000-0000E0030000}"/>
    <cellStyle name="_MultipleSpace_bls roic_MLM" xfId="1244" xr:uid="{00000000-0005-0000-0000-0000E1030000}"/>
    <cellStyle name="_MultipleSpace_bls roic_NAV" xfId="1245" xr:uid="{00000000-0005-0000-0000-0000E2030000}"/>
    <cellStyle name="_MultipleSpace_bls roic_OSK" xfId="1246" xr:uid="{00000000-0005-0000-0000-0000E3030000}"/>
    <cellStyle name="_MultipleSpace_bls roic_PCAR" xfId="1247" xr:uid="{00000000-0005-0000-0000-0000E4030000}"/>
    <cellStyle name="_MultipleSpace_bls roic_PH" xfId="1248" xr:uid="{00000000-0005-0000-0000-0000E5030000}"/>
    <cellStyle name="_MultipleSpace_Book1" xfId="161" xr:uid="{00000000-0005-0000-0000-0000E6030000}"/>
    <cellStyle name="_MultipleSpace_Book29" xfId="162" xr:uid="{00000000-0005-0000-0000-0000E7030000}"/>
    <cellStyle name="_MultipleSpace_Book3" xfId="163" xr:uid="{00000000-0005-0000-0000-0000E8030000}"/>
    <cellStyle name="_MultipleSpace_Book3 2" xfId="3294" xr:uid="{00000000-0005-0000-0000-0000E9030000}"/>
    <cellStyle name="_MultipleSpace_Book3 3" xfId="3228" xr:uid="{00000000-0005-0000-0000-0000EA030000}"/>
    <cellStyle name="_MultipleSpace_Book3 4" xfId="1249" xr:uid="{00000000-0005-0000-0000-0000EB030000}"/>
    <cellStyle name="_MultipleSpace_Book3_1" xfId="164" xr:uid="{00000000-0005-0000-0000-0000EC030000}"/>
    <cellStyle name="_MultipleSpace_Broadcasting" xfId="1250" xr:uid="{00000000-0005-0000-0000-0000ED030000}"/>
    <cellStyle name="_MultipleSpace_capital expenditures 6-18-02" xfId="1251" xr:uid="{00000000-0005-0000-0000-0000EE030000}"/>
    <cellStyle name="_MultipleSpace_capital expenditures 6-18-02 2" xfId="1252" xr:uid="{00000000-0005-0000-0000-0000EF030000}"/>
    <cellStyle name="_MultipleSpace_capital expenditures 6-18-02 3" xfId="1253" xr:uid="{00000000-0005-0000-0000-0000F0030000}"/>
    <cellStyle name="_MultipleSpace_capital expenditures 6-18-02_AG" xfId="1254" xr:uid="{00000000-0005-0000-0000-0000F1030000}"/>
    <cellStyle name="_MultipleSpace_capital expenditures 6-18-02_CNH" xfId="1255" xr:uid="{00000000-0005-0000-0000-0000F2030000}"/>
    <cellStyle name="_MultipleSpace_capital expenditures 6-18-02_DOV" xfId="1256" xr:uid="{00000000-0005-0000-0000-0000F3030000}"/>
    <cellStyle name="_MultipleSpace_capital expenditures 6-18-02_ETN" xfId="1257" xr:uid="{00000000-0005-0000-0000-0000F4030000}"/>
    <cellStyle name="_MultipleSpace_capital expenditures 6-18-02_FSS" xfId="1258" xr:uid="{00000000-0005-0000-0000-0000F5030000}"/>
    <cellStyle name="_MultipleSpace_capital expenditures 6-18-02_JOYG" xfId="1259" xr:uid="{00000000-0005-0000-0000-0000F6030000}"/>
    <cellStyle name="_MultipleSpace_capital expenditures 6-18-02_MLM" xfId="1260" xr:uid="{00000000-0005-0000-0000-0000F7030000}"/>
    <cellStyle name="_MultipleSpace_capital expenditures 6-18-02_NAV" xfId="1261" xr:uid="{00000000-0005-0000-0000-0000F8030000}"/>
    <cellStyle name="_MultipleSpace_capital expenditures 6-18-02_OSK" xfId="1262" xr:uid="{00000000-0005-0000-0000-0000F9030000}"/>
    <cellStyle name="_MultipleSpace_capital expenditures 6-18-02_PCAR" xfId="1263" xr:uid="{00000000-0005-0000-0000-0000FA030000}"/>
    <cellStyle name="_MultipleSpace_capital expenditures 6-18-02_PH" xfId="1264" xr:uid="{00000000-0005-0000-0000-0000FB030000}"/>
    <cellStyle name="_MultipleSpace_CNH" xfId="1265" xr:uid="{00000000-0005-0000-0000-0000FC030000}"/>
    <cellStyle name="_MultipleSpace_CNO" xfId="165" xr:uid="{00000000-0005-0000-0000-0000FD030000}"/>
    <cellStyle name="_MultipleSpace_Commtech" xfId="1266" xr:uid="{00000000-0005-0000-0000-0000FE030000}"/>
    <cellStyle name="_MultipleSpace_CRO 3Q group metrics 12-22-03 for reports" xfId="1267" xr:uid="{00000000-0005-0000-0000-0000FF030000}"/>
    <cellStyle name="_MultipleSpace_CRO comp metrics 4Q03 2-18-04 send out" xfId="1268" xr:uid="{00000000-0005-0000-0000-000000040000}"/>
    <cellStyle name="_MultipleSpace_csc" xfId="1269" xr:uid="{00000000-0005-0000-0000-000001040000}"/>
    <cellStyle name="_MultipleSpace_Data" xfId="1270" xr:uid="{00000000-0005-0000-0000-000002040000}"/>
    <cellStyle name="_MultipleSpace_DCF Alexander Forbes" xfId="166" xr:uid="{00000000-0005-0000-0000-000003040000}"/>
    <cellStyle name="_MultipleSpace_DOV" xfId="1271" xr:uid="{00000000-0005-0000-0000-000004040000}"/>
    <cellStyle name="_MultipleSpace_DUK" xfId="1272" xr:uid="{00000000-0005-0000-0000-000005040000}"/>
    <cellStyle name="_MultipleSpace_ED 2005.08.01" xfId="1273" xr:uid="{00000000-0005-0000-0000-000006040000}"/>
    <cellStyle name="_MultipleSpace_ETN" xfId="1274" xr:uid="{00000000-0005-0000-0000-000007040000}"/>
    <cellStyle name="_MultipleSpace_fmbi counties" xfId="167" xr:uid="{00000000-0005-0000-0000-000008040000}"/>
    <cellStyle name="_MultipleSpace_FMBI MBHI Graphs" xfId="168" xr:uid="{00000000-0005-0000-0000-000009040000}"/>
    <cellStyle name="_MultipleSpace_FMBI MBHI Graphs 07102001" xfId="169" xr:uid="{00000000-0005-0000-0000-00000A040000}"/>
    <cellStyle name="_MultipleSpace_FMBI MBHI Graphs_7601" xfId="170" xr:uid="{00000000-0005-0000-0000-00000B040000}"/>
    <cellStyle name="_MultipleSpace_FSS" xfId="1275" xr:uid="{00000000-0005-0000-0000-00000C040000}"/>
    <cellStyle name="_MultipleSpace_GNW" xfId="171" xr:uid="{00000000-0005-0000-0000-00000D040000}"/>
    <cellStyle name="_MultipleSpace_GS_Brant_CSCO_mod (Working)" xfId="1276" xr:uid="{00000000-0005-0000-0000-00000E040000}"/>
    <cellStyle name="_MultipleSpace_GS_BRANT_MOTMOD" xfId="1277" xr:uid="{00000000-0005-0000-0000-00000F040000}"/>
    <cellStyle name="_MultipleSpace_gs_scur_internal " xfId="1278" xr:uid="{00000000-0005-0000-0000-000010040000}"/>
    <cellStyle name="_MultipleSpace_gs_scur_internal  2" xfId="1279" xr:uid="{00000000-0005-0000-0000-000011040000}"/>
    <cellStyle name="_MultipleSpace_Hist Summary" xfId="1280" xr:uid="{00000000-0005-0000-0000-000012040000}"/>
    <cellStyle name="_MultipleSpace_Insurance Brokerage CSC_1Q2002" xfId="172" xr:uid="{00000000-0005-0000-0000-000013040000}"/>
    <cellStyle name="_MultipleSpace_JOYG" xfId="1281" xr:uid="{00000000-0005-0000-0000-000014040000}"/>
    <cellStyle name="_MultipleSpace_JP" xfId="173" xr:uid="{00000000-0005-0000-0000-000015040000}"/>
    <cellStyle name="_MultipleSpace_Kent" xfId="1282" xr:uid="{00000000-0005-0000-0000-000016040000}"/>
    <cellStyle name="_MultipleSpace_LNC" xfId="174" xr:uid="{00000000-0005-0000-0000-000017040000}"/>
    <cellStyle name="_MultipleSpace_Machinery group valuation" xfId="1283" xr:uid="{00000000-0005-0000-0000-000018040000}"/>
    <cellStyle name="_MultipleSpace_MET" xfId="175" xr:uid="{00000000-0005-0000-0000-000019040000}"/>
    <cellStyle name="_MultipleSpace_MET04" xfId="176" xr:uid="{00000000-0005-0000-0000-00001A040000}"/>
    <cellStyle name="_MultipleSpace_MHS" xfId="1284" xr:uid="{00000000-0005-0000-0000-00001B040000}"/>
    <cellStyle name="_MultipleSpace_MLM" xfId="1285" xr:uid="{00000000-0005-0000-0000-00001C040000}"/>
    <cellStyle name="_MultipleSpace_MLP Val-Client-10_02_06" xfId="1286" xr:uid="{00000000-0005-0000-0000-00001D040000}"/>
    <cellStyle name="_MultipleSpace_NAV" xfId="1287" xr:uid="{00000000-0005-0000-0000-00001E040000}"/>
    <cellStyle name="_MultipleSpace_NFS" xfId="177" xr:uid="{00000000-0005-0000-0000-00001F040000}"/>
    <cellStyle name="_MultipleSpace_NRG 2005.07.22" xfId="1288" xr:uid="{00000000-0005-0000-0000-000020040000}"/>
    <cellStyle name="_MultipleSpace_OSK" xfId="1289" xr:uid="{00000000-0005-0000-0000-000021040000}"/>
    <cellStyle name="_MultipleSpace_Overview3" xfId="178" xr:uid="{00000000-0005-0000-0000-000022040000}"/>
    <cellStyle name="_MultipleSpace_PCAR" xfId="1290" xr:uid="{00000000-0005-0000-0000-000023040000}"/>
    <cellStyle name="_MultipleSpace_PH" xfId="1291" xr:uid="{00000000-0005-0000-0000-000024040000}"/>
    <cellStyle name="_MultipleSpace_phil data" xfId="179" xr:uid="{00000000-0005-0000-0000-000025040000}"/>
    <cellStyle name="_MultipleSpace_Price Performance Charts" xfId="180" xr:uid="{00000000-0005-0000-0000-000026040000}"/>
    <cellStyle name="_MultipleSpace_PRU" xfId="181" xr:uid="{00000000-0005-0000-0000-000027040000}"/>
    <cellStyle name="_MultipleSpace_PRU04" xfId="182" xr:uid="{00000000-0005-0000-0000-000028040000}"/>
    <cellStyle name="_MultipleSpace_RBOC historicals" xfId="1292" xr:uid="{00000000-0005-0000-0000-000029040000}"/>
    <cellStyle name="_MultipleSpace_RBOC historicals 2" xfId="1293" xr:uid="{00000000-0005-0000-0000-00002A040000}"/>
    <cellStyle name="_MultipleSpace_RBOC historicals 3" xfId="1294" xr:uid="{00000000-0005-0000-0000-00002B040000}"/>
    <cellStyle name="_MultipleSpace_RBOC historicals_AG" xfId="1295" xr:uid="{00000000-0005-0000-0000-00002C040000}"/>
    <cellStyle name="_MultipleSpace_RBOC historicals_CNH" xfId="1296" xr:uid="{00000000-0005-0000-0000-00002D040000}"/>
    <cellStyle name="_MultipleSpace_RBOC historicals_DOV" xfId="1297" xr:uid="{00000000-0005-0000-0000-00002E040000}"/>
    <cellStyle name="_MultipleSpace_RBOC historicals_ETN" xfId="1298" xr:uid="{00000000-0005-0000-0000-00002F040000}"/>
    <cellStyle name="_MultipleSpace_RBOC historicals_FSS" xfId="1299" xr:uid="{00000000-0005-0000-0000-000030040000}"/>
    <cellStyle name="_MultipleSpace_RBOC historicals_JOYG" xfId="1300" xr:uid="{00000000-0005-0000-0000-000031040000}"/>
    <cellStyle name="_MultipleSpace_RBOC historicals_MLM" xfId="1301" xr:uid="{00000000-0005-0000-0000-000032040000}"/>
    <cellStyle name="_MultipleSpace_RBOC historicals_NAV" xfId="1302" xr:uid="{00000000-0005-0000-0000-000033040000}"/>
    <cellStyle name="_MultipleSpace_RBOC historicals_OSK" xfId="1303" xr:uid="{00000000-0005-0000-0000-000034040000}"/>
    <cellStyle name="_MultipleSpace_RBOC historicals_PCAR" xfId="1304" xr:uid="{00000000-0005-0000-0000-000035040000}"/>
    <cellStyle name="_MultipleSpace_RBOC historicals_PH" xfId="1305" xr:uid="{00000000-0005-0000-0000-000036040000}"/>
    <cellStyle name="_MultipleSpace_RiskReward" xfId="183" xr:uid="{00000000-0005-0000-0000-000037040000}"/>
    <cellStyle name="_MultipleSpace_SFG" xfId="184" xr:uid="{00000000-0005-0000-0000-000038040000}"/>
    <cellStyle name="_MultipleSpace_Sheet1" xfId="185" xr:uid="{00000000-0005-0000-0000-000039040000}"/>
    <cellStyle name="_MultipleSpace_Sheet1 2" xfId="3295" xr:uid="{00000000-0005-0000-0000-00003A040000}"/>
    <cellStyle name="_MultipleSpace_Sheet1 3" xfId="3229" xr:uid="{00000000-0005-0000-0000-00003B040000}"/>
    <cellStyle name="_MultipleSpace_Sheet1 4" xfId="1306" xr:uid="{00000000-0005-0000-0000-00003C040000}"/>
    <cellStyle name="_MultipleSpace_SOP" xfId="1307" xr:uid="{00000000-0005-0000-0000-00003D040000}"/>
    <cellStyle name="_MultipleSpace_SRE" xfId="1308" xr:uid="{00000000-0005-0000-0000-00003E040000}"/>
    <cellStyle name="_MultipleSpace_SRE Working" xfId="1309" xr:uid="{00000000-0005-0000-0000-00003F040000}"/>
    <cellStyle name="_MultipleSpace_Stock-QTR1 FDS" xfId="186" xr:uid="{00000000-0005-0000-0000-000040040000}"/>
    <cellStyle name="_MultipleSpace_symcqtis" xfId="1310" xr:uid="{00000000-0005-0000-0000-000041040000}"/>
    <cellStyle name="_MultipleSpace_T - new" xfId="1311" xr:uid="{00000000-0005-0000-0000-000042040000}"/>
    <cellStyle name="_MultipleSpace_T - new 2" xfId="1312" xr:uid="{00000000-0005-0000-0000-000043040000}"/>
    <cellStyle name="_MultipleSpace_T - new 3" xfId="1313" xr:uid="{00000000-0005-0000-0000-000044040000}"/>
    <cellStyle name="_MultipleSpace_T - new_AG" xfId="1314" xr:uid="{00000000-0005-0000-0000-000045040000}"/>
    <cellStyle name="_MultipleSpace_T - new_CNH" xfId="1315" xr:uid="{00000000-0005-0000-0000-000046040000}"/>
    <cellStyle name="_MultipleSpace_T - new_DOV" xfId="1316" xr:uid="{00000000-0005-0000-0000-000047040000}"/>
    <cellStyle name="_MultipleSpace_T - new_ETN" xfId="1317" xr:uid="{00000000-0005-0000-0000-000048040000}"/>
    <cellStyle name="_MultipleSpace_T - new_FSS" xfId="1318" xr:uid="{00000000-0005-0000-0000-000049040000}"/>
    <cellStyle name="_MultipleSpace_T - new_JOYG" xfId="1319" xr:uid="{00000000-0005-0000-0000-00004A040000}"/>
    <cellStyle name="_MultipleSpace_T - new_MLM" xfId="1320" xr:uid="{00000000-0005-0000-0000-00004B040000}"/>
    <cellStyle name="_MultipleSpace_T - new_NAV" xfId="1321" xr:uid="{00000000-0005-0000-0000-00004C040000}"/>
    <cellStyle name="_MultipleSpace_T - new_OSK" xfId="1322" xr:uid="{00000000-0005-0000-0000-00004D040000}"/>
    <cellStyle name="_MultipleSpace_T - new_PCAR" xfId="1323" xr:uid="{00000000-0005-0000-0000-00004E040000}"/>
    <cellStyle name="_MultipleSpace_T - new_PH" xfId="1324" xr:uid="{00000000-0005-0000-0000-00004F040000}"/>
    <cellStyle name="_MultipleSpace_TMK" xfId="187" xr:uid="{00000000-0005-0000-0000-000050040000}"/>
    <cellStyle name="_MultipleSpace_Updated Valuation Changes" xfId="188" xr:uid="{00000000-0005-0000-0000-000051040000}"/>
    <cellStyle name="_MultipleSpace_Val Sheets" xfId="1325" xr:uid="{00000000-0005-0000-0000-000052040000}"/>
    <cellStyle name="_MultipleSpace_Valuation Graphs" xfId="189" xr:uid="{00000000-0005-0000-0000-000053040000}"/>
    <cellStyle name="_MultipleSpace_WFT published 1-30-07 Client version (2)" xfId="1326" xr:uid="{00000000-0005-0000-0000-000054040000}"/>
    <cellStyle name="_MultipleSpace_WFT published 1-30-07 Client version (2) 2" xfId="1327" xr:uid="{00000000-0005-0000-0000-000055040000}"/>
    <cellStyle name="_MultipleSpace_xratio - historical mkt val" xfId="190" xr:uid="{00000000-0005-0000-0000-000056040000}"/>
    <cellStyle name="_Percent" xfId="191" xr:uid="{00000000-0005-0000-0000-000057040000}"/>
    <cellStyle name="_Percent 2" xfId="1328" xr:uid="{00000000-0005-0000-0000-000058040000}"/>
    <cellStyle name="_Percent 3" xfId="1329" xr:uid="{00000000-0005-0000-0000-000059040000}"/>
    <cellStyle name="_Percent_AG" xfId="1330" xr:uid="{00000000-0005-0000-0000-00005A040000}"/>
    <cellStyle name="_Percent_BHI" xfId="1331" xr:uid="{00000000-0005-0000-0000-00005B040000}"/>
    <cellStyle name="_Percent_BHI 2" xfId="1332" xr:uid="{00000000-0005-0000-0000-00005C040000}"/>
    <cellStyle name="_Percent_BHI 3" xfId="1333" xr:uid="{00000000-0005-0000-0000-00005D040000}"/>
    <cellStyle name="_Percent_BHI_AG" xfId="1334" xr:uid="{00000000-0005-0000-0000-00005E040000}"/>
    <cellStyle name="_Percent_BHI_CNH" xfId="1335" xr:uid="{00000000-0005-0000-0000-00005F040000}"/>
    <cellStyle name="_Percent_BHI_DOV" xfId="1336" xr:uid="{00000000-0005-0000-0000-000060040000}"/>
    <cellStyle name="_Percent_BHI_ETN" xfId="1337" xr:uid="{00000000-0005-0000-0000-000061040000}"/>
    <cellStyle name="_Percent_BHI_FSS" xfId="1338" xr:uid="{00000000-0005-0000-0000-000062040000}"/>
    <cellStyle name="_Percent_BHI_JOYG" xfId="1339" xr:uid="{00000000-0005-0000-0000-000063040000}"/>
    <cellStyle name="_Percent_BHI_MLM" xfId="1340" xr:uid="{00000000-0005-0000-0000-000064040000}"/>
    <cellStyle name="_Percent_BHI_NAV" xfId="1341" xr:uid="{00000000-0005-0000-0000-000065040000}"/>
    <cellStyle name="_Percent_BHI_OSK" xfId="1342" xr:uid="{00000000-0005-0000-0000-000066040000}"/>
    <cellStyle name="_Percent_BHI_PCAR" xfId="1343" xr:uid="{00000000-0005-0000-0000-000067040000}"/>
    <cellStyle name="_Percent_BHI_PH" xfId="1344" xr:uid="{00000000-0005-0000-0000-000068040000}"/>
    <cellStyle name="_Percent_Broadcasting" xfId="1345" xr:uid="{00000000-0005-0000-0000-000069040000}"/>
    <cellStyle name="_Percent_CNH" xfId="1346" xr:uid="{00000000-0005-0000-0000-00006A040000}"/>
    <cellStyle name="_Percent_Commtech" xfId="1347" xr:uid="{00000000-0005-0000-0000-00006B040000}"/>
    <cellStyle name="_Percent_DCF Alexander Forbes" xfId="192" xr:uid="{00000000-0005-0000-0000-00006C040000}"/>
    <cellStyle name="_Percent_DOV" xfId="1348" xr:uid="{00000000-0005-0000-0000-00006D040000}"/>
    <cellStyle name="_Percent_ETN" xfId="1349" xr:uid="{00000000-0005-0000-0000-00006E040000}"/>
    <cellStyle name="_Percent_FMBI MBHI Graphs" xfId="193" xr:uid="{00000000-0005-0000-0000-00006F040000}"/>
    <cellStyle name="_Percent_FMBI MBHI Graphs 07102001" xfId="194" xr:uid="{00000000-0005-0000-0000-000070040000}"/>
    <cellStyle name="_Percent_FMBI MBHI Graphs_7601" xfId="195" xr:uid="{00000000-0005-0000-0000-000071040000}"/>
    <cellStyle name="_Percent_FSS" xfId="1350" xr:uid="{00000000-0005-0000-0000-000072040000}"/>
    <cellStyle name="_Percent_GS_Brant_CSCO_mod (Working)" xfId="1351" xr:uid="{00000000-0005-0000-0000-000073040000}"/>
    <cellStyle name="_Percent_GS_BRANT_MOTMOD" xfId="1352" xr:uid="{00000000-0005-0000-0000-000074040000}"/>
    <cellStyle name="_Percent_gs_scur_internal " xfId="1353" xr:uid="{00000000-0005-0000-0000-000075040000}"/>
    <cellStyle name="_Percent_gs_scur_internal  2" xfId="1354" xr:uid="{00000000-0005-0000-0000-000076040000}"/>
    <cellStyle name="_Percent_Hist Summary" xfId="1355" xr:uid="{00000000-0005-0000-0000-000077040000}"/>
    <cellStyle name="_Percent_JOYG" xfId="1356" xr:uid="{00000000-0005-0000-0000-000078040000}"/>
    <cellStyle name="_Percent_Kent" xfId="1357" xr:uid="{00000000-0005-0000-0000-000079040000}"/>
    <cellStyle name="_Percent_Machinery group valuation" xfId="1358" xr:uid="{00000000-0005-0000-0000-00007A040000}"/>
    <cellStyle name="_Percent_MLM" xfId="1359" xr:uid="{00000000-0005-0000-0000-00007B040000}"/>
    <cellStyle name="_Percent_MLP Val-Client-10_02_06" xfId="1360" xr:uid="{00000000-0005-0000-0000-00007C040000}"/>
    <cellStyle name="_Percent_NAV" xfId="1361" xr:uid="{00000000-0005-0000-0000-00007D040000}"/>
    <cellStyle name="_Percent_OSK" xfId="1362" xr:uid="{00000000-0005-0000-0000-00007E040000}"/>
    <cellStyle name="_Percent_PCAR" xfId="1363" xr:uid="{00000000-0005-0000-0000-00007F040000}"/>
    <cellStyle name="_Percent_PH" xfId="1364" xr:uid="{00000000-0005-0000-0000-000080040000}"/>
    <cellStyle name="_Percent_Sheet1" xfId="1365" xr:uid="{00000000-0005-0000-0000-000081040000}"/>
    <cellStyle name="_Percent_symcqtis" xfId="1366" xr:uid="{00000000-0005-0000-0000-000082040000}"/>
    <cellStyle name="_Percent_Utility" xfId="1367" xr:uid="{00000000-0005-0000-0000-000083040000}"/>
    <cellStyle name="_Percent_WFT published 1-30-07 Client version (2)" xfId="1368" xr:uid="{00000000-0005-0000-0000-000084040000}"/>
    <cellStyle name="_Percent_WFT published 1-30-07 Client version (2) 2" xfId="1369" xr:uid="{00000000-0005-0000-0000-000085040000}"/>
    <cellStyle name="_PercentSpace" xfId="196" xr:uid="{00000000-0005-0000-0000-000086040000}"/>
    <cellStyle name="_PercentSpace 2" xfId="1370" xr:uid="{00000000-0005-0000-0000-000087040000}"/>
    <cellStyle name="_PercentSpace 3" xfId="1371" xr:uid="{00000000-0005-0000-0000-000088040000}"/>
    <cellStyle name="_PercentSpace_01 adj for merger plan" xfId="197" xr:uid="{00000000-0005-0000-0000-000089040000}"/>
    <cellStyle name="_PercentSpace_AG" xfId="1372" xr:uid="{00000000-0005-0000-0000-00008A040000}"/>
    <cellStyle name="_PercentSpace_BHI" xfId="1373" xr:uid="{00000000-0005-0000-0000-00008B040000}"/>
    <cellStyle name="_PercentSpace_BHI 2" xfId="1374" xr:uid="{00000000-0005-0000-0000-00008C040000}"/>
    <cellStyle name="_PercentSpace_BHI 3" xfId="1375" xr:uid="{00000000-0005-0000-0000-00008D040000}"/>
    <cellStyle name="_PercentSpace_BHI_AG" xfId="1376" xr:uid="{00000000-0005-0000-0000-00008E040000}"/>
    <cellStyle name="_PercentSpace_BHI_CNH" xfId="1377" xr:uid="{00000000-0005-0000-0000-00008F040000}"/>
    <cellStyle name="_PercentSpace_BHI_DOV" xfId="1378" xr:uid="{00000000-0005-0000-0000-000090040000}"/>
    <cellStyle name="_PercentSpace_BHI_ETN" xfId="1379" xr:uid="{00000000-0005-0000-0000-000091040000}"/>
    <cellStyle name="_PercentSpace_BHI_FSS" xfId="1380" xr:uid="{00000000-0005-0000-0000-000092040000}"/>
    <cellStyle name="_PercentSpace_BHI_JOYG" xfId="1381" xr:uid="{00000000-0005-0000-0000-000093040000}"/>
    <cellStyle name="_PercentSpace_BHI_MLM" xfId="1382" xr:uid="{00000000-0005-0000-0000-000094040000}"/>
    <cellStyle name="_PercentSpace_BHI_NAV" xfId="1383" xr:uid="{00000000-0005-0000-0000-000095040000}"/>
    <cellStyle name="_PercentSpace_BHI_OSK" xfId="1384" xr:uid="{00000000-0005-0000-0000-000096040000}"/>
    <cellStyle name="_PercentSpace_BHI_PCAR" xfId="1385" xr:uid="{00000000-0005-0000-0000-000097040000}"/>
    <cellStyle name="_PercentSpace_BHI_PH" xfId="1386" xr:uid="{00000000-0005-0000-0000-000098040000}"/>
    <cellStyle name="_PercentSpace_Broadcasting" xfId="1387" xr:uid="{00000000-0005-0000-0000-000099040000}"/>
    <cellStyle name="_PercentSpace_CNH" xfId="1388" xr:uid="{00000000-0005-0000-0000-00009A040000}"/>
    <cellStyle name="_PercentSpace_Commtech" xfId="1389" xr:uid="{00000000-0005-0000-0000-00009B040000}"/>
    <cellStyle name="_PercentSpace_DCF Alexander Forbes" xfId="198" xr:uid="{00000000-0005-0000-0000-00009C040000}"/>
    <cellStyle name="_PercentSpace_DOV" xfId="1390" xr:uid="{00000000-0005-0000-0000-00009D040000}"/>
    <cellStyle name="_PercentSpace_ETN" xfId="1391" xr:uid="{00000000-0005-0000-0000-00009E040000}"/>
    <cellStyle name="_PercentSpace_FMBI MBHI Graphs" xfId="199" xr:uid="{00000000-0005-0000-0000-00009F040000}"/>
    <cellStyle name="_PercentSpace_FMBI MBHI Graphs 07102001" xfId="200" xr:uid="{00000000-0005-0000-0000-0000A0040000}"/>
    <cellStyle name="_PercentSpace_FMBI MBHI Graphs_7601" xfId="201" xr:uid="{00000000-0005-0000-0000-0000A1040000}"/>
    <cellStyle name="_PercentSpace_FSS" xfId="1392" xr:uid="{00000000-0005-0000-0000-0000A2040000}"/>
    <cellStyle name="_PercentSpace_GS_Brant_CSCO_mod (Working)" xfId="1393" xr:uid="{00000000-0005-0000-0000-0000A3040000}"/>
    <cellStyle name="_PercentSpace_GS_BRANT_MOTMOD" xfId="1394" xr:uid="{00000000-0005-0000-0000-0000A4040000}"/>
    <cellStyle name="_PercentSpace_gs_scur_internal " xfId="1395" xr:uid="{00000000-0005-0000-0000-0000A5040000}"/>
    <cellStyle name="_PercentSpace_gs_scur_internal  2" xfId="1396" xr:uid="{00000000-0005-0000-0000-0000A6040000}"/>
    <cellStyle name="_PercentSpace_Hist Summary" xfId="1397" xr:uid="{00000000-0005-0000-0000-0000A7040000}"/>
    <cellStyle name="_PercentSpace_JOYG" xfId="1398" xr:uid="{00000000-0005-0000-0000-0000A8040000}"/>
    <cellStyle name="_PercentSpace_Kent" xfId="1399" xr:uid="{00000000-0005-0000-0000-0000A9040000}"/>
    <cellStyle name="_PercentSpace_Machinery group valuation" xfId="1400" xr:uid="{00000000-0005-0000-0000-0000AA040000}"/>
    <cellStyle name="_PercentSpace_MLM" xfId="1401" xr:uid="{00000000-0005-0000-0000-0000AB040000}"/>
    <cellStyle name="_PercentSpace_MLP Val-Client-10_02_06" xfId="1402" xr:uid="{00000000-0005-0000-0000-0000AC040000}"/>
    <cellStyle name="_PercentSpace_NAV" xfId="1403" xr:uid="{00000000-0005-0000-0000-0000AD040000}"/>
    <cellStyle name="_PercentSpace_OSK" xfId="1404" xr:uid="{00000000-0005-0000-0000-0000AE040000}"/>
    <cellStyle name="_PercentSpace_PCAR" xfId="1405" xr:uid="{00000000-0005-0000-0000-0000AF040000}"/>
    <cellStyle name="_PercentSpace_PH" xfId="1406" xr:uid="{00000000-0005-0000-0000-0000B0040000}"/>
    <cellStyle name="_PercentSpace_Sheet1" xfId="1407" xr:uid="{00000000-0005-0000-0000-0000B1040000}"/>
    <cellStyle name="_PercentSpace_symcqtis" xfId="1408" xr:uid="{00000000-0005-0000-0000-0000B2040000}"/>
    <cellStyle name="_PercentSpace_Utility" xfId="1409" xr:uid="{00000000-0005-0000-0000-0000B3040000}"/>
    <cellStyle name="_PercentSpace_WFT published 1-30-07 Client version (2)" xfId="1410" xr:uid="{00000000-0005-0000-0000-0000B4040000}"/>
    <cellStyle name="_PercentSpace_WFT published 1-30-07 Client version (2) 2" xfId="1411" xr:uid="{00000000-0005-0000-0000-0000B5040000}"/>
    <cellStyle name="_SubHeading" xfId="202" xr:uid="{00000000-0005-0000-0000-0000B6040000}"/>
    <cellStyle name="_SubHeading 2" xfId="1413" xr:uid="{00000000-0005-0000-0000-0000B7040000}"/>
    <cellStyle name="_SubHeading 3" xfId="1414" xr:uid="{00000000-0005-0000-0000-0000B8040000}"/>
    <cellStyle name="_SubHeading 4" xfId="1412" xr:uid="{00000000-0005-0000-0000-0000B9040000}"/>
    <cellStyle name="_SubHeading_Ability to Pay Analysis" xfId="203" xr:uid="{00000000-0005-0000-0000-0000BA040000}"/>
    <cellStyle name="_SubHeading_AG" xfId="1415" xr:uid="{00000000-0005-0000-0000-0000BB040000}"/>
    <cellStyle name="_SubHeading_BankUnited Model" xfId="204" xr:uid="{00000000-0005-0000-0000-0000BC040000}"/>
    <cellStyle name="_SubHeading_BLS" xfId="1416" xr:uid="{00000000-0005-0000-0000-0000BD040000}"/>
    <cellStyle name="_SubHeading_BLS 2" xfId="1417" xr:uid="{00000000-0005-0000-0000-0000BE040000}"/>
    <cellStyle name="_SubHeading_bls roic" xfId="1418" xr:uid="{00000000-0005-0000-0000-0000BF040000}"/>
    <cellStyle name="_SubHeading_BLS_MLP Val-Client-10_02_06" xfId="1419" xr:uid="{00000000-0005-0000-0000-0000C0040000}"/>
    <cellStyle name="_SubHeading_Book9" xfId="1420" xr:uid="{00000000-0005-0000-0000-0000C1040000}"/>
    <cellStyle name="_SubHeading_Book9 2" xfId="1421" xr:uid="{00000000-0005-0000-0000-0000C2040000}"/>
    <cellStyle name="_SubHeading_Book9_MLP Val-Client-10_02_06" xfId="1422" xr:uid="{00000000-0005-0000-0000-0000C3040000}"/>
    <cellStyle name="_SubHeading_Broadband Comps" xfId="1423" xr:uid="{00000000-0005-0000-0000-0000C4040000}"/>
    <cellStyle name="_SubHeading_Broadband Comps 2" xfId="1424" xr:uid="{00000000-0005-0000-0000-0000C5040000}"/>
    <cellStyle name="_SubHeading_Broadband Comps_MLP Val-Client-10_02_06" xfId="1425" xr:uid="{00000000-0005-0000-0000-0000C6040000}"/>
    <cellStyle name="_SubHeading_capital expenditures 6-18-02" xfId="1426" xr:uid="{00000000-0005-0000-0000-0000C7040000}"/>
    <cellStyle name="_SubHeading_CAT" xfId="1427" xr:uid="{00000000-0005-0000-0000-0000C8040000}"/>
    <cellStyle name="_SubHeading_CNH" xfId="1428" xr:uid="{00000000-0005-0000-0000-0000C9040000}"/>
    <cellStyle name="_SubHeading_Commtech" xfId="1429" xr:uid="{00000000-0005-0000-0000-0000CA040000}"/>
    <cellStyle name="_SubHeading_CTCO" xfId="1430" xr:uid="{00000000-0005-0000-0000-0000CB040000}"/>
    <cellStyle name="_SubHeading_CTCO 2" xfId="1431" xr:uid="{00000000-0005-0000-0000-0000CC040000}"/>
    <cellStyle name="_SubHeading_CTCO_MLP Val-Client-10_02_06" xfId="1432" xr:uid="{00000000-0005-0000-0000-0000CD040000}"/>
    <cellStyle name="_SubHeading_DE-working" xfId="1433" xr:uid="{00000000-0005-0000-0000-0000CE040000}"/>
    <cellStyle name="_SubHeading_DOV" xfId="1434" xr:uid="{00000000-0005-0000-0000-0000CF040000}"/>
    <cellStyle name="_SubHeading_ETN" xfId="1435" xr:uid="{00000000-0005-0000-0000-0000D0040000}"/>
    <cellStyle name="_SubHeading_fmbi counties" xfId="205" xr:uid="{00000000-0005-0000-0000-0000D1040000}"/>
    <cellStyle name="_SubHeading_FMBI MBHI Graphs" xfId="206" xr:uid="{00000000-0005-0000-0000-0000D2040000}"/>
    <cellStyle name="_SubHeading_FMBI MBHI Graphs 07102001" xfId="207" xr:uid="{00000000-0005-0000-0000-0000D3040000}"/>
    <cellStyle name="_SubHeading_FMBI MBHI Graphs_7601" xfId="208" xr:uid="{00000000-0005-0000-0000-0000D4040000}"/>
    <cellStyle name="_SubHeading_FSS" xfId="1436" xr:uid="{00000000-0005-0000-0000-0000D5040000}"/>
    <cellStyle name="_SubHeading_JOYG" xfId="1437" xr:uid="{00000000-0005-0000-0000-0000D6040000}"/>
    <cellStyle name="_SubHeading_Kent" xfId="1438" xr:uid="{00000000-0005-0000-0000-0000D7040000}"/>
    <cellStyle name="_SubHeading_MLM" xfId="1439" xr:uid="{00000000-0005-0000-0000-0000D8040000}"/>
    <cellStyle name="_SubHeading_NAV" xfId="1440" xr:uid="{00000000-0005-0000-0000-0000D9040000}"/>
    <cellStyle name="_SubHeading_OSK" xfId="1441" xr:uid="{00000000-0005-0000-0000-0000DA040000}"/>
    <cellStyle name="_SubHeading_PCAR" xfId="1442" xr:uid="{00000000-0005-0000-0000-0000DB040000}"/>
    <cellStyle name="_SubHeading_PH" xfId="1443" xr:uid="{00000000-0005-0000-0000-0000DC040000}"/>
    <cellStyle name="_SubHeading_prestemp" xfId="209" xr:uid="{00000000-0005-0000-0000-0000DD040000}"/>
    <cellStyle name="_SubHeading_prestemp_Insurance Brokerage CSC_1Q2002" xfId="210" xr:uid="{00000000-0005-0000-0000-0000DE040000}"/>
    <cellStyle name="_SubHeading_prestemp_Overview3" xfId="211" xr:uid="{00000000-0005-0000-0000-0000DF040000}"/>
    <cellStyle name="_SubHeading_prestemp_Updated Valuation Changes" xfId="212" xr:uid="{00000000-0005-0000-0000-0000E0040000}"/>
    <cellStyle name="_SubHeading_Q" xfId="1444" xr:uid="{00000000-0005-0000-0000-0000E1040000}"/>
    <cellStyle name="_SubHeading_q - new guidance" xfId="1445" xr:uid="{00000000-0005-0000-0000-0000E2040000}"/>
    <cellStyle name="_SubHeading_q - new guidance 2" xfId="1446" xr:uid="{00000000-0005-0000-0000-0000E3040000}"/>
    <cellStyle name="_SubHeading_q - new guidance_MLP Val-Client-10_02_06" xfId="1447" xr:uid="{00000000-0005-0000-0000-0000E4040000}"/>
    <cellStyle name="_SubHeading_q - valuation" xfId="1448" xr:uid="{00000000-0005-0000-0000-0000E5040000}"/>
    <cellStyle name="_SubHeading_q - valuation 2" xfId="1449" xr:uid="{00000000-0005-0000-0000-0000E6040000}"/>
    <cellStyle name="_SubHeading_q - valuation_MLP Val-Client-10_02_06" xfId="1450" xr:uid="{00000000-0005-0000-0000-0000E7040000}"/>
    <cellStyle name="_SubHeading_Q 2" xfId="1451" xr:uid="{00000000-0005-0000-0000-0000E8040000}"/>
    <cellStyle name="_SubHeading_Q model_041802" xfId="1452" xr:uid="{00000000-0005-0000-0000-0000E9040000}"/>
    <cellStyle name="_SubHeading_Q model_041802 2" xfId="1453" xr:uid="{00000000-0005-0000-0000-0000EA040000}"/>
    <cellStyle name="_SubHeading_Q model_041802_MLP Val-Client-10_02_06" xfId="1454" xr:uid="{00000000-0005-0000-0000-0000EB040000}"/>
    <cellStyle name="_SubHeading_Q_MLP Val-Client-10_02_06" xfId="1455" xr:uid="{00000000-0005-0000-0000-0000EC040000}"/>
    <cellStyle name="_SubHeading_Q_update" xfId="1456" xr:uid="{00000000-0005-0000-0000-0000ED040000}"/>
    <cellStyle name="_SubHeading_Q_update 2" xfId="1457" xr:uid="{00000000-0005-0000-0000-0000EE040000}"/>
    <cellStyle name="_SubHeading_Q_update_MLP Val-Client-10_02_06" xfId="1458" xr:uid="{00000000-0005-0000-0000-0000EF040000}"/>
    <cellStyle name="_SubHeading_Qwest Analysis" xfId="1459" xr:uid="{00000000-0005-0000-0000-0000F0040000}"/>
    <cellStyle name="_SubHeading_Qwest Analysis 2" xfId="1460" xr:uid="{00000000-0005-0000-0000-0000F1040000}"/>
    <cellStyle name="_SubHeading_Qwest Analysis_MLP Val-Client-10_02_06" xfId="1461" xr:uid="{00000000-0005-0000-0000-0000F2040000}"/>
    <cellStyle name="_SubHeading_RBOC historicals" xfId="1462" xr:uid="{00000000-0005-0000-0000-0000F3040000}"/>
    <cellStyle name="_SubHeading_Sheet1" xfId="1463" xr:uid="{00000000-0005-0000-0000-0000F4040000}"/>
    <cellStyle name="_SubHeading_T - new" xfId="1464" xr:uid="{00000000-0005-0000-0000-0000F5040000}"/>
    <cellStyle name="_SubHeading_Valuation vals" xfId="1465" xr:uid="{00000000-0005-0000-0000-0000F6040000}"/>
    <cellStyle name="_SubHeading_VZ" xfId="1466" xr:uid="{00000000-0005-0000-0000-0000F7040000}"/>
    <cellStyle name="_SubHeading_VZ 2" xfId="1467" xr:uid="{00000000-0005-0000-0000-0000F8040000}"/>
    <cellStyle name="_SubHeading_VZ_MLP Val-Client-10_02_06" xfId="1468" xr:uid="{00000000-0005-0000-0000-0000F9040000}"/>
    <cellStyle name="_SubHeading_xratio - historical mkt val" xfId="213" xr:uid="{00000000-0005-0000-0000-0000FA040000}"/>
    <cellStyle name="_Table" xfId="214" xr:uid="{00000000-0005-0000-0000-0000FB040000}"/>
    <cellStyle name="_Table 2" xfId="1470" xr:uid="{00000000-0005-0000-0000-0000FC040000}"/>
    <cellStyle name="_Table 3" xfId="1471" xr:uid="{00000000-0005-0000-0000-0000FD040000}"/>
    <cellStyle name="_Table 4" xfId="1469" xr:uid="{00000000-0005-0000-0000-0000FE040000}"/>
    <cellStyle name="_Table_Ability to Pay Analysis" xfId="215" xr:uid="{00000000-0005-0000-0000-0000FF040000}"/>
    <cellStyle name="_Table_AG" xfId="1472" xr:uid="{00000000-0005-0000-0000-000000050000}"/>
    <cellStyle name="_Table_BankUnited Model" xfId="216" xr:uid="{00000000-0005-0000-0000-000001050000}"/>
    <cellStyle name="_Table_BankUnited Model 2" xfId="3230" xr:uid="{00000000-0005-0000-0000-000002050000}"/>
    <cellStyle name="_Table_BLS" xfId="1473" xr:uid="{00000000-0005-0000-0000-000003050000}"/>
    <cellStyle name="_Table_BLS 2" xfId="1474" xr:uid="{00000000-0005-0000-0000-000004050000}"/>
    <cellStyle name="_Table_bls roic" xfId="1475" xr:uid="{00000000-0005-0000-0000-000005050000}"/>
    <cellStyle name="_Table_BLS_MLP Val-Client-10_02_06" xfId="1476" xr:uid="{00000000-0005-0000-0000-000006050000}"/>
    <cellStyle name="_Table_Book9" xfId="1477" xr:uid="{00000000-0005-0000-0000-000007050000}"/>
    <cellStyle name="_Table_Book9 2" xfId="1478" xr:uid="{00000000-0005-0000-0000-000008050000}"/>
    <cellStyle name="_Table_Book9_MLP Val-Client-10_02_06" xfId="1479" xr:uid="{00000000-0005-0000-0000-000009050000}"/>
    <cellStyle name="_Table_Broadband Comps" xfId="1480" xr:uid="{00000000-0005-0000-0000-00000A050000}"/>
    <cellStyle name="_Table_Broadband Comps 2" xfId="1481" xr:uid="{00000000-0005-0000-0000-00000B050000}"/>
    <cellStyle name="_Table_Broadband Comps_MLP Val-Client-10_02_06" xfId="1482" xr:uid="{00000000-0005-0000-0000-00000C050000}"/>
    <cellStyle name="_Table_capital expenditures 6-18-02" xfId="1483" xr:uid="{00000000-0005-0000-0000-00000D050000}"/>
    <cellStyle name="_Table_CAT" xfId="1484" xr:uid="{00000000-0005-0000-0000-00000E050000}"/>
    <cellStyle name="_Table_CNH" xfId="1485" xr:uid="{00000000-0005-0000-0000-00000F050000}"/>
    <cellStyle name="_Table_Commtech" xfId="1486" xr:uid="{00000000-0005-0000-0000-000010050000}"/>
    <cellStyle name="_Table_CTCO" xfId="1487" xr:uid="{00000000-0005-0000-0000-000011050000}"/>
    <cellStyle name="_Table_CTCO 2" xfId="1488" xr:uid="{00000000-0005-0000-0000-000012050000}"/>
    <cellStyle name="_Table_CTCO_MLP Val-Client-10_02_06" xfId="1489" xr:uid="{00000000-0005-0000-0000-000013050000}"/>
    <cellStyle name="_Table_DE-working" xfId="1490" xr:uid="{00000000-0005-0000-0000-000014050000}"/>
    <cellStyle name="_Table_DOV" xfId="1491" xr:uid="{00000000-0005-0000-0000-000015050000}"/>
    <cellStyle name="_Table_ETN" xfId="1492" xr:uid="{00000000-0005-0000-0000-000016050000}"/>
    <cellStyle name="_Table_fmbi counties" xfId="217" xr:uid="{00000000-0005-0000-0000-000017050000}"/>
    <cellStyle name="_Table_FSS" xfId="1493" xr:uid="{00000000-0005-0000-0000-000018050000}"/>
    <cellStyle name="_Table_JOYG" xfId="1494" xr:uid="{00000000-0005-0000-0000-000019050000}"/>
    <cellStyle name="_Table_Kent" xfId="1495" xr:uid="{00000000-0005-0000-0000-00001A050000}"/>
    <cellStyle name="_Table_MLM" xfId="1496" xr:uid="{00000000-0005-0000-0000-00001B050000}"/>
    <cellStyle name="_Table_NAV" xfId="1497" xr:uid="{00000000-0005-0000-0000-00001C050000}"/>
    <cellStyle name="_Table_OSK" xfId="1498" xr:uid="{00000000-0005-0000-0000-00001D050000}"/>
    <cellStyle name="_Table_PCAR" xfId="1499" xr:uid="{00000000-0005-0000-0000-00001E050000}"/>
    <cellStyle name="_Table_PH" xfId="1500" xr:uid="{00000000-0005-0000-0000-00001F050000}"/>
    <cellStyle name="_Table_Q" xfId="1501" xr:uid="{00000000-0005-0000-0000-000020050000}"/>
    <cellStyle name="_Table_q - new guidance" xfId="1502" xr:uid="{00000000-0005-0000-0000-000021050000}"/>
    <cellStyle name="_Table_q - new guidance 2" xfId="1503" xr:uid="{00000000-0005-0000-0000-000022050000}"/>
    <cellStyle name="_Table_q - new guidance_MLP Val-Client-10_02_06" xfId="1504" xr:uid="{00000000-0005-0000-0000-000023050000}"/>
    <cellStyle name="_Table_q - valuation" xfId="1505" xr:uid="{00000000-0005-0000-0000-000024050000}"/>
    <cellStyle name="_Table_q - valuation 2" xfId="1506" xr:uid="{00000000-0005-0000-0000-000025050000}"/>
    <cellStyle name="_Table_q - valuation_MLP Val-Client-10_02_06" xfId="1507" xr:uid="{00000000-0005-0000-0000-000026050000}"/>
    <cellStyle name="_Table_Q 2" xfId="1508" xr:uid="{00000000-0005-0000-0000-000027050000}"/>
    <cellStyle name="_Table_Q model_041802" xfId="1509" xr:uid="{00000000-0005-0000-0000-000028050000}"/>
    <cellStyle name="_Table_Q model_041802 2" xfId="1510" xr:uid="{00000000-0005-0000-0000-000029050000}"/>
    <cellStyle name="_Table_Q model_041802_MLP Val-Client-10_02_06" xfId="1511" xr:uid="{00000000-0005-0000-0000-00002A050000}"/>
    <cellStyle name="_Table_Q_MLP Val-Client-10_02_06" xfId="1512" xr:uid="{00000000-0005-0000-0000-00002B050000}"/>
    <cellStyle name="_Table_Q_update" xfId="1513" xr:uid="{00000000-0005-0000-0000-00002C050000}"/>
    <cellStyle name="_Table_Q_update 2" xfId="1514" xr:uid="{00000000-0005-0000-0000-00002D050000}"/>
    <cellStyle name="_Table_Q_update_MLP Val-Client-10_02_06" xfId="1515" xr:uid="{00000000-0005-0000-0000-00002E050000}"/>
    <cellStyle name="_Table_Qwest Analysis" xfId="1516" xr:uid="{00000000-0005-0000-0000-00002F050000}"/>
    <cellStyle name="_Table_Qwest Analysis 2" xfId="1517" xr:uid="{00000000-0005-0000-0000-000030050000}"/>
    <cellStyle name="_Table_Qwest Analysis_MLP Val-Client-10_02_06" xfId="1518" xr:uid="{00000000-0005-0000-0000-000031050000}"/>
    <cellStyle name="_Table_RBOC historicals" xfId="1519" xr:uid="{00000000-0005-0000-0000-000032050000}"/>
    <cellStyle name="_Table_Sheet1" xfId="1520" xr:uid="{00000000-0005-0000-0000-000033050000}"/>
    <cellStyle name="_Table_T - new" xfId="1521" xr:uid="{00000000-0005-0000-0000-000034050000}"/>
    <cellStyle name="_Table_Valuation vals" xfId="1522" xr:uid="{00000000-0005-0000-0000-000035050000}"/>
    <cellStyle name="_Table_VZ" xfId="1523" xr:uid="{00000000-0005-0000-0000-000036050000}"/>
    <cellStyle name="_Table_VZ 2" xfId="1524" xr:uid="{00000000-0005-0000-0000-000037050000}"/>
    <cellStyle name="_Table_VZ_MLP Val-Client-10_02_06" xfId="1525" xr:uid="{00000000-0005-0000-0000-000038050000}"/>
    <cellStyle name="_Table_xratio - historical mkt val" xfId="218" xr:uid="{00000000-0005-0000-0000-000039050000}"/>
    <cellStyle name="_TableHead" xfId="219" xr:uid="{00000000-0005-0000-0000-00003A050000}"/>
    <cellStyle name="_TableHead 2" xfId="1527" xr:uid="{00000000-0005-0000-0000-00003B050000}"/>
    <cellStyle name="_TableHead 3" xfId="1528" xr:uid="{00000000-0005-0000-0000-00003C050000}"/>
    <cellStyle name="_TableHead 4" xfId="1526" xr:uid="{00000000-0005-0000-0000-00003D050000}"/>
    <cellStyle name="_TableHead_AG" xfId="1529" xr:uid="{00000000-0005-0000-0000-00003E050000}"/>
    <cellStyle name="_TableHead_BLS" xfId="1530" xr:uid="{00000000-0005-0000-0000-00003F050000}"/>
    <cellStyle name="_TableHead_BLS 2" xfId="1531" xr:uid="{00000000-0005-0000-0000-000040050000}"/>
    <cellStyle name="_TableHead_bls roic" xfId="1532" xr:uid="{00000000-0005-0000-0000-000041050000}"/>
    <cellStyle name="_TableHead_BLS_MLP Val-Client-10_02_06" xfId="1533" xr:uid="{00000000-0005-0000-0000-000042050000}"/>
    <cellStyle name="_TableHead_Book9" xfId="1534" xr:uid="{00000000-0005-0000-0000-000043050000}"/>
    <cellStyle name="_TableHead_Book9 2" xfId="1535" xr:uid="{00000000-0005-0000-0000-000044050000}"/>
    <cellStyle name="_TableHead_Book9_MLP Val-Client-10_02_06" xfId="1536" xr:uid="{00000000-0005-0000-0000-000045050000}"/>
    <cellStyle name="_TableHead_Broadband Comps" xfId="1537" xr:uid="{00000000-0005-0000-0000-000046050000}"/>
    <cellStyle name="_TableHead_Broadband Comps 2" xfId="1538" xr:uid="{00000000-0005-0000-0000-000047050000}"/>
    <cellStyle name="_TableHead_Broadband Comps_MLP Val-Client-10_02_06" xfId="1539" xr:uid="{00000000-0005-0000-0000-000048050000}"/>
    <cellStyle name="_TableHead_capital expenditures 6-18-02" xfId="1540" xr:uid="{00000000-0005-0000-0000-000049050000}"/>
    <cellStyle name="_TableHead_CAT" xfId="1541" xr:uid="{00000000-0005-0000-0000-00004A050000}"/>
    <cellStyle name="_TableHead_CNH" xfId="1542" xr:uid="{00000000-0005-0000-0000-00004B050000}"/>
    <cellStyle name="_TableHead_Commtech" xfId="1543" xr:uid="{00000000-0005-0000-0000-00004C050000}"/>
    <cellStyle name="_TableHead_CTCO" xfId="1544" xr:uid="{00000000-0005-0000-0000-00004D050000}"/>
    <cellStyle name="_TableHead_CTCO 2" xfId="1545" xr:uid="{00000000-0005-0000-0000-00004E050000}"/>
    <cellStyle name="_TableHead_CTCO_MLP Val-Client-10_02_06" xfId="1546" xr:uid="{00000000-0005-0000-0000-00004F050000}"/>
    <cellStyle name="_TableHead_DE-working" xfId="1547" xr:uid="{00000000-0005-0000-0000-000050050000}"/>
    <cellStyle name="_TableHead_DOV" xfId="1548" xr:uid="{00000000-0005-0000-0000-000051050000}"/>
    <cellStyle name="_TableHead_ETN" xfId="1549" xr:uid="{00000000-0005-0000-0000-000052050000}"/>
    <cellStyle name="_TableHead_FSS" xfId="1550" xr:uid="{00000000-0005-0000-0000-000053050000}"/>
    <cellStyle name="_TableHead_JOYG" xfId="1551" xr:uid="{00000000-0005-0000-0000-000054050000}"/>
    <cellStyle name="_TableHead_Kent" xfId="1552" xr:uid="{00000000-0005-0000-0000-000055050000}"/>
    <cellStyle name="_TableHead_MLM" xfId="1553" xr:uid="{00000000-0005-0000-0000-000056050000}"/>
    <cellStyle name="_TableHead_NAV" xfId="1554" xr:uid="{00000000-0005-0000-0000-000057050000}"/>
    <cellStyle name="_TableHead_OSK" xfId="1555" xr:uid="{00000000-0005-0000-0000-000058050000}"/>
    <cellStyle name="_TableHead_PCAR" xfId="1556" xr:uid="{00000000-0005-0000-0000-000059050000}"/>
    <cellStyle name="_TableHead_PH" xfId="1557" xr:uid="{00000000-0005-0000-0000-00005A050000}"/>
    <cellStyle name="_TableHead_Q" xfId="1558" xr:uid="{00000000-0005-0000-0000-00005B050000}"/>
    <cellStyle name="_TableHead_q - new guidance" xfId="1559" xr:uid="{00000000-0005-0000-0000-00005C050000}"/>
    <cellStyle name="_TableHead_q - new guidance 2" xfId="1560" xr:uid="{00000000-0005-0000-0000-00005D050000}"/>
    <cellStyle name="_TableHead_q - new guidance_MLP Val-Client-10_02_06" xfId="1561" xr:uid="{00000000-0005-0000-0000-00005E050000}"/>
    <cellStyle name="_TableHead_q - valuation" xfId="1562" xr:uid="{00000000-0005-0000-0000-00005F050000}"/>
    <cellStyle name="_TableHead_q - valuation 2" xfId="1563" xr:uid="{00000000-0005-0000-0000-000060050000}"/>
    <cellStyle name="_TableHead_q - valuation_MLP Val-Client-10_02_06" xfId="1564" xr:uid="{00000000-0005-0000-0000-000061050000}"/>
    <cellStyle name="_TableHead_Q 2" xfId="1565" xr:uid="{00000000-0005-0000-0000-000062050000}"/>
    <cellStyle name="_TableHead_Q model_041802" xfId="1566" xr:uid="{00000000-0005-0000-0000-000063050000}"/>
    <cellStyle name="_TableHead_Q model_041802 2" xfId="1567" xr:uid="{00000000-0005-0000-0000-000064050000}"/>
    <cellStyle name="_TableHead_Q model_041802_MLP Val-Client-10_02_06" xfId="1568" xr:uid="{00000000-0005-0000-0000-000065050000}"/>
    <cellStyle name="_TableHead_Q_MLP Val-Client-10_02_06" xfId="1569" xr:uid="{00000000-0005-0000-0000-000066050000}"/>
    <cellStyle name="_TableHead_Q_update" xfId="1570" xr:uid="{00000000-0005-0000-0000-000067050000}"/>
    <cellStyle name="_TableHead_Q_update 2" xfId="1571" xr:uid="{00000000-0005-0000-0000-000068050000}"/>
    <cellStyle name="_TableHead_Q_update_MLP Val-Client-10_02_06" xfId="1572" xr:uid="{00000000-0005-0000-0000-000069050000}"/>
    <cellStyle name="_TableHead_QP_XXX" xfId="1573" xr:uid="{00000000-0005-0000-0000-00006A050000}"/>
    <cellStyle name="_TableHead_Qwest Analysis" xfId="1574" xr:uid="{00000000-0005-0000-0000-00006B050000}"/>
    <cellStyle name="_TableHead_Qwest Analysis 2" xfId="1575" xr:uid="{00000000-0005-0000-0000-00006C050000}"/>
    <cellStyle name="_TableHead_Qwest Analysis_MLP Val-Client-10_02_06" xfId="1576" xr:uid="{00000000-0005-0000-0000-00006D050000}"/>
    <cellStyle name="_TableHead_RBOC historicals" xfId="1577" xr:uid="{00000000-0005-0000-0000-00006E050000}"/>
    <cellStyle name="_TableHead_Sheet1" xfId="1578" xr:uid="{00000000-0005-0000-0000-00006F050000}"/>
    <cellStyle name="_TableHead_T - new" xfId="1579" xr:uid="{00000000-0005-0000-0000-000070050000}"/>
    <cellStyle name="_TableHead_Valuation vals" xfId="1580" xr:uid="{00000000-0005-0000-0000-000071050000}"/>
    <cellStyle name="_TableHead_VZ" xfId="1581" xr:uid="{00000000-0005-0000-0000-000072050000}"/>
    <cellStyle name="_TableHead_VZ 2" xfId="1582" xr:uid="{00000000-0005-0000-0000-000073050000}"/>
    <cellStyle name="_TableHead_VZ_MLP Val-Client-10_02_06" xfId="1583" xr:uid="{00000000-0005-0000-0000-000074050000}"/>
    <cellStyle name="_TableHeading" xfId="1584" xr:uid="{00000000-0005-0000-0000-000075050000}"/>
    <cellStyle name="_TableRowBorder" xfId="1585" xr:uid="{00000000-0005-0000-0000-000076050000}"/>
    <cellStyle name="_TableRowBorder 2" xfId="1586" xr:uid="{00000000-0005-0000-0000-000077050000}"/>
    <cellStyle name="_TableRowHead" xfId="220" xr:uid="{00000000-0005-0000-0000-000078050000}"/>
    <cellStyle name="_TableRowHead 2" xfId="1588" xr:uid="{00000000-0005-0000-0000-000079050000}"/>
    <cellStyle name="_TableRowHead 3" xfId="1589" xr:uid="{00000000-0005-0000-0000-00007A050000}"/>
    <cellStyle name="_TableRowHead 4" xfId="1587" xr:uid="{00000000-0005-0000-0000-00007B050000}"/>
    <cellStyle name="_TableRowHead_AG" xfId="1590" xr:uid="{00000000-0005-0000-0000-00007C050000}"/>
    <cellStyle name="_TableRowHead_BLS" xfId="1591" xr:uid="{00000000-0005-0000-0000-00007D050000}"/>
    <cellStyle name="_TableRowHead_BLS 2" xfId="1592" xr:uid="{00000000-0005-0000-0000-00007E050000}"/>
    <cellStyle name="_TableRowHead_bls roic" xfId="1593" xr:uid="{00000000-0005-0000-0000-00007F050000}"/>
    <cellStyle name="_TableRowHead_BLS_MLP Val-Client-10_02_06" xfId="1594" xr:uid="{00000000-0005-0000-0000-000080050000}"/>
    <cellStyle name="_TableRowHead_Book9" xfId="1595" xr:uid="{00000000-0005-0000-0000-000081050000}"/>
    <cellStyle name="_TableRowHead_Book9 2" xfId="1596" xr:uid="{00000000-0005-0000-0000-000082050000}"/>
    <cellStyle name="_TableRowHead_Book9_MLP Val-Client-10_02_06" xfId="1597" xr:uid="{00000000-0005-0000-0000-000083050000}"/>
    <cellStyle name="_TableRowHead_Broadband Comps" xfId="1598" xr:uid="{00000000-0005-0000-0000-000084050000}"/>
    <cellStyle name="_TableRowHead_Broadband Comps 2" xfId="1599" xr:uid="{00000000-0005-0000-0000-000085050000}"/>
    <cellStyle name="_TableRowHead_Broadband Comps_MLP Val-Client-10_02_06" xfId="1600" xr:uid="{00000000-0005-0000-0000-000086050000}"/>
    <cellStyle name="_TableRowHead_capital expenditures 6-18-02" xfId="1601" xr:uid="{00000000-0005-0000-0000-000087050000}"/>
    <cellStyle name="_TableRowHead_CAT" xfId="1602" xr:uid="{00000000-0005-0000-0000-000088050000}"/>
    <cellStyle name="_TableRowHead_CNH" xfId="1603" xr:uid="{00000000-0005-0000-0000-000089050000}"/>
    <cellStyle name="_TableRowHead_Commtech" xfId="1604" xr:uid="{00000000-0005-0000-0000-00008A050000}"/>
    <cellStyle name="_TableRowHead_CTCO" xfId="1605" xr:uid="{00000000-0005-0000-0000-00008B050000}"/>
    <cellStyle name="_TableRowHead_CTCO 2" xfId="1606" xr:uid="{00000000-0005-0000-0000-00008C050000}"/>
    <cellStyle name="_TableRowHead_CTCO_MLP Val-Client-10_02_06" xfId="1607" xr:uid="{00000000-0005-0000-0000-00008D050000}"/>
    <cellStyle name="_TableRowHead_DE-working" xfId="1608" xr:uid="{00000000-0005-0000-0000-00008E050000}"/>
    <cellStyle name="_TableRowHead_DOV" xfId="1609" xr:uid="{00000000-0005-0000-0000-00008F050000}"/>
    <cellStyle name="_TableRowHead_ETN" xfId="1610" xr:uid="{00000000-0005-0000-0000-000090050000}"/>
    <cellStyle name="_TableRowHead_JOYG" xfId="1611" xr:uid="{00000000-0005-0000-0000-000091050000}"/>
    <cellStyle name="_TableRowHead_Kent" xfId="1612" xr:uid="{00000000-0005-0000-0000-000092050000}"/>
    <cellStyle name="_TableRowHead_MLM" xfId="1613" xr:uid="{00000000-0005-0000-0000-000093050000}"/>
    <cellStyle name="_TableRowHead_NAV" xfId="1614" xr:uid="{00000000-0005-0000-0000-000094050000}"/>
    <cellStyle name="_TableRowHead_OSK" xfId="1615" xr:uid="{00000000-0005-0000-0000-000095050000}"/>
    <cellStyle name="_TableRowHead_PCAR" xfId="1616" xr:uid="{00000000-0005-0000-0000-000096050000}"/>
    <cellStyle name="_TableRowHead_PH" xfId="1617" xr:uid="{00000000-0005-0000-0000-000097050000}"/>
    <cellStyle name="_TableRowHead_Q" xfId="1618" xr:uid="{00000000-0005-0000-0000-000098050000}"/>
    <cellStyle name="_TableRowHead_q - new guidance" xfId="1619" xr:uid="{00000000-0005-0000-0000-000099050000}"/>
    <cellStyle name="_TableRowHead_q - new guidance 2" xfId="1620" xr:uid="{00000000-0005-0000-0000-00009A050000}"/>
    <cellStyle name="_TableRowHead_q - new guidance_MLP Val-Client-10_02_06" xfId="1621" xr:uid="{00000000-0005-0000-0000-00009B050000}"/>
    <cellStyle name="_TableRowHead_q - valuation" xfId="1622" xr:uid="{00000000-0005-0000-0000-00009C050000}"/>
    <cellStyle name="_TableRowHead_q - valuation 2" xfId="1623" xr:uid="{00000000-0005-0000-0000-00009D050000}"/>
    <cellStyle name="_TableRowHead_q - valuation_MLP Val-Client-10_02_06" xfId="1624" xr:uid="{00000000-0005-0000-0000-00009E050000}"/>
    <cellStyle name="_TableRowHead_Q 2" xfId="1625" xr:uid="{00000000-0005-0000-0000-00009F050000}"/>
    <cellStyle name="_TableRowHead_Q model_041802" xfId="1626" xr:uid="{00000000-0005-0000-0000-0000A0050000}"/>
    <cellStyle name="_TableRowHead_Q model_041802 2" xfId="1627" xr:uid="{00000000-0005-0000-0000-0000A1050000}"/>
    <cellStyle name="_TableRowHead_Q model_041802_MLP Val-Client-10_02_06" xfId="1628" xr:uid="{00000000-0005-0000-0000-0000A2050000}"/>
    <cellStyle name="_TableRowHead_Q_MLP Val-Client-10_02_06" xfId="1629" xr:uid="{00000000-0005-0000-0000-0000A3050000}"/>
    <cellStyle name="_TableRowHead_Q_update" xfId="1630" xr:uid="{00000000-0005-0000-0000-0000A4050000}"/>
    <cellStyle name="_TableRowHead_Q_update 2" xfId="1631" xr:uid="{00000000-0005-0000-0000-0000A5050000}"/>
    <cellStyle name="_TableRowHead_Q_update_MLP Val-Client-10_02_06" xfId="1632" xr:uid="{00000000-0005-0000-0000-0000A6050000}"/>
    <cellStyle name="_TableRowHead_QP_XXX" xfId="1633" xr:uid="{00000000-0005-0000-0000-0000A7050000}"/>
    <cellStyle name="_TableRowHead_Qwest Analysis" xfId="1634" xr:uid="{00000000-0005-0000-0000-0000A8050000}"/>
    <cellStyle name="_TableRowHead_Qwest Analysis 2" xfId="1635" xr:uid="{00000000-0005-0000-0000-0000A9050000}"/>
    <cellStyle name="_TableRowHead_Qwest Analysis_MLP Val-Client-10_02_06" xfId="1636" xr:uid="{00000000-0005-0000-0000-0000AA050000}"/>
    <cellStyle name="_TableRowHead_RBOC historicals" xfId="1637" xr:uid="{00000000-0005-0000-0000-0000AB050000}"/>
    <cellStyle name="_TableRowHead_Sheet1" xfId="1638" xr:uid="{00000000-0005-0000-0000-0000AC050000}"/>
    <cellStyle name="_TableRowHead_T - new" xfId="1639" xr:uid="{00000000-0005-0000-0000-0000AD050000}"/>
    <cellStyle name="_TableRowHead_Valuation vals" xfId="1640" xr:uid="{00000000-0005-0000-0000-0000AE050000}"/>
    <cellStyle name="_TableRowHead_VZ" xfId="1641" xr:uid="{00000000-0005-0000-0000-0000AF050000}"/>
    <cellStyle name="_TableRowHead_VZ 2" xfId="1642" xr:uid="{00000000-0005-0000-0000-0000B0050000}"/>
    <cellStyle name="_TableRowHead_VZ_MLP Val-Client-10_02_06" xfId="1643" xr:uid="{00000000-0005-0000-0000-0000B1050000}"/>
    <cellStyle name="_TableRowHeading" xfId="1644" xr:uid="{00000000-0005-0000-0000-0000B2050000}"/>
    <cellStyle name="_TableSuperHead" xfId="221" xr:uid="{00000000-0005-0000-0000-0000B3050000}"/>
    <cellStyle name="_TableSuperHead 2" xfId="1646" xr:uid="{00000000-0005-0000-0000-0000B4050000}"/>
    <cellStyle name="_TableSuperHead 3" xfId="1647" xr:uid="{00000000-0005-0000-0000-0000B5050000}"/>
    <cellStyle name="_TableSuperHead 4" xfId="1645" xr:uid="{00000000-0005-0000-0000-0000B6050000}"/>
    <cellStyle name="_TableSuperHead_Ability to Pay Analysis" xfId="222" xr:uid="{00000000-0005-0000-0000-0000B7050000}"/>
    <cellStyle name="_TableSuperHead_AG" xfId="1648" xr:uid="{00000000-0005-0000-0000-0000B8050000}"/>
    <cellStyle name="_TableSuperHead_BankUnited Model" xfId="223" xr:uid="{00000000-0005-0000-0000-0000B9050000}"/>
    <cellStyle name="_TableSuperHead_BLS" xfId="1649" xr:uid="{00000000-0005-0000-0000-0000BA050000}"/>
    <cellStyle name="_TableSuperHead_BLS 2" xfId="1650" xr:uid="{00000000-0005-0000-0000-0000BB050000}"/>
    <cellStyle name="_TableSuperHead_bls roic" xfId="1651" xr:uid="{00000000-0005-0000-0000-0000BC050000}"/>
    <cellStyle name="_TableSuperHead_BLS_MLP Val-Client-10_02_06" xfId="1652" xr:uid="{00000000-0005-0000-0000-0000BD050000}"/>
    <cellStyle name="_TableSuperHead_Book9" xfId="1653" xr:uid="{00000000-0005-0000-0000-0000BE050000}"/>
    <cellStyle name="_TableSuperHead_Book9 2" xfId="1654" xr:uid="{00000000-0005-0000-0000-0000BF050000}"/>
    <cellStyle name="_TableSuperHead_Book9_MLP Val-Client-10_02_06" xfId="1655" xr:uid="{00000000-0005-0000-0000-0000C0050000}"/>
    <cellStyle name="_TableSuperHead_Broadband Comps" xfId="1656" xr:uid="{00000000-0005-0000-0000-0000C1050000}"/>
    <cellStyle name="_TableSuperHead_Broadband Comps 2" xfId="1657" xr:uid="{00000000-0005-0000-0000-0000C2050000}"/>
    <cellStyle name="_TableSuperHead_Broadband Comps_MLP Val-Client-10_02_06" xfId="1658" xr:uid="{00000000-0005-0000-0000-0000C3050000}"/>
    <cellStyle name="_TableSuperHead_capital expenditures 6-18-02" xfId="1659" xr:uid="{00000000-0005-0000-0000-0000C4050000}"/>
    <cellStyle name="_TableSuperHead_CAT" xfId="1660" xr:uid="{00000000-0005-0000-0000-0000C5050000}"/>
    <cellStyle name="_TableSuperHead_CNH" xfId="1661" xr:uid="{00000000-0005-0000-0000-0000C6050000}"/>
    <cellStyle name="_TableSuperHead_Commtech" xfId="1662" xr:uid="{00000000-0005-0000-0000-0000C7050000}"/>
    <cellStyle name="_TableSuperHead_CTCO" xfId="1663" xr:uid="{00000000-0005-0000-0000-0000C8050000}"/>
    <cellStyle name="_TableSuperHead_CTCO 2" xfId="1664" xr:uid="{00000000-0005-0000-0000-0000C9050000}"/>
    <cellStyle name="_TableSuperHead_CTCO_MLP Val-Client-10_02_06" xfId="1665" xr:uid="{00000000-0005-0000-0000-0000CA050000}"/>
    <cellStyle name="_TableSuperHead_DE-working" xfId="1666" xr:uid="{00000000-0005-0000-0000-0000CB050000}"/>
    <cellStyle name="_TableSuperHead_DOV" xfId="1667" xr:uid="{00000000-0005-0000-0000-0000CC050000}"/>
    <cellStyle name="_TableSuperHead_ETN" xfId="1668" xr:uid="{00000000-0005-0000-0000-0000CD050000}"/>
    <cellStyle name="_TableSuperHead_fmbi counties" xfId="224" xr:uid="{00000000-0005-0000-0000-0000CE050000}"/>
    <cellStyle name="_TableSuperHead_JOYG" xfId="1669" xr:uid="{00000000-0005-0000-0000-0000CF050000}"/>
    <cellStyle name="_TableSuperHead_Kent" xfId="1670" xr:uid="{00000000-0005-0000-0000-0000D0050000}"/>
    <cellStyle name="_TableSuperHead_MLM" xfId="1671" xr:uid="{00000000-0005-0000-0000-0000D1050000}"/>
    <cellStyle name="_TableSuperHead_NAV" xfId="1672" xr:uid="{00000000-0005-0000-0000-0000D2050000}"/>
    <cellStyle name="_TableSuperHead_OSK" xfId="1673" xr:uid="{00000000-0005-0000-0000-0000D3050000}"/>
    <cellStyle name="_TableSuperHead_PCAR" xfId="1674" xr:uid="{00000000-0005-0000-0000-0000D4050000}"/>
    <cellStyle name="_TableSuperHead_PH" xfId="1675" xr:uid="{00000000-0005-0000-0000-0000D5050000}"/>
    <cellStyle name="_TableSuperHead_Q" xfId="1676" xr:uid="{00000000-0005-0000-0000-0000D6050000}"/>
    <cellStyle name="_TableSuperHead_q - new guidance" xfId="1677" xr:uid="{00000000-0005-0000-0000-0000D7050000}"/>
    <cellStyle name="_TableSuperHead_q - new guidance 2" xfId="1678" xr:uid="{00000000-0005-0000-0000-0000D8050000}"/>
    <cellStyle name="_TableSuperHead_q - new guidance_MLP Val-Client-10_02_06" xfId="1679" xr:uid="{00000000-0005-0000-0000-0000D9050000}"/>
    <cellStyle name="_TableSuperHead_q - valuation" xfId="1680" xr:uid="{00000000-0005-0000-0000-0000DA050000}"/>
    <cellStyle name="_TableSuperHead_q - valuation 2" xfId="1681" xr:uid="{00000000-0005-0000-0000-0000DB050000}"/>
    <cellStyle name="_TableSuperHead_q - valuation_MLP Val-Client-10_02_06" xfId="1682" xr:uid="{00000000-0005-0000-0000-0000DC050000}"/>
    <cellStyle name="_TableSuperHead_Q 2" xfId="1683" xr:uid="{00000000-0005-0000-0000-0000DD050000}"/>
    <cellStyle name="_TableSuperHead_Q model_041802" xfId="1684" xr:uid="{00000000-0005-0000-0000-0000DE050000}"/>
    <cellStyle name="_TableSuperHead_Q model_041802 2" xfId="1685" xr:uid="{00000000-0005-0000-0000-0000DF050000}"/>
    <cellStyle name="_TableSuperHead_Q model_041802_MLP Val-Client-10_02_06" xfId="1686" xr:uid="{00000000-0005-0000-0000-0000E0050000}"/>
    <cellStyle name="_TableSuperHead_Q_MLP Val-Client-10_02_06" xfId="1687" xr:uid="{00000000-0005-0000-0000-0000E1050000}"/>
    <cellStyle name="_TableSuperHead_Q_update" xfId="1688" xr:uid="{00000000-0005-0000-0000-0000E2050000}"/>
    <cellStyle name="_TableSuperHead_Q_update 2" xfId="1689" xr:uid="{00000000-0005-0000-0000-0000E3050000}"/>
    <cellStyle name="_TableSuperHead_Q_update_MLP Val-Client-10_02_06" xfId="1690" xr:uid="{00000000-0005-0000-0000-0000E4050000}"/>
    <cellStyle name="_TableSuperHead_Qwest Analysis" xfId="1691" xr:uid="{00000000-0005-0000-0000-0000E5050000}"/>
    <cellStyle name="_TableSuperHead_Qwest Analysis 2" xfId="1692" xr:uid="{00000000-0005-0000-0000-0000E6050000}"/>
    <cellStyle name="_TableSuperHead_Qwest Analysis_MLP Val-Client-10_02_06" xfId="1693" xr:uid="{00000000-0005-0000-0000-0000E7050000}"/>
    <cellStyle name="_TableSuperHead_RBOC historicals" xfId="1694" xr:uid="{00000000-0005-0000-0000-0000E8050000}"/>
    <cellStyle name="_TableSuperHead_Sheet1" xfId="1695" xr:uid="{00000000-0005-0000-0000-0000E9050000}"/>
    <cellStyle name="_TableSuperHead_T - new" xfId="1696" xr:uid="{00000000-0005-0000-0000-0000EA050000}"/>
    <cellStyle name="_TableSuperHead_Valuation vals" xfId="1697" xr:uid="{00000000-0005-0000-0000-0000EB050000}"/>
    <cellStyle name="_TableSuperHead_VZ" xfId="1698" xr:uid="{00000000-0005-0000-0000-0000EC050000}"/>
    <cellStyle name="_TableSuperHead_VZ 2" xfId="1699" xr:uid="{00000000-0005-0000-0000-0000ED050000}"/>
    <cellStyle name="_TableSuperHead_VZ_MLP Val-Client-10_02_06" xfId="1700" xr:uid="{00000000-0005-0000-0000-0000EE050000}"/>
    <cellStyle name="_TableSuperHead_xratio - historical mkt val" xfId="225" xr:uid="{00000000-0005-0000-0000-0000EF050000}"/>
    <cellStyle name="_TableSuperHeading" xfId="1701" xr:uid="{00000000-0005-0000-0000-0000F0050000}"/>
    <cellStyle name="_TableText" xfId="1702" xr:uid="{00000000-0005-0000-0000-0000F1050000}"/>
    <cellStyle name="£3places" xfId="1703" xr:uid="{00000000-0005-0000-0000-0000F2050000}"/>
    <cellStyle name="£3places 2" xfId="1704" xr:uid="{00000000-0005-0000-0000-0000F3050000}"/>
    <cellStyle name="£3places 3" xfId="1705" xr:uid="{00000000-0005-0000-0000-0000F4050000}"/>
    <cellStyle name="£3places_PNR working 21" xfId="1706" xr:uid="{00000000-0005-0000-0000-0000F5050000}"/>
    <cellStyle name="0%" xfId="1707" xr:uid="{00000000-0005-0000-0000-0000F6050000}"/>
    <cellStyle name="0.0" xfId="1708" xr:uid="{00000000-0005-0000-0000-0000F7050000}"/>
    <cellStyle name="0.0 2" xfId="1709" xr:uid="{00000000-0005-0000-0000-0000F8050000}"/>
    <cellStyle name="0.0%" xfId="1710" xr:uid="{00000000-0005-0000-0000-0000F9050000}"/>
    <cellStyle name="0.0_AG" xfId="1711" xr:uid="{00000000-0005-0000-0000-0000FA050000}"/>
    <cellStyle name="0.00" xfId="1712" xr:uid="{00000000-0005-0000-0000-0000FB050000}"/>
    <cellStyle name="0.00%" xfId="1713" xr:uid="{00000000-0005-0000-0000-0000FC050000}"/>
    <cellStyle name="0.000" xfId="1714" xr:uid="{00000000-0005-0000-0000-0000FD050000}"/>
    <cellStyle name="0.000 2" xfId="1715" xr:uid="{00000000-0005-0000-0000-0000FE050000}"/>
    <cellStyle name="0.000 3" xfId="1716" xr:uid="{00000000-0005-0000-0000-0000FF050000}"/>
    <cellStyle name="0.000_PNR working 21" xfId="1717" xr:uid="{00000000-0005-0000-0000-000000060000}"/>
    <cellStyle name="1 Decimal" xfId="1718" xr:uid="{00000000-0005-0000-0000-000001060000}"/>
    <cellStyle name="1,000" xfId="1719" xr:uid="{00000000-0005-0000-0000-000002060000}"/>
    <cellStyle name="1,000x" xfId="1720" xr:uid="{00000000-0005-0000-0000-000003060000}"/>
    <cellStyle name="2 Decimals" xfId="1721" xr:uid="{00000000-0005-0000-0000-000004060000}"/>
    <cellStyle name="20% - Accent1 2" xfId="1722" xr:uid="{00000000-0005-0000-0000-000005060000}"/>
    <cellStyle name="20% - Accent1 2 2" xfId="1723" xr:uid="{00000000-0005-0000-0000-000006060000}"/>
    <cellStyle name="20% - Accent2 2" xfId="1724" xr:uid="{00000000-0005-0000-0000-000007060000}"/>
    <cellStyle name="20% - Accent2 2 2" xfId="1725" xr:uid="{00000000-0005-0000-0000-000008060000}"/>
    <cellStyle name="20% - Accent3 2" xfId="1726" xr:uid="{00000000-0005-0000-0000-000009060000}"/>
    <cellStyle name="20% - Accent3 2 2" xfId="1727" xr:uid="{00000000-0005-0000-0000-00000A060000}"/>
    <cellStyle name="20% - Accent4 2" xfId="1728" xr:uid="{00000000-0005-0000-0000-00000B060000}"/>
    <cellStyle name="20% - Accent4 2 2" xfId="1729" xr:uid="{00000000-0005-0000-0000-00000C060000}"/>
    <cellStyle name="20% - Accent5 2" xfId="1730" xr:uid="{00000000-0005-0000-0000-00000D060000}"/>
    <cellStyle name="20% - Accent5 2 2" xfId="1731" xr:uid="{00000000-0005-0000-0000-00000E060000}"/>
    <cellStyle name="20% - Accent6 2" xfId="1732" xr:uid="{00000000-0005-0000-0000-00000F060000}"/>
    <cellStyle name="20% - Accent6 2 2" xfId="1733" xr:uid="{00000000-0005-0000-0000-000010060000}"/>
    <cellStyle name="3 Decimals" xfId="1734" xr:uid="{00000000-0005-0000-0000-000011060000}"/>
    <cellStyle name="40% - Accent1 2" xfId="1735" xr:uid="{00000000-0005-0000-0000-000012060000}"/>
    <cellStyle name="40% - Accent1 2 2" xfId="1736" xr:uid="{00000000-0005-0000-0000-000013060000}"/>
    <cellStyle name="40% - Accent2 2" xfId="1737" xr:uid="{00000000-0005-0000-0000-000014060000}"/>
    <cellStyle name="40% - Accent2 2 2" xfId="1738" xr:uid="{00000000-0005-0000-0000-000015060000}"/>
    <cellStyle name="40% - Accent3 2" xfId="1739" xr:uid="{00000000-0005-0000-0000-000016060000}"/>
    <cellStyle name="40% - Accent3 2 2" xfId="1740" xr:uid="{00000000-0005-0000-0000-000017060000}"/>
    <cellStyle name="40% - Accent4 2" xfId="1741" xr:uid="{00000000-0005-0000-0000-000018060000}"/>
    <cellStyle name="40% - Accent4 2 2" xfId="1742" xr:uid="{00000000-0005-0000-0000-000019060000}"/>
    <cellStyle name="40% - Accent5 2" xfId="1743" xr:uid="{00000000-0005-0000-0000-00001A060000}"/>
    <cellStyle name="40% - Accent5 2 2" xfId="1744" xr:uid="{00000000-0005-0000-0000-00001B060000}"/>
    <cellStyle name="40% - Accent6 2" xfId="1745" xr:uid="{00000000-0005-0000-0000-00001C060000}"/>
    <cellStyle name="40% - Accent6 2 2" xfId="1746" xr:uid="{00000000-0005-0000-0000-00001D060000}"/>
    <cellStyle name="60% - Accent1 2" xfId="1747" xr:uid="{00000000-0005-0000-0000-00001E060000}"/>
    <cellStyle name="60% - Accent1 2 2" xfId="1748" xr:uid="{00000000-0005-0000-0000-00001F060000}"/>
    <cellStyle name="60% - Accent2 2" xfId="1749" xr:uid="{00000000-0005-0000-0000-000020060000}"/>
    <cellStyle name="60% - Accent2 2 2" xfId="1750" xr:uid="{00000000-0005-0000-0000-000021060000}"/>
    <cellStyle name="60% - Accent3 2" xfId="1751" xr:uid="{00000000-0005-0000-0000-000022060000}"/>
    <cellStyle name="60% - Accent3 2 2" xfId="1752" xr:uid="{00000000-0005-0000-0000-000023060000}"/>
    <cellStyle name="60% - Accent4 2" xfId="1753" xr:uid="{00000000-0005-0000-0000-000024060000}"/>
    <cellStyle name="60% - Accent4 2 2" xfId="1754" xr:uid="{00000000-0005-0000-0000-000025060000}"/>
    <cellStyle name="60% - Accent5 2" xfId="1755" xr:uid="{00000000-0005-0000-0000-000026060000}"/>
    <cellStyle name="60% - Accent5 2 2" xfId="1756" xr:uid="{00000000-0005-0000-0000-000027060000}"/>
    <cellStyle name="60% - Accent6 2" xfId="1757" xr:uid="{00000000-0005-0000-0000-000028060000}"/>
    <cellStyle name="60% - Accent6 2 2" xfId="1758" xr:uid="{00000000-0005-0000-0000-000029060000}"/>
    <cellStyle name="A$2places" xfId="1759" xr:uid="{00000000-0005-0000-0000-00002A060000}"/>
    <cellStyle name="A$2places 2" xfId="1760" xr:uid="{00000000-0005-0000-0000-00002B060000}"/>
    <cellStyle name="A$3places" xfId="1761" xr:uid="{00000000-0005-0000-0000-00002C060000}"/>
    <cellStyle name="A$3places 2" xfId="1762" xr:uid="{00000000-0005-0000-0000-00002D060000}"/>
    <cellStyle name="A$3places 3" xfId="1763" xr:uid="{00000000-0005-0000-0000-00002E060000}"/>
    <cellStyle name="A$3places_PNR working 21" xfId="1764" xr:uid="{00000000-0005-0000-0000-00002F060000}"/>
    <cellStyle name="Acc" xfId="332" xr:uid="{00000000-0005-0000-0000-000030060000}"/>
    <cellStyle name="Acc 2" xfId="3351" xr:uid="{00000000-0005-0000-0000-000031060000}"/>
    <cellStyle name="Accent1 2" xfId="1765" xr:uid="{00000000-0005-0000-0000-000032060000}"/>
    <cellStyle name="Accent1 2 2" xfId="1766" xr:uid="{00000000-0005-0000-0000-000033060000}"/>
    <cellStyle name="Accent2 2" xfId="1767" xr:uid="{00000000-0005-0000-0000-000034060000}"/>
    <cellStyle name="Accent2 2 2" xfId="1768" xr:uid="{00000000-0005-0000-0000-000035060000}"/>
    <cellStyle name="Accent3 2" xfId="1769" xr:uid="{00000000-0005-0000-0000-000036060000}"/>
    <cellStyle name="Accent3 2 2" xfId="1770" xr:uid="{00000000-0005-0000-0000-000037060000}"/>
    <cellStyle name="Accent4 2" xfId="1771" xr:uid="{00000000-0005-0000-0000-000038060000}"/>
    <cellStyle name="Accent4 2 2" xfId="1772" xr:uid="{00000000-0005-0000-0000-000039060000}"/>
    <cellStyle name="Accent5 2" xfId="1773" xr:uid="{00000000-0005-0000-0000-00003A060000}"/>
    <cellStyle name="Accent5 2 2" xfId="1774" xr:uid="{00000000-0005-0000-0000-00003B060000}"/>
    <cellStyle name="Accent6 2" xfId="1775" xr:uid="{00000000-0005-0000-0000-00003C060000}"/>
    <cellStyle name="Accent6 2 2" xfId="1776" xr:uid="{00000000-0005-0000-0000-00003D060000}"/>
    <cellStyle name="Actual data" xfId="226" xr:uid="{00000000-0005-0000-0000-00003E060000}"/>
    <cellStyle name="Actual data 2" xfId="1777" xr:uid="{00000000-0005-0000-0000-00003F060000}"/>
    <cellStyle name="Actual year" xfId="227" xr:uid="{00000000-0005-0000-0000-000040060000}"/>
    <cellStyle name="Actual year 2" xfId="447" xr:uid="{00000000-0005-0000-0000-000041060000}"/>
    <cellStyle name="Actual year 2 2" xfId="3126" xr:uid="{00000000-0005-0000-0000-000042060000}"/>
    <cellStyle name="Actual year 2 3" xfId="1779" xr:uid="{00000000-0005-0000-0000-000043060000}"/>
    <cellStyle name="Actual year 3" xfId="448" xr:uid="{00000000-0005-0000-0000-000044060000}"/>
    <cellStyle name="Actual year 4" xfId="449" xr:uid="{00000000-0005-0000-0000-000045060000}"/>
    <cellStyle name="Actual year 5" xfId="3125" xr:uid="{00000000-0005-0000-0000-000046060000}"/>
    <cellStyle name="Actual year 6" xfId="1778" xr:uid="{00000000-0005-0000-0000-000047060000}"/>
    <cellStyle name="Actual year 7" xfId="446" xr:uid="{00000000-0005-0000-0000-000048060000}"/>
    <cellStyle name="Actuals Cells" xfId="228" xr:uid="{00000000-0005-0000-0000-000049060000}"/>
    <cellStyle name="Adj L1" xfId="1780" xr:uid="{00000000-0005-0000-0000-00004A060000}"/>
    <cellStyle name="Adj L2" xfId="1781" xr:uid="{00000000-0005-0000-0000-00004B060000}"/>
    <cellStyle name="Adj L3" xfId="1782" xr:uid="{00000000-0005-0000-0000-00004C060000}"/>
    <cellStyle name="Adj Space" xfId="1783" xr:uid="{00000000-0005-0000-0000-00004D060000}"/>
    <cellStyle name="AFE" xfId="229" xr:uid="{00000000-0005-0000-0000-00004E060000}"/>
    <cellStyle name="AFE 2" xfId="1785" xr:uid="{00000000-0005-0000-0000-00004F060000}"/>
    <cellStyle name="AFE 3" xfId="3296" xr:uid="{00000000-0005-0000-0000-000050060000}"/>
    <cellStyle name="AFE 4" xfId="3231" xr:uid="{00000000-0005-0000-0000-000051060000}"/>
    <cellStyle name="AFE 5" xfId="1784" xr:uid="{00000000-0005-0000-0000-000052060000}"/>
    <cellStyle name="afl" xfId="230" xr:uid="{00000000-0005-0000-0000-000053060000}"/>
    <cellStyle name="Andre's Title" xfId="231" xr:uid="{00000000-0005-0000-0000-000054060000}"/>
    <cellStyle name="Arial" xfId="1786" xr:uid="{00000000-0005-0000-0000-000055060000}"/>
    <cellStyle name="Assume#" xfId="353" xr:uid="{00000000-0005-0000-0000-000056060000}"/>
    <cellStyle name="Bad 2" xfId="1787" xr:uid="{00000000-0005-0000-0000-000057060000}"/>
    <cellStyle name="Bad 2 2" xfId="1788" xr:uid="{00000000-0005-0000-0000-000058060000}"/>
    <cellStyle name="Balance" xfId="1789" xr:uid="{00000000-0005-0000-0000-000059060000}"/>
    <cellStyle name="BalanceSheet" xfId="1790" xr:uid="{00000000-0005-0000-0000-00005A060000}"/>
    <cellStyle name="BalanceSheet 2" xfId="1791" xr:uid="{00000000-0005-0000-0000-00005B060000}"/>
    <cellStyle name="BalanceSheet 3" xfId="1792" xr:uid="{00000000-0005-0000-0000-00005C060000}"/>
    <cellStyle name="BalanceSheet_PNR working 21" xfId="1793" xr:uid="{00000000-0005-0000-0000-00005D060000}"/>
    <cellStyle name="Bank1" xfId="1794" xr:uid="{00000000-0005-0000-0000-00005E060000}"/>
    <cellStyle name="Blank" xfId="232" xr:uid="{00000000-0005-0000-0000-00005F060000}"/>
    <cellStyle name="Blue" xfId="233" xr:uid="{00000000-0005-0000-0000-000060060000}"/>
    <cellStyle name="Blue Title" xfId="234" xr:uid="{00000000-0005-0000-0000-000061060000}"/>
    <cellStyle name="Bold" xfId="1795" xr:uid="{00000000-0005-0000-0000-000062060000}"/>
    <cellStyle name="Border Heavy" xfId="1796" xr:uid="{00000000-0005-0000-0000-000063060000}"/>
    <cellStyle name="Border Thin" xfId="1797" xr:uid="{00000000-0005-0000-0000-000064060000}"/>
    <cellStyle name="bps" xfId="3043" xr:uid="{00000000-0005-0000-0000-000065060000}"/>
    <cellStyle name="c" xfId="1798" xr:uid="{00000000-0005-0000-0000-000066060000}"/>
    <cellStyle name="Calc Cells" xfId="235" xr:uid="{00000000-0005-0000-0000-000067060000}"/>
    <cellStyle name="Calc Currency (0)" xfId="1799" xr:uid="{00000000-0005-0000-0000-000068060000}"/>
    <cellStyle name="Calc Currency (0) 2" xfId="1800" xr:uid="{00000000-0005-0000-0000-000069060000}"/>
    <cellStyle name="Calc Currency (2)" xfId="1801" xr:uid="{00000000-0005-0000-0000-00006A060000}"/>
    <cellStyle name="Calc Percent (0)" xfId="1802" xr:uid="{00000000-0005-0000-0000-00006B060000}"/>
    <cellStyle name="Calc Percent (1)" xfId="1803" xr:uid="{00000000-0005-0000-0000-00006C060000}"/>
    <cellStyle name="Calc Percent (2)" xfId="1804" xr:uid="{00000000-0005-0000-0000-00006D060000}"/>
    <cellStyle name="Calc Units (0)" xfId="1805" xr:uid="{00000000-0005-0000-0000-00006E060000}"/>
    <cellStyle name="Calc Units (1)" xfId="1806" xr:uid="{00000000-0005-0000-0000-00006F060000}"/>
    <cellStyle name="Calc Units (2)" xfId="1807" xr:uid="{00000000-0005-0000-0000-000070060000}"/>
    <cellStyle name="Calculation 2" xfId="1808" xr:uid="{00000000-0005-0000-0000-000071060000}"/>
    <cellStyle name="Calculation 2 2" xfId="1809" xr:uid="{00000000-0005-0000-0000-000072060000}"/>
    <cellStyle name="Calculation 2 2 2" xfId="3298" xr:uid="{00000000-0005-0000-0000-000073060000}"/>
    <cellStyle name="Calculation 2 3" xfId="3297" xr:uid="{00000000-0005-0000-0000-000074060000}"/>
    <cellStyle name="Case" xfId="236" xr:uid="{00000000-0005-0000-0000-000075060000}"/>
    <cellStyle name="CashFlow" xfId="1810" xr:uid="{00000000-0005-0000-0000-000076060000}"/>
    <cellStyle name="CashFlow 2" xfId="1811" xr:uid="{00000000-0005-0000-0000-000077060000}"/>
    <cellStyle name="CashFlow 3" xfId="1812" xr:uid="{00000000-0005-0000-0000-000078060000}"/>
    <cellStyle name="Check" xfId="1813" xr:uid="{00000000-0005-0000-0000-000079060000}"/>
    <cellStyle name="Check Cell 2" xfId="1814" xr:uid="{00000000-0005-0000-0000-00007A060000}"/>
    <cellStyle name="Check Cell 2 2" xfId="1815" xr:uid="{00000000-0005-0000-0000-00007B060000}"/>
    <cellStyle name="Co. Names" xfId="237" xr:uid="{00000000-0005-0000-0000-00007C060000}"/>
    <cellStyle name="Co. Names - Bold" xfId="238" xr:uid="{00000000-0005-0000-0000-00007D060000}"/>
    <cellStyle name="Co. Names_Blend" xfId="239" xr:uid="{00000000-0005-0000-0000-00007E060000}"/>
    <cellStyle name="Code" xfId="1816" xr:uid="{00000000-0005-0000-0000-00007F060000}"/>
    <cellStyle name="Code Section" xfId="1817" xr:uid="{00000000-0005-0000-0000-000080060000}"/>
    <cellStyle name="Col Head" xfId="240" xr:uid="{00000000-0005-0000-0000-000081060000}"/>
    <cellStyle name="Comma  - Style1" xfId="1818" xr:uid="{00000000-0005-0000-0000-000083060000}"/>
    <cellStyle name="Comma  - Style2" xfId="1819" xr:uid="{00000000-0005-0000-0000-000084060000}"/>
    <cellStyle name="Comma  - Style3" xfId="1820" xr:uid="{00000000-0005-0000-0000-000085060000}"/>
    <cellStyle name="Comma  - Style4" xfId="1821" xr:uid="{00000000-0005-0000-0000-000086060000}"/>
    <cellStyle name="Comma  - Style5" xfId="1822" xr:uid="{00000000-0005-0000-0000-000087060000}"/>
    <cellStyle name="Comma  - Style6" xfId="1823" xr:uid="{00000000-0005-0000-0000-000088060000}"/>
    <cellStyle name="Comma  - Style7" xfId="1824" xr:uid="{00000000-0005-0000-0000-000089060000}"/>
    <cellStyle name="Comma  - Style8" xfId="1825" xr:uid="{00000000-0005-0000-0000-00008A060000}"/>
    <cellStyle name="comma (1)" xfId="1826" xr:uid="{00000000-0005-0000-0000-00008B060000}"/>
    <cellStyle name="comma (1) 2" xfId="1827" xr:uid="{00000000-0005-0000-0000-00008C060000}"/>
    <cellStyle name="comma (1) 3" xfId="1828" xr:uid="{00000000-0005-0000-0000-00008D060000}"/>
    <cellStyle name="comma (1)_PNR working 21" xfId="1829" xr:uid="{00000000-0005-0000-0000-00008E060000}"/>
    <cellStyle name="Comma [_x0001_]_SHEET" xfId="1830" xr:uid="{00000000-0005-0000-0000-00008F060000}"/>
    <cellStyle name="Comma [00]" xfId="1831" xr:uid="{00000000-0005-0000-0000-000090060000}"/>
    <cellStyle name="Comma [1]" xfId="1832" xr:uid="{00000000-0005-0000-0000-000091060000}"/>
    <cellStyle name="Comma 0" xfId="1833" xr:uid="{00000000-0005-0000-0000-000092060000}"/>
    <cellStyle name="Comma 0 2" xfId="1834" xr:uid="{00000000-0005-0000-0000-000093060000}"/>
    <cellStyle name="Comma 0 3" xfId="1835" xr:uid="{00000000-0005-0000-0000-000094060000}"/>
    <cellStyle name="Comma 0*" xfId="1836" xr:uid="{00000000-0005-0000-0000-000095060000}"/>
    <cellStyle name="Comma 0* 2" xfId="1837" xr:uid="{00000000-0005-0000-0000-000096060000}"/>
    <cellStyle name="Comma 0_ACCC" xfId="1838" xr:uid="{00000000-0005-0000-0000-000097060000}"/>
    <cellStyle name="Comma 1" xfId="1839" xr:uid="{00000000-0005-0000-0000-000098060000}"/>
    <cellStyle name="Comma 1 2" xfId="1840" xr:uid="{00000000-0005-0000-0000-000099060000}"/>
    <cellStyle name="Comma 10" xfId="1841" xr:uid="{00000000-0005-0000-0000-00009A060000}"/>
    <cellStyle name="Comma 11" xfId="1842" xr:uid="{00000000-0005-0000-0000-00009B060000}"/>
    <cellStyle name="Comma 12" xfId="1843" xr:uid="{00000000-0005-0000-0000-00009C060000}"/>
    <cellStyle name="Comma 13" xfId="1844" xr:uid="{00000000-0005-0000-0000-00009D060000}"/>
    <cellStyle name="Comma 14" xfId="1845" xr:uid="{00000000-0005-0000-0000-00009E060000}"/>
    <cellStyle name="Comma 15" xfId="1846" xr:uid="{00000000-0005-0000-0000-00009F060000}"/>
    <cellStyle name="Comma 16" xfId="1847" xr:uid="{00000000-0005-0000-0000-0000A0060000}"/>
    <cellStyle name="Comma 17" xfId="1848" xr:uid="{00000000-0005-0000-0000-0000A1060000}"/>
    <cellStyle name="Comma 18" xfId="1849" xr:uid="{00000000-0005-0000-0000-0000A2060000}"/>
    <cellStyle name="Comma 19" xfId="3254" xr:uid="{00000000-0005-0000-0000-0000A3060000}"/>
    <cellStyle name="Comma 2" xfId="367" xr:uid="{00000000-0005-0000-0000-0000A4060000}"/>
    <cellStyle name="Comma 2 2" xfId="1851" xr:uid="{00000000-0005-0000-0000-0000A5060000}"/>
    <cellStyle name="Comma 2 2 2" xfId="3299" xr:uid="{00000000-0005-0000-0000-0000A6060000}"/>
    <cellStyle name="Comma 2 2 3" xfId="3269" xr:uid="{00000000-0005-0000-0000-0000A7060000}"/>
    <cellStyle name="Comma 2 3" xfId="1852" xr:uid="{00000000-0005-0000-0000-0000A8060000}"/>
    <cellStyle name="Comma 2 4" xfId="3129" xr:uid="{00000000-0005-0000-0000-0000A9060000}"/>
    <cellStyle name="Comma 2 5" xfId="1850" xr:uid="{00000000-0005-0000-0000-0000AA060000}"/>
    <cellStyle name="Comma 2 6" xfId="3261" xr:uid="{00000000-0005-0000-0000-0000AB060000}"/>
    <cellStyle name="Comma 2 7" xfId="450" xr:uid="{00000000-0005-0000-0000-0000AC060000}"/>
    <cellStyle name="Comma 20" xfId="3352" xr:uid="{00000000-0005-0000-0000-0000AD060000}"/>
    <cellStyle name="Comma 3" xfId="398" xr:uid="{00000000-0005-0000-0000-0000AE060000}"/>
    <cellStyle name="Comma 3 2" xfId="1854" xr:uid="{00000000-0005-0000-0000-0000AF060000}"/>
    <cellStyle name="Comma 3 3" xfId="3130" xr:uid="{00000000-0005-0000-0000-0000B0060000}"/>
    <cellStyle name="Comma 3 4" xfId="1853" xr:uid="{00000000-0005-0000-0000-0000B1060000}"/>
    <cellStyle name="Comma 3 5" xfId="451" xr:uid="{00000000-0005-0000-0000-0000B2060000}"/>
    <cellStyle name="Comma 4" xfId="452" xr:uid="{00000000-0005-0000-0000-0000B3060000}"/>
    <cellStyle name="Comma 4 2" xfId="1855" xr:uid="{00000000-0005-0000-0000-0000B4060000}"/>
    <cellStyle name="Comma 5" xfId="453" xr:uid="{00000000-0005-0000-0000-0000B5060000}"/>
    <cellStyle name="Comma 5 2" xfId="3132" xr:uid="{00000000-0005-0000-0000-0000B6060000}"/>
    <cellStyle name="Comma 5 3" xfId="1856" xr:uid="{00000000-0005-0000-0000-0000B7060000}"/>
    <cellStyle name="Comma 6" xfId="1857" xr:uid="{00000000-0005-0000-0000-0000B8060000}"/>
    <cellStyle name="Comma 7" xfId="1858" xr:uid="{00000000-0005-0000-0000-0000B9060000}"/>
    <cellStyle name="Comma 8" xfId="1859" xr:uid="{00000000-0005-0000-0000-0000BA060000}"/>
    <cellStyle name="Comma 9" xfId="1860" xr:uid="{00000000-0005-0000-0000-0000BB060000}"/>
    <cellStyle name="Comma(0)" xfId="1861" xr:uid="{00000000-0005-0000-0000-0000BC060000}"/>
    <cellStyle name="Comma(0) 2" xfId="1862" xr:uid="{00000000-0005-0000-0000-0000BD060000}"/>
    <cellStyle name="Comma(1)" xfId="1863" xr:uid="{00000000-0005-0000-0000-0000BE060000}"/>
    <cellStyle name="Comma(1) 2" xfId="1864" xr:uid="{00000000-0005-0000-0000-0000BF060000}"/>
    <cellStyle name="comma(2)" xfId="1865" xr:uid="{00000000-0005-0000-0000-0000C0060000}"/>
    <cellStyle name="comma(2) 2" xfId="1866" xr:uid="{00000000-0005-0000-0000-0000C1060000}"/>
    <cellStyle name="Comma(3)" xfId="1867" xr:uid="{00000000-0005-0000-0000-0000C2060000}"/>
    <cellStyle name="Comma(3) 2" xfId="1868" xr:uid="{00000000-0005-0000-0000-0000C3060000}"/>
    <cellStyle name="Comma(3) 2 2" xfId="1869" xr:uid="{00000000-0005-0000-0000-0000C4060000}"/>
    <cellStyle name="Comma(3) 2 2 2" xfId="3302" xr:uid="{00000000-0005-0000-0000-0000C5060000}"/>
    <cellStyle name="Comma(3) 2 3" xfId="3301" xr:uid="{00000000-0005-0000-0000-0000C6060000}"/>
    <cellStyle name="Comma(3) 3" xfId="1870" xr:uid="{00000000-0005-0000-0000-0000C7060000}"/>
    <cellStyle name="Comma(3) 3 2" xfId="3303" xr:uid="{00000000-0005-0000-0000-0000C8060000}"/>
    <cellStyle name="Comma(3) 4" xfId="3300" xr:uid="{00000000-0005-0000-0000-0000C9060000}"/>
    <cellStyle name="Comma0" xfId="241" xr:uid="{00000000-0005-0000-0000-0000CA060000}"/>
    <cellStyle name="Comma0 2" xfId="3304" xr:uid="{00000000-0005-0000-0000-0000CB060000}"/>
    <cellStyle name="Comma0 3" xfId="3232" xr:uid="{00000000-0005-0000-0000-0000CC060000}"/>
    <cellStyle name="Comma0 4" xfId="1871" xr:uid="{00000000-0005-0000-0000-0000CD060000}"/>
    <cellStyle name="Company name" xfId="242" xr:uid="{00000000-0005-0000-0000-0000CE060000}"/>
    <cellStyle name="CompanyTitle" xfId="243" xr:uid="{00000000-0005-0000-0000-0000CF060000}"/>
    <cellStyle name="Copied" xfId="1872" xr:uid="{00000000-0005-0000-0000-0000D0060000}"/>
    <cellStyle name="Copied 2" xfId="1873" xr:uid="{00000000-0005-0000-0000-0000D1060000}"/>
    <cellStyle name="Cover Date" xfId="1874" xr:uid="{00000000-0005-0000-0000-0000D2060000}"/>
    <cellStyle name="Cover Subtitle" xfId="1875" xr:uid="{00000000-0005-0000-0000-0000D3060000}"/>
    <cellStyle name="Cover Title" xfId="1876" xr:uid="{00000000-0005-0000-0000-0000D4060000}"/>
    <cellStyle name="Currency (3)" xfId="1877" xr:uid="{00000000-0005-0000-0000-0000D6060000}"/>
    <cellStyle name="Currency (3) 2" xfId="1878" xr:uid="{00000000-0005-0000-0000-0000D7060000}"/>
    <cellStyle name="Currency [00]" xfId="1879" xr:uid="{00000000-0005-0000-0000-0000D8060000}"/>
    <cellStyle name="Currency [2]" xfId="244" xr:uid="{00000000-0005-0000-0000-0000D9060000}"/>
    <cellStyle name="Currency [2] 2" xfId="3233" xr:uid="{00000000-0005-0000-0000-0000DA060000}"/>
    <cellStyle name="Currency 0" xfId="1880" xr:uid="{00000000-0005-0000-0000-0000DB060000}"/>
    <cellStyle name="Currency 0 2" xfId="1881" xr:uid="{00000000-0005-0000-0000-0000DC060000}"/>
    <cellStyle name="Currency 0 3" xfId="1882" xr:uid="{00000000-0005-0000-0000-0000DD060000}"/>
    <cellStyle name="Currency 1" xfId="1883" xr:uid="{00000000-0005-0000-0000-0000DE060000}"/>
    <cellStyle name="Currency 1 2" xfId="1884" xr:uid="{00000000-0005-0000-0000-0000DF060000}"/>
    <cellStyle name="Currency 10" xfId="1885" xr:uid="{00000000-0005-0000-0000-0000E0060000}"/>
    <cellStyle name="Currency 11" xfId="1886" xr:uid="{00000000-0005-0000-0000-0000E1060000}"/>
    <cellStyle name="Currency 12" xfId="1887" xr:uid="{00000000-0005-0000-0000-0000E2060000}"/>
    <cellStyle name="Currency 13" xfId="1888" xr:uid="{00000000-0005-0000-0000-0000E3060000}"/>
    <cellStyle name="Currency 14" xfId="1889" xr:uid="{00000000-0005-0000-0000-0000E4060000}"/>
    <cellStyle name="Currency 15" xfId="1890" xr:uid="{00000000-0005-0000-0000-0000E5060000}"/>
    <cellStyle name="Currency 16" xfId="1891" xr:uid="{00000000-0005-0000-0000-0000E6060000}"/>
    <cellStyle name="Currency 17" xfId="1892" xr:uid="{00000000-0005-0000-0000-0000E7060000}"/>
    <cellStyle name="Currency 18" xfId="1893" xr:uid="{00000000-0005-0000-0000-0000E8060000}"/>
    <cellStyle name="Currency 19" xfId="1894" xr:uid="{00000000-0005-0000-0000-0000E9060000}"/>
    <cellStyle name="Currency 2" xfId="354" xr:uid="{00000000-0005-0000-0000-0000EA060000}"/>
    <cellStyle name="Currency 2 2" xfId="1896" xr:uid="{00000000-0005-0000-0000-0000EB060000}"/>
    <cellStyle name="Currency 2 3" xfId="3305" xr:uid="{00000000-0005-0000-0000-0000EC060000}"/>
    <cellStyle name="Currency 2 4" xfId="3257" xr:uid="{00000000-0005-0000-0000-0000ED060000}"/>
    <cellStyle name="Currency 2 5" xfId="1895" xr:uid="{00000000-0005-0000-0000-0000EE060000}"/>
    <cellStyle name="Currency 20" xfId="1897" xr:uid="{00000000-0005-0000-0000-0000EF060000}"/>
    <cellStyle name="Currency 21" xfId="1898" xr:uid="{00000000-0005-0000-0000-0000F0060000}"/>
    <cellStyle name="Currency 22" xfId="1899" xr:uid="{00000000-0005-0000-0000-0000F1060000}"/>
    <cellStyle name="Currency 23" xfId="1900" xr:uid="{00000000-0005-0000-0000-0000F2060000}"/>
    <cellStyle name="Currency 24" xfId="1901" xr:uid="{00000000-0005-0000-0000-0000F3060000}"/>
    <cellStyle name="Currency 25" xfId="1902" xr:uid="{00000000-0005-0000-0000-0000F4060000}"/>
    <cellStyle name="Currency 26" xfId="1903" xr:uid="{00000000-0005-0000-0000-0000F5060000}"/>
    <cellStyle name="Currency 27" xfId="1904" xr:uid="{00000000-0005-0000-0000-0000F6060000}"/>
    <cellStyle name="Currency 28" xfId="1905" xr:uid="{00000000-0005-0000-0000-0000F7060000}"/>
    <cellStyle name="Currency 29" xfId="1906" xr:uid="{00000000-0005-0000-0000-0000F8060000}"/>
    <cellStyle name="Currency 3" xfId="326" xr:uid="{00000000-0005-0000-0000-0000F9060000}"/>
    <cellStyle name="Currency 3 2" xfId="1908" xr:uid="{00000000-0005-0000-0000-0000FA060000}"/>
    <cellStyle name="Currency 3 3" xfId="3306" xr:uid="{00000000-0005-0000-0000-0000FB060000}"/>
    <cellStyle name="Currency 3 4" xfId="3260" xr:uid="{00000000-0005-0000-0000-0000FC060000}"/>
    <cellStyle name="Currency 3 5" xfId="1907" xr:uid="{00000000-0005-0000-0000-0000FD060000}"/>
    <cellStyle name="Currency 30" xfId="1909" xr:uid="{00000000-0005-0000-0000-0000FE060000}"/>
    <cellStyle name="Currency 31" xfId="1910" xr:uid="{00000000-0005-0000-0000-0000FF060000}"/>
    <cellStyle name="Currency 32" xfId="1911" xr:uid="{00000000-0005-0000-0000-000000070000}"/>
    <cellStyle name="Currency 33" xfId="1912" xr:uid="{00000000-0005-0000-0000-000001070000}"/>
    <cellStyle name="Currency 34" xfId="1913" xr:uid="{00000000-0005-0000-0000-000002070000}"/>
    <cellStyle name="Currency 35" xfId="1914" xr:uid="{00000000-0005-0000-0000-000003070000}"/>
    <cellStyle name="Currency 36" xfId="1915" xr:uid="{00000000-0005-0000-0000-000004070000}"/>
    <cellStyle name="Currency 37" xfId="1916" xr:uid="{00000000-0005-0000-0000-000005070000}"/>
    <cellStyle name="Currency 38" xfId="1917" xr:uid="{00000000-0005-0000-0000-000006070000}"/>
    <cellStyle name="Currency 39" xfId="1918" xr:uid="{00000000-0005-0000-0000-000007070000}"/>
    <cellStyle name="Currency 4" xfId="381" xr:uid="{00000000-0005-0000-0000-000008070000}"/>
    <cellStyle name="Currency 4 2" xfId="1920" xr:uid="{00000000-0005-0000-0000-000009070000}"/>
    <cellStyle name="Currency 4 3" xfId="1919" xr:uid="{00000000-0005-0000-0000-00000A070000}"/>
    <cellStyle name="Currency 40" xfId="1921" xr:uid="{00000000-0005-0000-0000-00000B070000}"/>
    <cellStyle name="Currency 41" xfId="1922" xr:uid="{00000000-0005-0000-0000-00000C070000}"/>
    <cellStyle name="Currency 42" xfId="1923" xr:uid="{00000000-0005-0000-0000-00000D070000}"/>
    <cellStyle name="Currency 43" xfId="1924" xr:uid="{00000000-0005-0000-0000-00000E070000}"/>
    <cellStyle name="Currency 44" xfId="1925" xr:uid="{00000000-0005-0000-0000-00000F070000}"/>
    <cellStyle name="Currency 45" xfId="1926" xr:uid="{00000000-0005-0000-0000-000010070000}"/>
    <cellStyle name="Currency 46" xfId="1927" xr:uid="{00000000-0005-0000-0000-000011070000}"/>
    <cellStyle name="Currency 47" xfId="3253" xr:uid="{00000000-0005-0000-0000-000012070000}"/>
    <cellStyle name="Currency 5" xfId="1928" xr:uid="{00000000-0005-0000-0000-000013070000}"/>
    <cellStyle name="Currency 6" xfId="1929" xr:uid="{00000000-0005-0000-0000-000014070000}"/>
    <cellStyle name="Currency 7" xfId="1930" xr:uid="{00000000-0005-0000-0000-000015070000}"/>
    <cellStyle name="Currency 8" xfId="1931" xr:uid="{00000000-0005-0000-0000-000016070000}"/>
    <cellStyle name="Currency 9" xfId="1932" xr:uid="{00000000-0005-0000-0000-000017070000}"/>
    <cellStyle name="currency(0)" xfId="1933" xr:uid="{00000000-0005-0000-0000-000018070000}"/>
    <cellStyle name="currency(0) 2" xfId="1934" xr:uid="{00000000-0005-0000-0000-000019070000}"/>
    <cellStyle name="Currency(1)" xfId="1935" xr:uid="{00000000-0005-0000-0000-00001A070000}"/>
    <cellStyle name="Currency(1) 2" xfId="1936" xr:uid="{00000000-0005-0000-0000-00001B070000}"/>
    <cellStyle name="Currency(2)" xfId="1937" xr:uid="{00000000-0005-0000-0000-00001C070000}"/>
    <cellStyle name="Currency(2) 2" xfId="1938" xr:uid="{00000000-0005-0000-0000-00001D070000}"/>
    <cellStyle name="Currency(2) 2 2" xfId="1939" xr:uid="{00000000-0005-0000-0000-00001E070000}"/>
    <cellStyle name="Currency(2) 3" xfId="1940" xr:uid="{00000000-0005-0000-0000-00001F070000}"/>
    <cellStyle name="Currency0" xfId="245" xr:uid="{00000000-0005-0000-0000-000020070000}"/>
    <cellStyle name="Currency0 2" xfId="1942" xr:uid="{00000000-0005-0000-0000-000021070000}"/>
    <cellStyle name="Currency0 3" xfId="3307" xr:uid="{00000000-0005-0000-0000-000022070000}"/>
    <cellStyle name="Currency0 4" xfId="3234" xr:uid="{00000000-0005-0000-0000-000023070000}"/>
    <cellStyle name="Currency0 5" xfId="1941" xr:uid="{00000000-0005-0000-0000-000024070000}"/>
    <cellStyle name="Currency2" xfId="1943" xr:uid="{00000000-0005-0000-0000-000025070000}"/>
    <cellStyle name="Currency2 2" xfId="1944" xr:uid="{00000000-0005-0000-0000-000026070000}"/>
    <cellStyle name="custom" xfId="1945" xr:uid="{00000000-0005-0000-0000-000027070000}"/>
    <cellStyle name="custom 2" xfId="1946" xr:uid="{00000000-0005-0000-0000-000028070000}"/>
    <cellStyle name="d_yield" xfId="1947" xr:uid="{00000000-0005-0000-0000-000029070000}"/>
    <cellStyle name="data" xfId="1948" xr:uid="{00000000-0005-0000-0000-00002A070000}"/>
    <cellStyle name="date" xfId="246" xr:uid="{00000000-0005-0000-0000-00002B070000}"/>
    <cellStyle name="Date [mmm-yy]" xfId="1950" xr:uid="{00000000-0005-0000-0000-00002C070000}"/>
    <cellStyle name="Date [mmm-yy] 2" xfId="1951" xr:uid="{00000000-0005-0000-0000-00002D070000}"/>
    <cellStyle name="Date [mmm-yy]_PNR working 21" xfId="1952" xr:uid="{00000000-0005-0000-0000-00002E070000}"/>
    <cellStyle name="Date 10" xfId="1953" xr:uid="{00000000-0005-0000-0000-00002F070000}"/>
    <cellStyle name="Date 11" xfId="1954" xr:uid="{00000000-0005-0000-0000-000030070000}"/>
    <cellStyle name="Date 12" xfId="1955" xr:uid="{00000000-0005-0000-0000-000031070000}"/>
    <cellStyle name="Date 13" xfId="3133" xr:uid="{00000000-0005-0000-0000-000032070000}"/>
    <cellStyle name="Date 14" xfId="3164" xr:uid="{00000000-0005-0000-0000-000033070000}"/>
    <cellStyle name="Date 15" xfId="3163" xr:uid="{00000000-0005-0000-0000-000034070000}"/>
    <cellStyle name="Date 16" xfId="3193" xr:uid="{00000000-0005-0000-0000-000035070000}"/>
    <cellStyle name="Date 17" xfId="3191" xr:uid="{00000000-0005-0000-0000-000036070000}"/>
    <cellStyle name="Date 18" xfId="3192" xr:uid="{00000000-0005-0000-0000-000037070000}"/>
    <cellStyle name="Date 19" xfId="3190" xr:uid="{00000000-0005-0000-0000-000038070000}"/>
    <cellStyle name="Date 2" xfId="1956" xr:uid="{00000000-0005-0000-0000-000039070000}"/>
    <cellStyle name="Date 2 2" xfId="3308" xr:uid="{00000000-0005-0000-0000-00003A070000}"/>
    <cellStyle name="Date 2 3" xfId="3270" xr:uid="{00000000-0005-0000-0000-00003B070000}"/>
    <cellStyle name="Date 20" xfId="1949" xr:uid="{00000000-0005-0000-0000-00003C070000}"/>
    <cellStyle name="date 21" xfId="3235" xr:uid="{00000000-0005-0000-0000-00003D070000}"/>
    <cellStyle name="Date 22" xfId="454" xr:uid="{00000000-0005-0000-0000-00003E070000}"/>
    <cellStyle name="Date 3" xfId="1957" xr:uid="{00000000-0005-0000-0000-00003F070000}"/>
    <cellStyle name="Date 4" xfId="1958" xr:uid="{00000000-0005-0000-0000-000040070000}"/>
    <cellStyle name="Date 5" xfId="1959" xr:uid="{00000000-0005-0000-0000-000041070000}"/>
    <cellStyle name="Date 6" xfId="1960" xr:uid="{00000000-0005-0000-0000-000042070000}"/>
    <cellStyle name="Date 7" xfId="1961" xr:uid="{00000000-0005-0000-0000-000043070000}"/>
    <cellStyle name="Date 8" xfId="1962" xr:uid="{00000000-0005-0000-0000-000044070000}"/>
    <cellStyle name="Date 9" xfId="1963" xr:uid="{00000000-0005-0000-0000-000045070000}"/>
    <cellStyle name="Date Aligned" xfId="1964" xr:uid="{00000000-0005-0000-0000-000046070000}"/>
    <cellStyle name="Date Aligned 2" xfId="1965" xr:uid="{00000000-0005-0000-0000-000047070000}"/>
    <cellStyle name="Date Aligned 3" xfId="1966" xr:uid="{00000000-0005-0000-0000-000048070000}"/>
    <cellStyle name="Date Short" xfId="1967" xr:uid="{00000000-0005-0000-0000-000049070000}"/>
    <cellStyle name="Date_AG-working 107" xfId="1968" xr:uid="{00000000-0005-0000-0000-00004A070000}"/>
    <cellStyle name="Dates" xfId="1969" xr:uid="{00000000-0005-0000-0000-00004B070000}"/>
    <cellStyle name="Dates 2" xfId="1970" xr:uid="{00000000-0005-0000-0000-00004C070000}"/>
    <cellStyle name="DateYear" xfId="1971" xr:uid="{00000000-0005-0000-0000-00004D070000}"/>
    <cellStyle name="DateYear 2" xfId="1972" xr:uid="{00000000-0005-0000-0000-00004E070000}"/>
    <cellStyle name="DateYear 3" xfId="1973" xr:uid="{00000000-0005-0000-0000-00004F070000}"/>
    <cellStyle name="days" xfId="1974" xr:uid="{00000000-0005-0000-0000-000050070000}"/>
    <cellStyle name="days 2" xfId="1975" xr:uid="{00000000-0005-0000-0000-000051070000}"/>
    <cellStyle name="Dec_0" xfId="1976" xr:uid="{00000000-0005-0000-0000-000052070000}"/>
    <cellStyle name="default" xfId="247" xr:uid="{00000000-0005-0000-0000-000053070000}"/>
    <cellStyle name="Derive" xfId="1977" xr:uid="{00000000-0005-0000-0000-000054070000}"/>
    <cellStyle name="Detail ligne" xfId="1978" xr:uid="{00000000-0005-0000-0000-000055070000}"/>
    <cellStyle name="Dollar" xfId="248" xr:uid="{00000000-0005-0000-0000-000056070000}"/>
    <cellStyle name="Dollar 2" xfId="456" xr:uid="{00000000-0005-0000-0000-000057070000}"/>
    <cellStyle name="Dollar 2 2" xfId="3135" xr:uid="{00000000-0005-0000-0000-000058070000}"/>
    <cellStyle name="Dollar 2 3" xfId="1980" xr:uid="{00000000-0005-0000-0000-000059070000}"/>
    <cellStyle name="Dollar 3" xfId="457" xr:uid="{00000000-0005-0000-0000-00005A070000}"/>
    <cellStyle name="Dollar 3 2" xfId="3136" xr:uid="{00000000-0005-0000-0000-00005B070000}"/>
    <cellStyle name="Dollar 3 3" xfId="1981" xr:uid="{00000000-0005-0000-0000-00005C070000}"/>
    <cellStyle name="Dollar 4" xfId="458" xr:uid="{00000000-0005-0000-0000-00005D070000}"/>
    <cellStyle name="Dollar 5" xfId="3134" xr:uid="{00000000-0005-0000-0000-00005E070000}"/>
    <cellStyle name="Dollar 6" xfId="1979" xr:uid="{00000000-0005-0000-0000-00005F070000}"/>
    <cellStyle name="Dollar 7" xfId="455" xr:uid="{00000000-0005-0000-0000-000060070000}"/>
    <cellStyle name="Dollars" xfId="1982" xr:uid="{00000000-0005-0000-0000-000061070000}"/>
    <cellStyle name="Dollars 2" xfId="1983" xr:uid="{00000000-0005-0000-0000-000062070000}"/>
    <cellStyle name="DollarWhole" xfId="1984" xr:uid="{00000000-0005-0000-0000-000063070000}"/>
    <cellStyle name="DollarWhole 2" xfId="1985" xr:uid="{00000000-0005-0000-0000-000064070000}"/>
    <cellStyle name="Dotted Line" xfId="1986" xr:uid="{00000000-0005-0000-0000-000065070000}"/>
    <cellStyle name="Dotted Line 2" xfId="1987" xr:uid="{00000000-0005-0000-0000-000066070000}"/>
    <cellStyle name="Dotted Line 3" xfId="1988" xr:uid="{00000000-0005-0000-0000-000067070000}"/>
    <cellStyle name="Duizenden" xfId="1989" xr:uid="{00000000-0005-0000-0000-000068070000}"/>
    <cellStyle name="Duizenden 2" xfId="1990" xr:uid="{00000000-0005-0000-0000-000069070000}"/>
    <cellStyle name="Duizenden_PNR working 21" xfId="1991" xr:uid="{00000000-0005-0000-0000-00006A070000}"/>
    <cellStyle name="E" xfId="1992" xr:uid="{00000000-0005-0000-0000-00006B070000}"/>
    <cellStyle name="E 2" xfId="1993" xr:uid="{00000000-0005-0000-0000-00006C070000}"/>
    <cellStyle name="E 2 2" xfId="1994" xr:uid="{00000000-0005-0000-0000-00006D070000}"/>
    <cellStyle name="E 3" xfId="1995" xr:uid="{00000000-0005-0000-0000-00006E070000}"/>
    <cellStyle name="E_AG" xfId="1996" xr:uid="{00000000-0005-0000-0000-00006F070000}"/>
    <cellStyle name="E_AG 2" xfId="1997" xr:uid="{00000000-0005-0000-0000-000070070000}"/>
    <cellStyle name="E_CNH" xfId="1998" xr:uid="{00000000-0005-0000-0000-000071070000}"/>
    <cellStyle name="E_CNH 2" xfId="1999" xr:uid="{00000000-0005-0000-0000-000072070000}"/>
    <cellStyle name="E_DOV" xfId="2000" xr:uid="{00000000-0005-0000-0000-000073070000}"/>
    <cellStyle name="E_DOV 2" xfId="2001" xr:uid="{00000000-0005-0000-0000-000074070000}"/>
    <cellStyle name="E_ETN" xfId="2002" xr:uid="{00000000-0005-0000-0000-000075070000}"/>
    <cellStyle name="E_ETN 2" xfId="2003" xr:uid="{00000000-0005-0000-0000-000076070000}"/>
    <cellStyle name="E_Hist Summary" xfId="2004" xr:uid="{00000000-0005-0000-0000-000077070000}"/>
    <cellStyle name="E_Hist Summary 2" xfId="2005" xr:uid="{00000000-0005-0000-0000-000078070000}"/>
    <cellStyle name="E_JOYG" xfId="2006" xr:uid="{00000000-0005-0000-0000-000079070000}"/>
    <cellStyle name="E_JOYG 2" xfId="2007" xr:uid="{00000000-0005-0000-0000-00007A070000}"/>
    <cellStyle name="E_Machinery group valuation" xfId="2008" xr:uid="{00000000-0005-0000-0000-00007B070000}"/>
    <cellStyle name="E_Machinery group valuation 2" xfId="2009" xr:uid="{00000000-0005-0000-0000-00007C070000}"/>
    <cellStyle name="E_MLM" xfId="2010" xr:uid="{00000000-0005-0000-0000-00007D070000}"/>
    <cellStyle name="E_MLM 2" xfId="2011" xr:uid="{00000000-0005-0000-0000-00007E070000}"/>
    <cellStyle name="E_NAV" xfId="2012" xr:uid="{00000000-0005-0000-0000-00007F070000}"/>
    <cellStyle name="E_NAV 2" xfId="2013" xr:uid="{00000000-0005-0000-0000-000080070000}"/>
    <cellStyle name="E_OSK" xfId="2014" xr:uid="{00000000-0005-0000-0000-000081070000}"/>
    <cellStyle name="E_OSK 2" xfId="2015" xr:uid="{00000000-0005-0000-0000-000082070000}"/>
    <cellStyle name="E_PCAR" xfId="2016" xr:uid="{00000000-0005-0000-0000-000083070000}"/>
    <cellStyle name="E_PCAR 2" xfId="2017" xr:uid="{00000000-0005-0000-0000-000084070000}"/>
    <cellStyle name="E_PH" xfId="2018" xr:uid="{00000000-0005-0000-0000-000085070000}"/>
    <cellStyle name="E_PH 2" xfId="2019" xr:uid="{00000000-0005-0000-0000-000086070000}"/>
    <cellStyle name="emp" xfId="249" xr:uid="{00000000-0005-0000-0000-000087070000}"/>
    <cellStyle name="Enter Currency (0)" xfId="2020" xr:uid="{00000000-0005-0000-0000-000088070000}"/>
    <cellStyle name="Enter Currency (2)" xfId="2021" xr:uid="{00000000-0005-0000-0000-000089070000}"/>
    <cellStyle name="Enter Units (0)" xfId="2022" xr:uid="{00000000-0005-0000-0000-00008A070000}"/>
    <cellStyle name="Enter Units (1)" xfId="2023" xr:uid="{00000000-0005-0000-0000-00008B070000}"/>
    <cellStyle name="Enter Units (2)" xfId="2024" xr:uid="{00000000-0005-0000-0000-00008C070000}"/>
    <cellStyle name="Entered" xfId="2025" xr:uid="{00000000-0005-0000-0000-00008D070000}"/>
    <cellStyle name="Entered 2" xfId="2026" xr:uid="{00000000-0005-0000-0000-00008E070000}"/>
    <cellStyle name="Entries" xfId="2027" xr:uid="{00000000-0005-0000-0000-00008F070000}"/>
    <cellStyle name="Entry" xfId="2028" xr:uid="{00000000-0005-0000-0000-000090070000}"/>
    <cellStyle name="EPS" xfId="1" xr:uid="{00000000-0005-0000-0000-000091070000}"/>
    <cellStyle name="EPS 2" xfId="342" xr:uid="{00000000-0005-0000-0000-000092070000}"/>
    <cellStyle name="EPS 2 2" xfId="3310" xr:uid="{00000000-0005-0000-0000-000093070000}"/>
    <cellStyle name="EPS 2 3" xfId="2940" xr:uid="{00000000-0005-0000-0000-000094070000}"/>
    <cellStyle name="EPS 2 4" xfId="2029" xr:uid="{00000000-0005-0000-0000-000095070000}"/>
    <cellStyle name="EPS 3" xfId="348" xr:uid="{00000000-0005-0000-0000-000096070000}"/>
    <cellStyle name="EPS 3 2" xfId="2030" xr:uid="{00000000-0005-0000-0000-000097070000}"/>
    <cellStyle name="EPS 4" xfId="329" xr:uid="{00000000-0005-0000-0000-000098070000}"/>
    <cellStyle name="EPS 4 2" xfId="2031" xr:uid="{00000000-0005-0000-0000-000099070000}"/>
    <cellStyle name="EPS 5" xfId="320" xr:uid="{00000000-0005-0000-0000-00009A070000}"/>
    <cellStyle name="EPS 5 2" xfId="2032" xr:uid="{00000000-0005-0000-0000-00009B070000}"/>
    <cellStyle name="EPS 6" xfId="384" xr:uid="{00000000-0005-0000-0000-00009C070000}"/>
    <cellStyle name="EPS 6 2" xfId="3309" xr:uid="{00000000-0005-0000-0000-00009D070000}"/>
    <cellStyle name="EPS 7" xfId="2944" xr:uid="{00000000-0005-0000-0000-00009E070000}"/>
    <cellStyle name="EPS Input" xfId="2033" xr:uid="{00000000-0005-0000-0000-00009F070000}"/>
    <cellStyle name="eps$" xfId="2034" xr:uid="{00000000-0005-0000-0000-0000A0070000}"/>
    <cellStyle name="eps$A" xfId="2035" xr:uid="{00000000-0005-0000-0000-0000A1070000}"/>
    <cellStyle name="eps$E" xfId="2036" xr:uid="{00000000-0005-0000-0000-0000A2070000}"/>
    <cellStyle name="eps_AOL Model Master" xfId="2037" xr:uid="{00000000-0005-0000-0000-0000A3070000}"/>
    <cellStyle name="epsA" xfId="2038" xr:uid="{00000000-0005-0000-0000-0000A4070000}"/>
    <cellStyle name="EPSActual" xfId="2039" xr:uid="{00000000-0005-0000-0000-0000A5070000}"/>
    <cellStyle name="EPSActual 2" xfId="2040" xr:uid="{00000000-0005-0000-0000-0000A6070000}"/>
    <cellStyle name="epsE" xfId="2041" xr:uid="{00000000-0005-0000-0000-0000A7070000}"/>
    <cellStyle name="EPSEstimate" xfId="2042" xr:uid="{00000000-0005-0000-0000-0000A8070000}"/>
    <cellStyle name="EPSEstimate 2" xfId="2043" xr:uid="{00000000-0005-0000-0000-0000A9070000}"/>
    <cellStyle name="Euro" xfId="2044" xr:uid="{00000000-0005-0000-0000-0000AA070000}"/>
    <cellStyle name="Euro 2" xfId="2045" xr:uid="{00000000-0005-0000-0000-0000AB070000}"/>
    <cellStyle name="Euro 3" xfId="2046" xr:uid="{00000000-0005-0000-0000-0000AC070000}"/>
    <cellStyle name="ExchRate" xfId="2047" xr:uid="{00000000-0005-0000-0000-0000AD070000}"/>
    <cellStyle name="ExchRate 2" xfId="2048" xr:uid="{00000000-0005-0000-0000-0000AE070000}"/>
    <cellStyle name="ExchRate 3" xfId="2049" xr:uid="{00000000-0005-0000-0000-0000AF070000}"/>
    <cellStyle name="Explanatory Text 2" xfId="2050" xr:uid="{00000000-0005-0000-0000-0000B0070000}"/>
    <cellStyle name="Explanatory Text 2 2" xfId="2051" xr:uid="{00000000-0005-0000-0000-0000B1070000}"/>
    <cellStyle name="External File Cells" xfId="250" xr:uid="{00000000-0005-0000-0000-0000B2070000}"/>
    <cellStyle name="External File Cells 2" xfId="460" xr:uid="{00000000-0005-0000-0000-0000B3070000}"/>
    <cellStyle name="External File Cells 2 2" xfId="2054" xr:uid="{00000000-0005-0000-0000-0000B4070000}"/>
    <cellStyle name="External File Cells 2 2 2" xfId="3313" xr:uid="{00000000-0005-0000-0000-0000B5070000}"/>
    <cellStyle name="External File Cells 2 3" xfId="3138" xr:uid="{00000000-0005-0000-0000-0000B6070000}"/>
    <cellStyle name="External File Cells 2 4" xfId="2053" xr:uid="{00000000-0005-0000-0000-0000B7070000}"/>
    <cellStyle name="External File Cells 2 4 2" xfId="3312" xr:uid="{00000000-0005-0000-0000-0000B8070000}"/>
    <cellStyle name="External File Cells 3" xfId="461" xr:uid="{00000000-0005-0000-0000-0000B9070000}"/>
    <cellStyle name="External File Cells 3 2" xfId="3139" xr:uid="{00000000-0005-0000-0000-0000BA070000}"/>
    <cellStyle name="External File Cells 3 3" xfId="2055" xr:uid="{00000000-0005-0000-0000-0000BB070000}"/>
    <cellStyle name="External File Cells 3 3 2" xfId="3314" xr:uid="{00000000-0005-0000-0000-0000BC070000}"/>
    <cellStyle name="External File Cells 4" xfId="462" xr:uid="{00000000-0005-0000-0000-0000BD070000}"/>
    <cellStyle name="External File Cells 4 2" xfId="3140" xr:uid="{00000000-0005-0000-0000-0000BE070000}"/>
    <cellStyle name="External File Cells 5" xfId="3137" xr:uid="{00000000-0005-0000-0000-0000BF070000}"/>
    <cellStyle name="External File Cells 5 2" xfId="3344" xr:uid="{00000000-0005-0000-0000-0000C0070000}"/>
    <cellStyle name="External File Cells 6" xfId="2052" xr:uid="{00000000-0005-0000-0000-0000C1070000}"/>
    <cellStyle name="External File Cells 6 2" xfId="3311" xr:uid="{00000000-0005-0000-0000-0000C2070000}"/>
    <cellStyle name="External File Cells 7" xfId="3236" xr:uid="{00000000-0005-0000-0000-0000C3070000}"/>
    <cellStyle name="External File Cells 8" xfId="459" xr:uid="{00000000-0005-0000-0000-0000C4070000}"/>
    <cellStyle name="FF" xfId="2056" xr:uid="{00000000-0005-0000-0000-0000C5070000}"/>
    <cellStyle name="FF 2" xfId="2057" xr:uid="{00000000-0005-0000-0000-0000C6070000}"/>
    <cellStyle name="Financial" xfId="2058" xr:uid="{00000000-0005-0000-0000-0000C7070000}"/>
    <cellStyle name="Financial 2" xfId="2059" xr:uid="{00000000-0005-0000-0000-0000C8070000}"/>
    <cellStyle name="Financial 3" xfId="2060" xr:uid="{00000000-0005-0000-0000-0000C9070000}"/>
    <cellStyle name="Fit" xfId="251" xr:uid="{00000000-0005-0000-0000-0000CA070000}"/>
    <cellStyle name="Fixed" xfId="252" xr:uid="{00000000-0005-0000-0000-0000CB070000}"/>
    <cellStyle name="Fixed 2" xfId="2062" xr:uid="{00000000-0005-0000-0000-0000CC070000}"/>
    <cellStyle name="Fixed 3" xfId="3315" xr:uid="{00000000-0005-0000-0000-0000CD070000}"/>
    <cellStyle name="Fixed 4" xfId="3237" xr:uid="{00000000-0005-0000-0000-0000CE070000}"/>
    <cellStyle name="Fixed 5" xfId="2061" xr:uid="{00000000-0005-0000-0000-0000CF070000}"/>
    <cellStyle name="Footer SBILogo1" xfId="2063" xr:uid="{00000000-0005-0000-0000-0000D0070000}"/>
    <cellStyle name="Footer SBILogo2" xfId="2064" xr:uid="{00000000-0005-0000-0000-0000D1070000}"/>
    <cellStyle name="Footnote" xfId="2065" xr:uid="{00000000-0005-0000-0000-0000D2070000}"/>
    <cellStyle name="Footnote Reference" xfId="2066" xr:uid="{00000000-0005-0000-0000-0000D3070000}"/>
    <cellStyle name="Footnote_ACCC" xfId="2067" xr:uid="{00000000-0005-0000-0000-0000D4070000}"/>
    <cellStyle name="Footnotes" xfId="253" xr:uid="{00000000-0005-0000-0000-0000D5070000}"/>
    <cellStyle name="Forecast Cells" xfId="254" xr:uid="{00000000-0005-0000-0000-0000D6070000}"/>
    <cellStyle name="Forecast#" xfId="355" xr:uid="{00000000-0005-0000-0000-0000D7070000}"/>
    <cellStyle name="fy_eps$" xfId="2068" xr:uid="{00000000-0005-0000-0000-0000D8070000}"/>
    <cellStyle name="g_rate" xfId="2069" xr:uid="{00000000-0005-0000-0000-0000D9070000}"/>
    <cellStyle name="g_rate_AOL_Model_Master" xfId="2070" xr:uid="{00000000-0005-0000-0000-0000DA070000}"/>
    <cellStyle name="G1_1999 figures" xfId="255" xr:uid="{00000000-0005-0000-0000-0000DB070000}"/>
    <cellStyle name="General" xfId="2071" xr:uid="{00000000-0005-0000-0000-0000DC070000}"/>
    <cellStyle name="General 2" xfId="2072" xr:uid="{00000000-0005-0000-0000-0000DD070000}"/>
    <cellStyle name="General 3" xfId="2073" xr:uid="{00000000-0005-0000-0000-0000DE070000}"/>
    <cellStyle name="General_PNR working 21" xfId="2074" xr:uid="{00000000-0005-0000-0000-0000DF070000}"/>
    <cellStyle name="GIRExhibit-Bold" xfId="463" xr:uid="{00000000-0005-0000-0000-0000E0070000}"/>
    <cellStyle name="Good 2" xfId="2075" xr:uid="{00000000-0005-0000-0000-0000E1070000}"/>
    <cellStyle name="Good 2 2" xfId="2076" xr:uid="{00000000-0005-0000-0000-0000E2070000}"/>
    <cellStyle name="Grey" xfId="2077" xr:uid="{00000000-0005-0000-0000-0000E3070000}"/>
    <cellStyle name="Grey 2" xfId="2078" xr:uid="{00000000-0005-0000-0000-0000E4070000}"/>
    <cellStyle name="Grey_PNR working 21" xfId="2079" xr:uid="{00000000-0005-0000-0000-0000E5070000}"/>
    <cellStyle name="GrowthRate" xfId="2080" xr:uid="{00000000-0005-0000-0000-0000E6070000}"/>
    <cellStyle name="GrowthRate 2" xfId="2081" xr:uid="{00000000-0005-0000-0000-0000E7070000}"/>
    <cellStyle name="GrowthSeq" xfId="2082" xr:uid="{00000000-0005-0000-0000-0000E8070000}"/>
    <cellStyle name="GrowthSeq 2" xfId="2083" xr:uid="{00000000-0005-0000-0000-0000E9070000}"/>
    <cellStyle name="H_1998_col_head" xfId="256" xr:uid="{00000000-0005-0000-0000-0000EA070000}"/>
    <cellStyle name="H_1998_col_head_BHI" xfId="2084" xr:uid="{00000000-0005-0000-0000-0000EB070000}"/>
    <cellStyle name="H_1998_col_head_BHI 2" xfId="2085" xr:uid="{00000000-0005-0000-0000-0000EC070000}"/>
    <cellStyle name="H_1998_col_head_BHI_IR-working 238" xfId="2086" xr:uid="{00000000-0005-0000-0000-0000ED070000}"/>
    <cellStyle name="H_1998_col_head_BHI_MMM working 31" xfId="2087" xr:uid="{00000000-0005-0000-0000-0000EE070000}"/>
    <cellStyle name="H_1998_col_head_BHI_MMM working 32" xfId="2088" xr:uid="{00000000-0005-0000-0000-0000EF070000}"/>
    <cellStyle name="H_1998_col_head_BHI_PNR working 21" xfId="2089" xr:uid="{00000000-0005-0000-0000-0000F0070000}"/>
    <cellStyle name="H_1998_col_head_BHI_UTX working 32" xfId="2090" xr:uid="{00000000-0005-0000-0000-0000F1070000}"/>
    <cellStyle name="H_1998_col_head_BHI_working7" xfId="2091" xr:uid="{00000000-0005-0000-0000-0000F2070000}"/>
    <cellStyle name="H_1998_col_head_BHI_working7_IR nxp 238" xfId="2092" xr:uid="{00000000-0005-0000-0000-0000F3070000}"/>
    <cellStyle name="H_1998_col_head_BHI_working7_MMM nxp 33" xfId="2093" xr:uid="{00000000-0005-0000-0000-0000F4070000}"/>
    <cellStyle name="H_1998_col_head_BHI-M-07132004-IH" xfId="2094" xr:uid="{00000000-0005-0000-0000-0000F5070000}"/>
    <cellStyle name="H_1998_col_head_BHI-M-07132004-IH_IR nxp 238" xfId="2095" xr:uid="{00000000-0005-0000-0000-0000F6070000}"/>
    <cellStyle name="H_1998_col_head_BHI-M-07132004-IH_MMM nxp 33" xfId="2096" xr:uid="{00000000-0005-0000-0000-0000F7070000}"/>
    <cellStyle name="H_1998_col_head_BJS" xfId="2097" xr:uid="{00000000-0005-0000-0000-0000F8070000}"/>
    <cellStyle name="H_1998_col_head_BJS 2" xfId="2098" xr:uid="{00000000-0005-0000-0000-0000F9070000}"/>
    <cellStyle name="H_1998_col_head_BJS_IR-working 238" xfId="2099" xr:uid="{00000000-0005-0000-0000-0000FA070000}"/>
    <cellStyle name="H_1998_col_head_BJS_MMM working 31" xfId="2100" xr:uid="{00000000-0005-0000-0000-0000FB070000}"/>
    <cellStyle name="H_1998_col_head_BJS_MMM working 32" xfId="2101" xr:uid="{00000000-0005-0000-0000-0000FC070000}"/>
    <cellStyle name="H_1998_col_head_BJS_PNR working 21" xfId="2102" xr:uid="{00000000-0005-0000-0000-0000FD070000}"/>
    <cellStyle name="H_1998_col_head_BJS_UTX working 32" xfId="2103" xr:uid="{00000000-0005-0000-0000-0000FE070000}"/>
    <cellStyle name="H_1998_col_head_bjs-working9" xfId="2104" xr:uid="{00000000-0005-0000-0000-0000FF070000}"/>
    <cellStyle name="H_1998_col_head_bjs-working9_IR nxp 238" xfId="2105" xr:uid="{00000000-0005-0000-0000-000000080000}"/>
    <cellStyle name="H_1998_col_head_bjs-working9_MMM nxp 33" xfId="2106" xr:uid="{00000000-0005-0000-0000-000001080000}"/>
    <cellStyle name="H_1998_col_head_CAM-M-07282004-JS" xfId="2107" xr:uid="{00000000-0005-0000-0000-000002080000}"/>
    <cellStyle name="H_1998_col_head_CAM-M-07282004-JS_IR nxp 238" xfId="2108" xr:uid="{00000000-0005-0000-0000-000003080000}"/>
    <cellStyle name="H_1998_col_head_CAM-M-07282004-JS_MMM nxp 33" xfId="2109" xr:uid="{00000000-0005-0000-0000-000004080000}"/>
    <cellStyle name="H_1998_col_head_Completion&amp;Production Systems" xfId="2110" xr:uid="{00000000-0005-0000-0000-000005080000}"/>
    <cellStyle name="H_1998_col_head_Completion&amp;Production Systems_IR nxp 238" xfId="2111" xr:uid="{00000000-0005-0000-0000-000006080000}"/>
    <cellStyle name="H_1998_col_head_Completion&amp;Production Systems_MMM nxp 33" xfId="2112" xr:uid="{00000000-0005-0000-0000-000007080000}"/>
    <cellStyle name="H_1998_col_head_Cooper Cameron Valves" xfId="2113" xr:uid="{00000000-0005-0000-0000-000008080000}"/>
    <cellStyle name="H_1998_col_head_Cooper Cameron Valves_IR nxp 238" xfId="2114" xr:uid="{00000000-0005-0000-0000-000009080000}"/>
    <cellStyle name="H_1998_col_head_Cooper Cameron Valves_MMM nxp 33" xfId="2115" xr:uid="{00000000-0005-0000-0000-00000A080000}"/>
    <cellStyle name="H_1998_col_head_DIAMND-PUBLISHED57.2 (b)" xfId="2116" xr:uid="{00000000-0005-0000-0000-00000B080000}"/>
    <cellStyle name="H_1998_col_head_DIAMND-PUBLISHED57.2 (b)_IR nxp 238" xfId="2117" xr:uid="{00000000-0005-0000-0000-00000C080000}"/>
    <cellStyle name="H_1998_col_head_DIAMND-PUBLISHED57.2 (b)_MMM nxp 33" xfId="2118" xr:uid="{00000000-0005-0000-0000-00000D080000}"/>
    <cellStyle name="H_1998_col_head_EVA" xfId="2119" xr:uid="{00000000-0005-0000-0000-00000E080000}"/>
    <cellStyle name="H_1998_col_head_EVA_IR nxp 238" xfId="2120" xr:uid="{00000000-0005-0000-0000-00000F080000}"/>
    <cellStyle name="H_1998_col_head_EVA_MMM nxp 33" xfId="2121" xr:uid="{00000000-0005-0000-0000-000010080000}"/>
    <cellStyle name="H_1998_col_head_HAL" xfId="2122" xr:uid="{00000000-0005-0000-0000-000011080000}"/>
    <cellStyle name="H_1998_col_head_HAL - 7" xfId="2123" xr:uid="{00000000-0005-0000-0000-000012080000}"/>
    <cellStyle name="H_1998_col_head_HAL - 7 2" xfId="2124" xr:uid="{00000000-0005-0000-0000-000013080000}"/>
    <cellStyle name="H_1998_col_head_HAL - 7_IR-working 238" xfId="2125" xr:uid="{00000000-0005-0000-0000-000014080000}"/>
    <cellStyle name="H_1998_col_head_HAL - 7_MMM working 31" xfId="2126" xr:uid="{00000000-0005-0000-0000-000015080000}"/>
    <cellStyle name="H_1998_col_head_HAL - 7_MMM working 32" xfId="2127" xr:uid="{00000000-0005-0000-0000-000016080000}"/>
    <cellStyle name="H_1998_col_head_HAL - 7_PNR working 21" xfId="2128" xr:uid="{00000000-0005-0000-0000-000017080000}"/>
    <cellStyle name="H_1998_col_head_HAL - 7_UTX working 32" xfId="2129" xr:uid="{00000000-0005-0000-0000-000018080000}"/>
    <cellStyle name="H_1998_col_head_HAL 10" xfId="2130" xr:uid="{00000000-0005-0000-0000-000019080000}"/>
    <cellStyle name="H_1998_col_head_HAL 11" xfId="2131" xr:uid="{00000000-0005-0000-0000-00001A080000}"/>
    <cellStyle name="H_1998_col_head_HAL 12" xfId="2132" xr:uid="{00000000-0005-0000-0000-00001B080000}"/>
    <cellStyle name="H_1998_col_head_HAL 2" xfId="2133" xr:uid="{00000000-0005-0000-0000-00001C080000}"/>
    <cellStyle name="H_1998_col_head_HAL 3" xfId="2134" xr:uid="{00000000-0005-0000-0000-00001D080000}"/>
    <cellStyle name="H_1998_col_head_HAL 4" xfId="2135" xr:uid="{00000000-0005-0000-0000-00001E080000}"/>
    <cellStyle name="H_1998_col_head_HAL 5" xfId="2136" xr:uid="{00000000-0005-0000-0000-00001F080000}"/>
    <cellStyle name="H_1998_col_head_HAL 6" xfId="2137" xr:uid="{00000000-0005-0000-0000-000020080000}"/>
    <cellStyle name="H_1998_col_head_HAL 7" xfId="2138" xr:uid="{00000000-0005-0000-0000-000021080000}"/>
    <cellStyle name="H_1998_col_head_HAL 8" xfId="2139" xr:uid="{00000000-0005-0000-0000-000022080000}"/>
    <cellStyle name="H_1998_col_head_HAL 9" xfId="2140" xr:uid="{00000000-0005-0000-0000-000023080000}"/>
    <cellStyle name="H_1998_col_head_HAL_IR-working 238" xfId="2141" xr:uid="{00000000-0005-0000-0000-000024080000}"/>
    <cellStyle name="H_1998_col_head_HAL_MMM working 31" xfId="2142" xr:uid="{00000000-0005-0000-0000-000025080000}"/>
    <cellStyle name="H_1998_col_head_HAL_MMM working 32" xfId="2143" xr:uid="{00000000-0005-0000-0000-000026080000}"/>
    <cellStyle name="H_1998_col_head_HAL_PNR working 21" xfId="2144" xr:uid="{00000000-0005-0000-0000-000027080000}"/>
    <cellStyle name="H_1998_col_head_HAL_UTX working 32" xfId="2145" xr:uid="{00000000-0005-0000-0000-000028080000}"/>
    <cellStyle name="H_1998_col_head_HAL-M-07282004-IH" xfId="2146" xr:uid="{00000000-0005-0000-0000-000029080000}"/>
    <cellStyle name="H_1998_col_head_HAL-M-07282004-IH_IR nxp 238" xfId="2147" xr:uid="{00000000-0005-0000-0000-00002A080000}"/>
    <cellStyle name="H_1998_col_head_HAL-M-07282004-IH_MMM nxp 33" xfId="2148" xr:uid="{00000000-0005-0000-0000-00002B080000}"/>
    <cellStyle name="H_1998_col_head_HALY_working13" xfId="2149" xr:uid="{00000000-0005-0000-0000-00002C080000}"/>
    <cellStyle name="H_1998_col_head_HALY_working13_IR nxp 238" xfId="2150" xr:uid="{00000000-0005-0000-0000-00002D080000}"/>
    <cellStyle name="H_1998_col_head_HALY_working13_MMM nxp 33" xfId="2151" xr:uid="{00000000-0005-0000-0000-00002E080000}"/>
    <cellStyle name="H_1998_col_head_HALY_working15" xfId="2152" xr:uid="{00000000-0005-0000-0000-00002F080000}"/>
    <cellStyle name="H_1998_col_head_HALY_working15_IR nxp 238" xfId="2153" xr:uid="{00000000-0005-0000-0000-000030080000}"/>
    <cellStyle name="H_1998_col_head_HALY_working15_MMM nxp 33" xfId="2154" xr:uid="{00000000-0005-0000-0000-000031080000}"/>
    <cellStyle name="H_1998_col_head_IR nxp 238" xfId="2155" xr:uid="{00000000-0005-0000-0000-000032080000}"/>
    <cellStyle name="H_1998_col_head_IS" xfId="2156" xr:uid="{00000000-0005-0000-0000-000033080000}"/>
    <cellStyle name="H_1998_col_head_IS - Driver" xfId="2157" xr:uid="{00000000-0005-0000-0000-000034080000}"/>
    <cellStyle name="H_1998_col_head_IS - Driver_IR nxp 238" xfId="2158" xr:uid="{00000000-0005-0000-0000-000035080000}"/>
    <cellStyle name="H_1998_col_head_IS - Driver_MMM nxp 33" xfId="2159" xr:uid="{00000000-0005-0000-0000-000036080000}"/>
    <cellStyle name="H_1998_col_head_IS - Rptd" xfId="2160" xr:uid="{00000000-0005-0000-0000-000037080000}"/>
    <cellStyle name="H_1998_col_head_IS - Rptd_1" xfId="2161" xr:uid="{00000000-0005-0000-0000-000038080000}"/>
    <cellStyle name="H_1998_col_head_IS - Rptd_1 2" xfId="2162" xr:uid="{00000000-0005-0000-0000-000039080000}"/>
    <cellStyle name="H_1998_col_head_IS - Rptd_1_IR-working 238" xfId="2163" xr:uid="{00000000-0005-0000-0000-00003A080000}"/>
    <cellStyle name="H_1998_col_head_IS - Rptd_1_MMM working 31" xfId="2164" xr:uid="{00000000-0005-0000-0000-00003B080000}"/>
    <cellStyle name="H_1998_col_head_IS - Rptd_1_MMM working 32" xfId="2165" xr:uid="{00000000-0005-0000-0000-00003C080000}"/>
    <cellStyle name="H_1998_col_head_IS - Rptd_1_PNR working 21" xfId="2166" xr:uid="{00000000-0005-0000-0000-00003D080000}"/>
    <cellStyle name="H_1998_col_head_IS - Rptd_1_UTX working 32" xfId="2167" xr:uid="{00000000-0005-0000-0000-00003E080000}"/>
    <cellStyle name="H_1998_col_head_IS - Rptd_IR nxp 238" xfId="2168" xr:uid="{00000000-0005-0000-0000-00003F080000}"/>
    <cellStyle name="H_1998_col_head_IS - Rptd_MMM nxp 33" xfId="2169" xr:uid="{00000000-0005-0000-0000-000040080000}"/>
    <cellStyle name="H_1998_col_head_IS 10" xfId="2170" xr:uid="{00000000-0005-0000-0000-000041080000}"/>
    <cellStyle name="H_1998_col_head_IS 11" xfId="2171" xr:uid="{00000000-0005-0000-0000-000042080000}"/>
    <cellStyle name="H_1998_col_head_IS 12" xfId="2172" xr:uid="{00000000-0005-0000-0000-000043080000}"/>
    <cellStyle name="H_1998_col_head_IS 2" xfId="2173" xr:uid="{00000000-0005-0000-0000-000044080000}"/>
    <cellStyle name="H_1998_col_head_IS 3" xfId="2174" xr:uid="{00000000-0005-0000-0000-000045080000}"/>
    <cellStyle name="H_1998_col_head_IS 4" xfId="2175" xr:uid="{00000000-0005-0000-0000-000046080000}"/>
    <cellStyle name="H_1998_col_head_IS 5" xfId="2176" xr:uid="{00000000-0005-0000-0000-000047080000}"/>
    <cellStyle name="H_1998_col_head_IS 6" xfId="2177" xr:uid="{00000000-0005-0000-0000-000048080000}"/>
    <cellStyle name="H_1998_col_head_IS 7" xfId="2178" xr:uid="{00000000-0005-0000-0000-000049080000}"/>
    <cellStyle name="H_1998_col_head_IS 8" xfId="2179" xr:uid="{00000000-0005-0000-0000-00004A080000}"/>
    <cellStyle name="H_1998_col_head_IS 9" xfId="2180" xr:uid="{00000000-0005-0000-0000-00004B080000}"/>
    <cellStyle name="H_1998_col_head_IS_IR-working 238" xfId="2181" xr:uid="{00000000-0005-0000-0000-00004C080000}"/>
    <cellStyle name="H_1998_col_head_IS_MMM working 31" xfId="2182" xr:uid="{00000000-0005-0000-0000-00004D080000}"/>
    <cellStyle name="H_1998_col_head_IS_MMM working 32" xfId="2183" xr:uid="{00000000-0005-0000-0000-00004E080000}"/>
    <cellStyle name="H_1998_col_head_IS_PNR working 21" xfId="2184" xr:uid="{00000000-0005-0000-0000-00004F080000}"/>
    <cellStyle name="H_1998_col_head_IS_UTX working 32" xfId="2185" xr:uid="{00000000-0005-0000-0000-000050080000}"/>
    <cellStyle name="H_1998_col_head_LoneStar-working" xfId="2186" xr:uid="{00000000-0005-0000-0000-000051080000}"/>
    <cellStyle name="H_1998_col_head_LoneStar-working 4" xfId="2187" xr:uid="{00000000-0005-0000-0000-000052080000}"/>
    <cellStyle name="H_1998_col_head_LoneStar-working 4_IR nxp 238" xfId="2188" xr:uid="{00000000-0005-0000-0000-000053080000}"/>
    <cellStyle name="H_1998_col_head_LoneStar-working 4_MMM nxp 33" xfId="2189" xr:uid="{00000000-0005-0000-0000-000054080000}"/>
    <cellStyle name="H_1998_col_head_LoneStar-working_IR nxp 238" xfId="2190" xr:uid="{00000000-0005-0000-0000-000055080000}"/>
    <cellStyle name="H_1998_col_head_LoneStar-working_MMM nxp 33" xfId="2191" xr:uid="{00000000-0005-0000-0000-000056080000}"/>
    <cellStyle name="H_1998_col_head_LSS" xfId="2192" xr:uid="{00000000-0005-0000-0000-000057080000}"/>
    <cellStyle name="H_1998_col_head_LSS 2" xfId="2193" xr:uid="{00000000-0005-0000-0000-000058080000}"/>
    <cellStyle name="H_1998_col_head_LSS_IR-working 238" xfId="2194" xr:uid="{00000000-0005-0000-0000-000059080000}"/>
    <cellStyle name="H_1998_col_head_LSS_MMM working 31" xfId="2195" xr:uid="{00000000-0005-0000-0000-00005A080000}"/>
    <cellStyle name="H_1998_col_head_LSS_MMM working 32" xfId="2196" xr:uid="{00000000-0005-0000-0000-00005B080000}"/>
    <cellStyle name="H_1998_col_head_LSS_PNR working 21" xfId="2197" xr:uid="{00000000-0005-0000-0000-00005C080000}"/>
    <cellStyle name="H_1998_col_head_LSS_UTX working 32" xfId="2198" xr:uid="{00000000-0005-0000-0000-00005D080000}"/>
    <cellStyle name="H_1998_col_head_MMM nxp 33" xfId="2199" xr:uid="{00000000-0005-0000-0000-00005E080000}"/>
    <cellStyle name="H_1998_col_head_Multiples Tab" xfId="2200" xr:uid="{00000000-0005-0000-0000-00005F080000}"/>
    <cellStyle name="H_1998_col_head_Multiples Tab 2" xfId="2201" xr:uid="{00000000-0005-0000-0000-000060080000}"/>
    <cellStyle name="H_1998_col_head_Multiples Tab_IR-working 238" xfId="2202" xr:uid="{00000000-0005-0000-0000-000061080000}"/>
    <cellStyle name="H_1998_col_head_Multiples Tab_MMM working 31" xfId="2203" xr:uid="{00000000-0005-0000-0000-000062080000}"/>
    <cellStyle name="H_1998_col_head_Multiples Tab_MMM working 32" xfId="2204" xr:uid="{00000000-0005-0000-0000-000063080000}"/>
    <cellStyle name="H_1998_col_head_Multiples Tab_PNR working 21" xfId="2205" xr:uid="{00000000-0005-0000-0000-000064080000}"/>
    <cellStyle name="H_1998_col_head_Multiples Tab_UTX working 32" xfId="2206" xr:uid="{00000000-0005-0000-0000-000065080000}"/>
    <cellStyle name="H_1998_col_head_Offshore Products" xfId="2207" xr:uid="{00000000-0005-0000-0000-000066080000}"/>
    <cellStyle name="H_1998_col_head_Offshore Products_IR nxp 238" xfId="2208" xr:uid="{00000000-0005-0000-0000-000067080000}"/>
    <cellStyle name="H_1998_col_head_Offshore Products_MMM nxp 33" xfId="2209" xr:uid="{00000000-0005-0000-0000-000068080000}"/>
    <cellStyle name="H_1998_col_head_Oilfield" xfId="2210" xr:uid="{00000000-0005-0000-0000-000069080000}"/>
    <cellStyle name="H_1998_col_head_Oilfield_IR nxp 238" xfId="2211" xr:uid="{00000000-0005-0000-0000-00006A080000}"/>
    <cellStyle name="H_1998_col_head_Oilfield_MMM nxp 33" xfId="2212" xr:uid="{00000000-0005-0000-0000-00006B080000}"/>
    <cellStyle name="H_1998_col_head_RONq-working13" xfId="2213" xr:uid="{00000000-0005-0000-0000-00006C080000}"/>
    <cellStyle name="H_1998_col_head_RONq-working13_IR nxp 238" xfId="2214" xr:uid="{00000000-0005-0000-0000-00006D080000}"/>
    <cellStyle name="H_1998_col_head_RONq-working13_MMM nxp 33" xfId="2215" xr:uid="{00000000-0005-0000-0000-00006E080000}"/>
    <cellStyle name="H_1998_col_head_RONq-working14" xfId="2216" xr:uid="{00000000-0005-0000-0000-00006F080000}"/>
    <cellStyle name="H_1998_col_head_RONq-working14_IR nxp 238" xfId="2217" xr:uid="{00000000-0005-0000-0000-000070080000}"/>
    <cellStyle name="H_1998_col_head_RONq-working14_MMM nxp 33" xfId="2218" xr:uid="{00000000-0005-0000-0000-000071080000}"/>
    <cellStyle name="H_1998_col_head_Sheet1" xfId="2219" xr:uid="{00000000-0005-0000-0000-000072080000}"/>
    <cellStyle name="H_1998_col_head_Sheet1_IR nxp 238" xfId="2220" xr:uid="{00000000-0005-0000-0000-000073080000}"/>
    <cellStyle name="H_1998_col_head_Sheet1_MMM nxp 33" xfId="2221" xr:uid="{00000000-0005-0000-0000-000074080000}"/>
    <cellStyle name="H_1998_col_head_SII" xfId="2222" xr:uid="{00000000-0005-0000-0000-000075080000}"/>
    <cellStyle name="H_1998_col_head_SII_IR nxp 238" xfId="2223" xr:uid="{00000000-0005-0000-0000-000076080000}"/>
    <cellStyle name="H_1998_col_head_SII_MMM nxp 33" xfId="2224" xr:uid="{00000000-0005-0000-0000-000077080000}"/>
    <cellStyle name="H_1998_col_head_SII-Post 3Q05 v4" xfId="2225" xr:uid="{00000000-0005-0000-0000-000078080000}"/>
    <cellStyle name="H_1998_col_head_SII-Post 3Q05 v4_IR nxp 238" xfId="2226" xr:uid="{00000000-0005-0000-0000-000079080000}"/>
    <cellStyle name="H_1998_col_head_SII-Post 3Q05 v4_MMM nxp 33" xfId="2227" xr:uid="{00000000-0005-0000-0000-00007A080000}"/>
    <cellStyle name="H_1998_col_head_SLB" xfId="2228" xr:uid="{00000000-0005-0000-0000-00007B080000}"/>
    <cellStyle name="H_1998_col_head_SLB 2" xfId="2229" xr:uid="{00000000-0005-0000-0000-00007C080000}"/>
    <cellStyle name="H_1998_col_head_SLB_IR-working 238" xfId="2230" xr:uid="{00000000-0005-0000-0000-00007D080000}"/>
    <cellStyle name="H_1998_col_head_SLB_MMM working 31" xfId="2231" xr:uid="{00000000-0005-0000-0000-00007E080000}"/>
    <cellStyle name="H_1998_col_head_SLB_MMM working 32" xfId="2232" xr:uid="{00000000-0005-0000-0000-00007F080000}"/>
    <cellStyle name="H_1998_col_head_SLB_PNR working 21" xfId="2233" xr:uid="{00000000-0005-0000-0000-000080080000}"/>
    <cellStyle name="H_1998_col_head_SLB_UTX working 32" xfId="2234" xr:uid="{00000000-0005-0000-0000-000081080000}"/>
    <cellStyle name="H_1998_col_head_SLB-M-07302004-LM" xfId="2235" xr:uid="{00000000-0005-0000-0000-000082080000}"/>
    <cellStyle name="H_1998_col_head_SLB-M-07302004-LM_IR nxp 238" xfId="2236" xr:uid="{00000000-0005-0000-0000-000083080000}"/>
    <cellStyle name="H_1998_col_head_SLB-M-07302004-LM_MMM nxp 33" xfId="2237" xr:uid="{00000000-0005-0000-0000-000084080000}"/>
    <cellStyle name="H_1998_col_head_SLB-working7" xfId="2238" xr:uid="{00000000-0005-0000-0000-000085080000}"/>
    <cellStyle name="H_1998_col_head_SLB-working7_IR nxp 238" xfId="2239" xr:uid="{00000000-0005-0000-0000-000086080000}"/>
    <cellStyle name="H_1998_col_head_SLB-working7_MMM nxp 33" xfId="2240" xr:uid="{00000000-0005-0000-0000-000087080000}"/>
    <cellStyle name="H_1998_col_head_SLB-working9" xfId="2241" xr:uid="{00000000-0005-0000-0000-000088080000}"/>
    <cellStyle name="H_1998_col_head_SLB-working9_IR nxp 238" xfId="2242" xr:uid="{00000000-0005-0000-0000-000089080000}"/>
    <cellStyle name="H_1998_col_head_SLB-working9_MMM nxp 33" xfId="2243" xr:uid="{00000000-0005-0000-0000-00008A080000}"/>
    <cellStyle name="H_1998_col_head_Tubulars" xfId="2244" xr:uid="{00000000-0005-0000-0000-00008B080000}"/>
    <cellStyle name="H_1998_col_head_Tubulars_IR nxp 238" xfId="2245" xr:uid="{00000000-0005-0000-0000-00008C080000}"/>
    <cellStyle name="H_1998_col_head_Tubulars_MMM nxp 33" xfId="2246" xr:uid="{00000000-0005-0000-0000-00008D080000}"/>
    <cellStyle name="H_1998_col_head_Well Site Srvs" xfId="2247" xr:uid="{00000000-0005-0000-0000-00008E080000}"/>
    <cellStyle name="H_1998_col_head_Well Site Srvs_IR nxp 238" xfId="2248" xr:uid="{00000000-0005-0000-0000-00008F080000}"/>
    <cellStyle name="H_1998_col_head_Well Site Srvs_MMM nxp 33" xfId="2249" xr:uid="{00000000-0005-0000-0000-000090080000}"/>
    <cellStyle name="H_1998_col_head_WFT published 1-30-07 Client version (2)" xfId="2250" xr:uid="{00000000-0005-0000-0000-000091080000}"/>
    <cellStyle name="H_1998_col_head_WFT published 1-30-07 Client version (2) 2" xfId="2251" xr:uid="{00000000-0005-0000-0000-000092080000}"/>
    <cellStyle name="H_1998_col_head_WFT published 1-30-07 Client version (2)_IR-working 238" xfId="2252" xr:uid="{00000000-0005-0000-0000-000093080000}"/>
    <cellStyle name="H_1998_col_head_WFT published 1-30-07 Client version (2)_MMM working 31" xfId="2253" xr:uid="{00000000-0005-0000-0000-000094080000}"/>
    <cellStyle name="H_1998_col_head_WFT published 1-30-07 Client version (2)_MMM working 32" xfId="2254" xr:uid="{00000000-0005-0000-0000-000095080000}"/>
    <cellStyle name="H_1998_col_head_WFT published 1-30-07 Client version (2)_PNR working 21" xfId="2255" xr:uid="{00000000-0005-0000-0000-000096080000}"/>
    <cellStyle name="H_1998_col_head_WFT published 1-30-07 Client version (2)_UTX working 32" xfId="2256" xr:uid="{00000000-0005-0000-0000-000097080000}"/>
    <cellStyle name="H_1998_col_head_WFT-M-08102004-AG" xfId="2257" xr:uid="{00000000-0005-0000-0000-000098080000}"/>
    <cellStyle name="H_1998_col_head_WFT-M-08102004-AG_IR nxp 238" xfId="2258" xr:uid="{00000000-0005-0000-0000-000099080000}"/>
    <cellStyle name="H_1998_col_head_WFT-M-08102004-AG_MMM nxp 33" xfId="2259" xr:uid="{00000000-0005-0000-0000-00009A080000}"/>
    <cellStyle name="H_1998_col_head_WFTworking9" xfId="2260" xr:uid="{00000000-0005-0000-0000-00009B080000}"/>
    <cellStyle name="H_1998_col_head_WFTworking9_IR nxp 238" xfId="2261" xr:uid="{00000000-0005-0000-0000-00009C080000}"/>
    <cellStyle name="H_1998_col_head_WFTworking9_MMM nxp 33" xfId="2262" xr:uid="{00000000-0005-0000-0000-00009D080000}"/>
    <cellStyle name="H_1999_col_head" xfId="257" xr:uid="{00000000-0005-0000-0000-00009E080000}"/>
    <cellStyle name="H1_1998 figures" xfId="258" xr:uid="{00000000-0005-0000-0000-00009F080000}"/>
    <cellStyle name="hard no." xfId="2263" xr:uid="{00000000-0005-0000-0000-0000A0080000}"/>
    <cellStyle name="hard no. 2" xfId="2264" xr:uid="{00000000-0005-0000-0000-0000A1080000}"/>
    <cellStyle name="Hard Percent" xfId="2265" xr:uid="{00000000-0005-0000-0000-0000A2080000}"/>
    <cellStyle name="Hard Percent 2" xfId="2266" xr:uid="{00000000-0005-0000-0000-0000A3080000}"/>
    <cellStyle name="Hard Percent 3" xfId="2267" xr:uid="{00000000-0005-0000-0000-0000A4080000}"/>
    <cellStyle name="header" xfId="2268" xr:uid="{00000000-0005-0000-0000-0000A5080000}"/>
    <cellStyle name="header 2" xfId="2269" xr:uid="{00000000-0005-0000-0000-0000A6080000}"/>
    <cellStyle name="Header Draft Stamp" xfId="2270" xr:uid="{00000000-0005-0000-0000-0000A7080000}"/>
    <cellStyle name="header_1124 ETNlink September 20" xfId="2271" xr:uid="{00000000-0005-0000-0000-0000A8080000}"/>
    <cellStyle name="Header1" xfId="2272" xr:uid="{00000000-0005-0000-0000-0000A9080000}"/>
    <cellStyle name="Header2" xfId="2273" xr:uid="{00000000-0005-0000-0000-0000AA080000}"/>
    <cellStyle name="headers" xfId="2274" xr:uid="{00000000-0005-0000-0000-0000AB080000}"/>
    <cellStyle name="Heading" xfId="259" xr:uid="{00000000-0005-0000-0000-0000AC080000}"/>
    <cellStyle name="Heading 1 2" xfId="2276" xr:uid="{00000000-0005-0000-0000-0000AD080000}"/>
    <cellStyle name="Heading 1 Above" xfId="2277" xr:uid="{00000000-0005-0000-0000-0000AE080000}"/>
    <cellStyle name="Heading 1+" xfId="2278" xr:uid="{00000000-0005-0000-0000-0000AF080000}"/>
    <cellStyle name="Heading 2 2" xfId="2279" xr:uid="{00000000-0005-0000-0000-0000B0080000}"/>
    <cellStyle name="Heading 2 Below" xfId="2280" xr:uid="{00000000-0005-0000-0000-0000B1080000}"/>
    <cellStyle name="Heading 2+" xfId="2281" xr:uid="{00000000-0005-0000-0000-0000B2080000}"/>
    <cellStyle name="Heading 3 2" xfId="2282" xr:uid="{00000000-0005-0000-0000-0000B3080000}"/>
    <cellStyle name="Heading 3+" xfId="2283" xr:uid="{00000000-0005-0000-0000-0000B4080000}"/>
    <cellStyle name="Heading 4 2" xfId="2284" xr:uid="{00000000-0005-0000-0000-0000B5080000}"/>
    <cellStyle name="Heading 4 2 2" xfId="2285" xr:uid="{00000000-0005-0000-0000-0000B6080000}"/>
    <cellStyle name="Heading 5" xfId="3316" xr:uid="{00000000-0005-0000-0000-0000B7080000}"/>
    <cellStyle name="Heading 6" xfId="3238" xr:uid="{00000000-0005-0000-0000-0000B8080000}"/>
    <cellStyle name="Heading 7" xfId="2275" xr:uid="{00000000-0005-0000-0000-0000B9080000}"/>
    <cellStyle name="Heading1" xfId="260" xr:uid="{00000000-0005-0000-0000-0000BA080000}"/>
    <cellStyle name="Helv" xfId="2287" xr:uid="{00000000-0005-0000-0000-0000BB080000}"/>
    <cellStyle name="Hyperlink 2" xfId="366" xr:uid="{00000000-0005-0000-0000-0000BC080000}"/>
    <cellStyle name="Hyperlink 2 2" xfId="3143" xr:uid="{00000000-0005-0000-0000-0000BD080000}"/>
    <cellStyle name="Hyperlink 2 3" xfId="2289" xr:uid="{00000000-0005-0000-0000-0000BE080000}"/>
    <cellStyle name="Hyperlink 2 4" xfId="464" xr:uid="{00000000-0005-0000-0000-0000BF080000}"/>
    <cellStyle name="Hyperlink 3" xfId="2288" xr:uid="{00000000-0005-0000-0000-0000C0080000}"/>
    <cellStyle name="Hyperlink 4" xfId="3252" xr:uid="{00000000-0005-0000-0000-0000C1080000}"/>
    <cellStyle name="Identification requete" xfId="2290" xr:uid="{00000000-0005-0000-0000-0000C2080000}"/>
    <cellStyle name="Income" xfId="2291" xr:uid="{00000000-0005-0000-0000-0000C3080000}"/>
    <cellStyle name="IncomeStatement" xfId="2292" xr:uid="{00000000-0005-0000-0000-0000C4080000}"/>
    <cellStyle name="IncomeStatement 2" xfId="2293" xr:uid="{00000000-0005-0000-0000-0000C5080000}"/>
    <cellStyle name="IncomeStatement 3" xfId="2294" xr:uid="{00000000-0005-0000-0000-0000C6080000}"/>
    <cellStyle name="IncomeStatement_PNR working 21" xfId="2295" xr:uid="{00000000-0005-0000-0000-0000C7080000}"/>
    <cellStyle name="Index" xfId="2296" xr:uid="{00000000-0005-0000-0000-0000C8080000}"/>
    <cellStyle name="Info_Main" xfId="2297" xr:uid="{00000000-0005-0000-0000-0000C9080000}"/>
    <cellStyle name="Input [yellow]" xfId="2298" xr:uid="{00000000-0005-0000-0000-0000CA080000}"/>
    <cellStyle name="Input [yellow] 2" xfId="2299" xr:uid="{00000000-0005-0000-0000-0000CB080000}"/>
    <cellStyle name="Input [yellow]_PNR working 21" xfId="2300" xr:uid="{00000000-0005-0000-0000-0000CC080000}"/>
    <cellStyle name="Input 10" xfId="2301" xr:uid="{00000000-0005-0000-0000-0000CD080000}"/>
    <cellStyle name="Input 11" xfId="2302" xr:uid="{00000000-0005-0000-0000-0000CE080000}"/>
    <cellStyle name="Input 12" xfId="2303" xr:uid="{00000000-0005-0000-0000-0000CF080000}"/>
    <cellStyle name="Input 13" xfId="2304" xr:uid="{00000000-0005-0000-0000-0000D0080000}"/>
    <cellStyle name="Input 14" xfId="2305" xr:uid="{00000000-0005-0000-0000-0000D1080000}"/>
    <cellStyle name="Input 2" xfId="2306" xr:uid="{00000000-0005-0000-0000-0000D2080000}"/>
    <cellStyle name="Input 3" xfId="2307" xr:uid="{00000000-0005-0000-0000-0000D3080000}"/>
    <cellStyle name="Input 4" xfId="2308" xr:uid="{00000000-0005-0000-0000-0000D4080000}"/>
    <cellStyle name="Input 5" xfId="2309" xr:uid="{00000000-0005-0000-0000-0000D5080000}"/>
    <cellStyle name="Input 6" xfId="2310" xr:uid="{00000000-0005-0000-0000-0000D6080000}"/>
    <cellStyle name="Input 7" xfId="2311" xr:uid="{00000000-0005-0000-0000-0000D7080000}"/>
    <cellStyle name="Input 8" xfId="2312" xr:uid="{00000000-0005-0000-0000-0000D8080000}"/>
    <cellStyle name="Input 9" xfId="2313" xr:uid="{00000000-0005-0000-0000-0000D9080000}"/>
    <cellStyle name="Input Cells" xfId="261" xr:uid="{00000000-0005-0000-0000-0000DA080000}"/>
    <cellStyle name="Input Currency" xfId="2314" xr:uid="{00000000-0005-0000-0000-0000DB080000}"/>
    <cellStyle name="Input Currency 2" xfId="2315" xr:uid="{00000000-0005-0000-0000-0000DC080000}"/>
    <cellStyle name="Input Currency 2 2" xfId="2316" xr:uid="{00000000-0005-0000-0000-0000DD080000}"/>
    <cellStyle name="Input Currency 3" xfId="2317" xr:uid="{00000000-0005-0000-0000-0000DE080000}"/>
    <cellStyle name="Input Currency_AG" xfId="2318" xr:uid="{00000000-0005-0000-0000-0000DF080000}"/>
    <cellStyle name="Input Multiple" xfId="2319" xr:uid="{00000000-0005-0000-0000-0000E0080000}"/>
    <cellStyle name="Input Multiple 2" xfId="2320" xr:uid="{00000000-0005-0000-0000-0000E1080000}"/>
    <cellStyle name="Input Percent" xfId="2321" xr:uid="{00000000-0005-0000-0000-0000E2080000}"/>
    <cellStyle name="Input Percent 2" xfId="2322" xr:uid="{00000000-0005-0000-0000-0000E3080000}"/>
    <cellStyle name="InputCurrency" xfId="2323" xr:uid="{00000000-0005-0000-0000-0000E4080000}"/>
    <cellStyle name="InputCurrency 2" xfId="2324" xr:uid="{00000000-0005-0000-0000-0000E5080000}"/>
    <cellStyle name="InputCurrency2" xfId="2325" xr:uid="{00000000-0005-0000-0000-0000E6080000}"/>
    <cellStyle name="InputCurrency2 2" xfId="2326" xr:uid="{00000000-0005-0000-0000-0000E7080000}"/>
    <cellStyle name="InputDateDMth" xfId="2327" xr:uid="{00000000-0005-0000-0000-0000E8080000}"/>
    <cellStyle name="InputDateDMth 2" xfId="2328" xr:uid="{00000000-0005-0000-0000-0000E9080000}"/>
    <cellStyle name="InputDateNorm" xfId="2329" xr:uid="{00000000-0005-0000-0000-0000EA080000}"/>
    <cellStyle name="InputDateNorm 2" xfId="2330" xr:uid="{00000000-0005-0000-0000-0000EB080000}"/>
    <cellStyle name="InputMultiple1" xfId="2331" xr:uid="{00000000-0005-0000-0000-0000EC080000}"/>
    <cellStyle name="InputMultiple1 2" xfId="2332" xr:uid="{00000000-0005-0000-0000-0000ED080000}"/>
    <cellStyle name="InputPercent1" xfId="2333" xr:uid="{00000000-0005-0000-0000-0000EE080000}"/>
    <cellStyle name="InputPercent1 2" xfId="2334" xr:uid="{00000000-0005-0000-0000-0000EF080000}"/>
    <cellStyle name="InputUlineNumeric" xfId="2335" xr:uid="{00000000-0005-0000-0000-0000F0080000}"/>
    <cellStyle name="InputUlineNumeric 2" xfId="2336" xr:uid="{00000000-0005-0000-0000-0000F1080000}"/>
    <cellStyle name="InputUlineNumeric 2 2" xfId="2337" xr:uid="{00000000-0005-0000-0000-0000F2080000}"/>
    <cellStyle name="InputUlineNumeric 3" xfId="2338" xr:uid="{00000000-0005-0000-0000-0000F3080000}"/>
    <cellStyle name="Italics" xfId="2339" xr:uid="{00000000-0005-0000-0000-0000F4080000}"/>
    <cellStyle name="Item Descriptions" xfId="262" xr:uid="{00000000-0005-0000-0000-0000F5080000}"/>
    <cellStyle name="Jason" xfId="2340" xr:uid="{00000000-0005-0000-0000-0000F6080000}"/>
    <cellStyle name="Jason 2" xfId="2341" xr:uid="{00000000-0005-0000-0000-0000F7080000}"/>
    <cellStyle name="Jason 3" xfId="2342" xr:uid="{00000000-0005-0000-0000-0000F8080000}"/>
    <cellStyle name="lead" xfId="2343" xr:uid="{00000000-0005-0000-0000-0000F9080000}"/>
    <cellStyle name="lead 2" xfId="2344" xr:uid="{00000000-0005-0000-0000-0000FA080000}"/>
    <cellStyle name="Ligne détail" xfId="2345" xr:uid="{00000000-0005-0000-0000-0000FB080000}"/>
    <cellStyle name="Line" xfId="263" xr:uid="{00000000-0005-0000-0000-0000FC080000}"/>
    <cellStyle name="Link Currency (0)" xfId="2346" xr:uid="{00000000-0005-0000-0000-0000FD080000}"/>
    <cellStyle name="Link Currency (2)" xfId="2347" xr:uid="{00000000-0005-0000-0000-0000FE080000}"/>
    <cellStyle name="Link Units (0)" xfId="2348" xr:uid="{00000000-0005-0000-0000-0000FF080000}"/>
    <cellStyle name="Link Units (1)" xfId="2349" xr:uid="{00000000-0005-0000-0000-000000090000}"/>
    <cellStyle name="Link Units (2)" xfId="2350" xr:uid="{00000000-0005-0000-0000-000001090000}"/>
    <cellStyle name="Linked Cell 2" xfId="2351" xr:uid="{00000000-0005-0000-0000-000002090000}"/>
    <cellStyle name="Linked Cell 2 2" xfId="2352" xr:uid="{00000000-0005-0000-0000-000003090000}"/>
    <cellStyle name="LTGR" xfId="2353" xr:uid="{00000000-0005-0000-0000-000004090000}"/>
    <cellStyle name="LTGR 2" xfId="2354" xr:uid="{00000000-0005-0000-0000-000005090000}"/>
    <cellStyle name="LTGR 3" xfId="2355" xr:uid="{00000000-0005-0000-0000-000006090000}"/>
    <cellStyle name="m" xfId="2356" xr:uid="{00000000-0005-0000-0000-000007090000}"/>
    <cellStyle name="m$" xfId="2357" xr:uid="{00000000-0005-0000-0000-000008090000}"/>
    <cellStyle name="m_AOL_Model_Master" xfId="2358" xr:uid="{00000000-0005-0000-0000-000009090000}"/>
    <cellStyle name="mag" xfId="2359" xr:uid="{00000000-0005-0000-0000-00000A090000}"/>
    <cellStyle name="Mainhead" xfId="264" xr:uid="{00000000-0005-0000-0000-00000B090000}"/>
    <cellStyle name="Major item" xfId="2360" xr:uid="{00000000-0005-0000-0000-00000C090000}"/>
    <cellStyle name="Major item 2" xfId="2361" xr:uid="{00000000-0005-0000-0000-00000D090000}"/>
    <cellStyle name="Major item_PNR working 21" xfId="2362" xr:uid="{00000000-0005-0000-0000-00000E090000}"/>
    <cellStyle name="margin" xfId="465" xr:uid="{00000000-0005-0000-0000-00000F090000}"/>
    <cellStyle name="Margin 10" xfId="2363" xr:uid="{00000000-0005-0000-0000-000010090000}"/>
    <cellStyle name="Margin 2" xfId="2364" xr:uid="{00000000-0005-0000-0000-000011090000}"/>
    <cellStyle name="margin 3" xfId="3144" xr:uid="{00000000-0005-0000-0000-000012090000}"/>
    <cellStyle name="margin 4" xfId="3165" xr:uid="{00000000-0005-0000-0000-000013090000}"/>
    <cellStyle name="margin 5" xfId="3124" xr:uid="{00000000-0005-0000-0000-000014090000}"/>
    <cellStyle name="margin 6" xfId="3195" xr:uid="{00000000-0005-0000-0000-000015090000}"/>
    <cellStyle name="margin 7" xfId="3189" xr:uid="{00000000-0005-0000-0000-000016090000}"/>
    <cellStyle name="margin 8" xfId="3194" xr:uid="{00000000-0005-0000-0000-000017090000}"/>
    <cellStyle name="margin 9" xfId="3188" xr:uid="{00000000-0005-0000-0000-000018090000}"/>
    <cellStyle name="Margins" xfId="2365" xr:uid="{00000000-0005-0000-0000-000019090000}"/>
    <cellStyle name="Margins 2" xfId="2366" xr:uid="{00000000-0005-0000-0000-00001A090000}"/>
    <cellStyle name="Merrill" xfId="265" xr:uid="{00000000-0005-0000-0000-00001B090000}"/>
    <cellStyle name="MEV1" xfId="2367" xr:uid="{00000000-0005-0000-0000-00001C090000}"/>
    <cellStyle name="MEV2" xfId="2368" xr:uid="{00000000-0005-0000-0000-00001D090000}"/>
    <cellStyle name="Migliaia (0)_Bourse" xfId="2369" xr:uid="{00000000-0005-0000-0000-00001E090000}"/>
    <cellStyle name="Migliaia_Bourse" xfId="2370" xr:uid="{00000000-0005-0000-0000-00001F090000}"/>
    <cellStyle name="Mix" xfId="266" xr:uid="{00000000-0005-0000-0000-000020090000}"/>
    <cellStyle name="mm" xfId="2371" xr:uid="{00000000-0005-0000-0000-000021090000}"/>
    <cellStyle name="Monitor" xfId="267" xr:uid="{00000000-0005-0000-0000-000022090000}"/>
    <cellStyle name="muiltiple" xfId="2372" xr:uid="{00000000-0005-0000-0000-000023090000}"/>
    <cellStyle name="muiltiple 2" xfId="2373" xr:uid="{00000000-0005-0000-0000-000024090000}"/>
    <cellStyle name="Multiple" xfId="268" xr:uid="{00000000-0005-0000-0000-000025090000}"/>
    <cellStyle name="Multiple 2" xfId="341" xr:uid="{00000000-0005-0000-0000-000026090000}"/>
    <cellStyle name="Multiple 2 2" xfId="2374" xr:uid="{00000000-0005-0000-0000-000027090000}"/>
    <cellStyle name="Multiple 2 2 2" xfId="3385" xr:uid="{00000000-0005-0000-0000-000028090000}"/>
    <cellStyle name="Multiple 2 3" xfId="3354" xr:uid="{00000000-0005-0000-0000-000029090000}"/>
    <cellStyle name="Multiple 3" xfId="356" xr:uid="{00000000-0005-0000-0000-00002A090000}"/>
    <cellStyle name="Multiple 3 2" xfId="2375" xr:uid="{00000000-0005-0000-0000-00002B090000}"/>
    <cellStyle name="Multiple 4" xfId="333" xr:uid="{00000000-0005-0000-0000-00002C090000}"/>
    <cellStyle name="Multiple 5" xfId="2376" xr:uid="{00000000-0005-0000-0000-00002D090000}"/>
    <cellStyle name="Multiple 6" xfId="2377" xr:uid="{00000000-0005-0000-0000-00002E090000}"/>
    <cellStyle name="Multiple 7" xfId="3317" xr:uid="{00000000-0005-0000-0000-00002F090000}"/>
    <cellStyle name="Multiple 8" xfId="3239" xr:uid="{00000000-0005-0000-0000-000030090000}"/>
    <cellStyle name="Multiple 9" xfId="3353" xr:uid="{00000000-0005-0000-0000-000031090000}"/>
    <cellStyle name="Multiple1" xfId="2378" xr:uid="{00000000-0005-0000-0000-000032090000}"/>
    <cellStyle name="Multiple1 2" xfId="2379" xr:uid="{00000000-0005-0000-0000-000033090000}"/>
    <cellStyle name="Multiple2" xfId="334" xr:uid="{00000000-0005-0000-0000-000034090000}"/>
    <cellStyle name="MultipleBelow" xfId="2380" xr:uid="{00000000-0005-0000-0000-000035090000}"/>
    <cellStyle name="MultipleBelow 2" xfId="2381" xr:uid="{00000000-0005-0000-0000-000036090000}"/>
    <cellStyle name="Neutral 2" xfId="2382" xr:uid="{00000000-0005-0000-0000-000037090000}"/>
    <cellStyle name="Neutral 2 2" xfId="2383" xr:uid="{00000000-0005-0000-0000-000038090000}"/>
    <cellStyle name="no dec" xfId="2384" xr:uid="{00000000-0005-0000-0000-000039090000}"/>
    <cellStyle name="no dec 2" xfId="2385" xr:uid="{00000000-0005-0000-0000-00003A090000}"/>
    <cellStyle name="No Decimal" xfId="2386" xr:uid="{00000000-0005-0000-0000-00003B090000}"/>
    <cellStyle name="Normal" xfId="0" builtinId="0"/>
    <cellStyle name="Normal-" xfId="2" xr:uid="{00000000-0005-0000-0000-00003D090000}"/>
    <cellStyle name="Normal - Style1" xfId="269" xr:uid="{00000000-0005-0000-0000-00003E090000}"/>
    <cellStyle name="Normal - Style1 2" xfId="2389" xr:uid="{00000000-0005-0000-0000-00003F090000}"/>
    <cellStyle name="Normal - Style1 3" xfId="3319" xr:uid="{00000000-0005-0000-0000-000040090000}"/>
    <cellStyle name="Normal - Style1 4" xfId="3240" xr:uid="{00000000-0005-0000-0000-000041090000}"/>
    <cellStyle name="Normal - Style1 5" xfId="2388" xr:uid="{00000000-0005-0000-0000-000042090000}"/>
    <cellStyle name="Normal 10" xfId="337" xr:uid="{00000000-0005-0000-0000-000043090000}"/>
    <cellStyle name="Normal- 10" xfId="357" xr:uid="{00000000-0005-0000-0000-000044090000}"/>
    <cellStyle name="Normal 10 10" xfId="3275" xr:uid="{00000000-0005-0000-0000-000045090000}"/>
    <cellStyle name="Normal 10 11" xfId="405" xr:uid="{00000000-0005-0000-0000-000046090000}"/>
    <cellStyle name="Normal 10 12" xfId="3356" xr:uid="{00000000-0005-0000-0000-000047090000}"/>
    <cellStyle name="Normal 10 2" xfId="3102" xr:uid="{00000000-0005-0000-0000-000048090000}"/>
    <cellStyle name="Normal- 10 2" xfId="2391" xr:uid="{00000000-0005-0000-0000-000049090000}"/>
    <cellStyle name="Normal 10 2 2" xfId="3342" xr:uid="{00000000-0005-0000-0000-00004A090000}"/>
    <cellStyle name="Normal 10 2 3" xfId="3386" xr:uid="{00000000-0005-0000-0000-00004B090000}"/>
    <cellStyle name="Normal 10 3" xfId="3159" xr:uid="{00000000-0005-0000-0000-00004C090000}"/>
    <cellStyle name="Normal 10 4" xfId="3172" xr:uid="{00000000-0005-0000-0000-00004D090000}"/>
    <cellStyle name="Normal 10 5" xfId="402" xr:uid="{00000000-0005-0000-0000-00004E090000}"/>
    <cellStyle name="Normal 10 5 2" xfId="3177" xr:uid="{00000000-0005-0000-0000-00004F090000}"/>
    <cellStyle name="Normal 10 5 3" xfId="3420" xr:uid="{00000000-0005-0000-0000-000050090000}"/>
    <cellStyle name="Normal 10 6" xfId="3210" xr:uid="{00000000-0005-0000-0000-000051090000}"/>
    <cellStyle name="Normal 10 7" xfId="3214" xr:uid="{00000000-0005-0000-0000-000052090000}"/>
    <cellStyle name="Normal 10 8" xfId="3218" xr:uid="{00000000-0005-0000-0000-000053090000}"/>
    <cellStyle name="Normal 10 9" xfId="2390" xr:uid="{00000000-0005-0000-0000-000054090000}"/>
    <cellStyle name="Normal 100" xfId="2392" xr:uid="{00000000-0005-0000-0000-000055090000}"/>
    <cellStyle name="Normal 101" xfId="2393" xr:uid="{00000000-0005-0000-0000-000056090000}"/>
    <cellStyle name="Normal 102" xfId="2394" xr:uid="{00000000-0005-0000-0000-000057090000}"/>
    <cellStyle name="Normal 103" xfId="2395" xr:uid="{00000000-0005-0000-0000-000058090000}"/>
    <cellStyle name="Normal 104" xfId="2396" xr:uid="{00000000-0005-0000-0000-000059090000}"/>
    <cellStyle name="Normal 105" xfId="2397" xr:uid="{00000000-0005-0000-0000-00005A090000}"/>
    <cellStyle name="Normal 106" xfId="2398" xr:uid="{00000000-0005-0000-0000-00005B090000}"/>
    <cellStyle name="Normal 107" xfId="2399" xr:uid="{00000000-0005-0000-0000-00005C090000}"/>
    <cellStyle name="Normal 108" xfId="2400" xr:uid="{00000000-0005-0000-0000-00005D090000}"/>
    <cellStyle name="Normal 109" xfId="2401" xr:uid="{00000000-0005-0000-0000-00005E090000}"/>
    <cellStyle name="Normal 11" xfId="343" xr:uid="{00000000-0005-0000-0000-00005F090000}"/>
    <cellStyle name="Normal- 11" xfId="373" xr:uid="{00000000-0005-0000-0000-000060090000}"/>
    <cellStyle name="Normal 11 2" xfId="2402" xr:uid="{00000000-0005-0000-0000-000061090000}"/>
    <cellStyle name="Normal 11 2 2" xfId="3387" xr:uid="{00000000-0005-0000-0000-000062090000}"/>
    <cellStyle name="Normal 11 3" xfId="3357" xr:uid="{00000000-0005-0000-0000-000063090000}"/>
    <cellStyle name="Normal 110" xfId="2403" xr:uid="{00000000-0005-0000-0000-000064090000}"/>
    <cellStyle name="Normal 111" xfId="2404" xr:uid="{00000000-0005-0000-0000-000065090000}"/>
    <cellStyle name="Normal 112" xfId="2405" xr:uid="{00000000-0005-0000-0000-000066090000}"/>
    <cellStyle name="Normal 113" xfId="2406" xr:uid="{00000000-0005-0000-0000-000067090000}"/>
    <cellStyle name="Normal 114" xfId="2407" xr:uid="{00000000-0005-0000-0000-000068090000}"/>
    <cellStyle name="Normal 115" xfId="2408" xr:uid="{00000000-0005-0000-0000-000069090000}"/>
    <cellStyle name="Normal 116" xfId="2409" xr:uid="{00000000-0005-0000-0000-00006A090000}"/>
    <cellStyle name="Normal 117" xfId="2410" xr:uid="{00000000-0005-0000-0000-00006B090000}"/>
    <cellStyle name="Normal 118" xfId="2411" xr:uid="{00000000-0005-0000-0000-00006C090000}"/>
    <cellStyle name="Normal 119" xfId="2412" xr:uid="{00000000-0005-0000-0000-00006D090000}"/>
    <cellStyle name="Normal 12" xfId="344" xr:uid="{00000000-0005-0000-0000-00006E090000}"/>
    <cellStyle name="Normal- 12" xfId="375" xr:uid="{00000000-0005-0000-0000-00006F090000}"/>
    <cellStyle name="Normal 12 2" xfId="2413" xr:uid="{00000000-0005-0000-0000-000070090000}"/>
    <cellStyle name="Normal 12 2 2" xfId="3388" xr:uid="{00000000-0005-0000-0000-000071090000}"/>
    <cellStyle name="Normal 12 3" xfId="3358" xr:uid="{00000000-0005-0000-0000-000072090000}"/>
    <cellStyle name="Normal 120" xfId="2414" xr:uid="{00000000-0005-0000-0000-000073090000}"/>
    <cellStyle name="Normal 121" xfId="2415" xr:uid="{00000000-0005-0000-0000-000074090000}"/>
    <cellStyle name="Normal 122" xfId="2416" xr:uid="{00000000-0005-0000-0000-000075090000}"/>
    <cellStyle name="Normal 123" xfId="2417" xr:uid="{00000000-0005-0000-0000-000076090000}"/>
    <cellStyle name="Normal 124" xfId="2418" xr:uid="{00000000-0005-0000-0000-000077090000}"/>
    <cellStyle name="Normal 125" xfId="2419" xr:uid="{00000000-0005-0000-0000-000078090000}"/>
    <cellStyle name="Normal 126" xfId="2420" xr:uid="{00000000-0005-0000-0000-000079090000}"/>
    <cellStyle name="Normal 127" xfId="2421" xr:uid="{00000000-0005-0000-0000-00007A090000}"/>
    <cellStyle name="Normal 128" xfId="2422" xr:uid="{00000000-0005-0000-0000-00007B090000}"/>
    <cellStyle name="Normal 129" xfId="2423" xr:uid="{00000000-0005-0000-0000-00007C090000}"/>
    <cellStyle name="Normal 13" xfId="368" xr:uid="{00000000-0005-0000-0000-00007D090000}"/>
    <cellStyle name="Normal- 13" xfId="377" xr:uid="{00000000-0005-0000-0000-00007E090000}"/>
    <cellStyle name="Normal 13 2" xfId="2424" xr:uid="{00000000-0005-0000-0000-00007F090000}"/>
    <cellStyle name="Normal 13 2 2" xfId="3389" xr:uid="{00000000-0005-0000-0000-000080090000}"/>
    <cellStyle name="Normal 13 3" xfId="3359" xr:uid="{00000000-0005-0000-0000-000081090000}"/>
    <cellStyle name="Normal 130" xfId="2425" xr:uid="{00000000-0005-0000-0000-000082090000}"/>
    <cellStyle name="Normal 131" xfId="2426" xr:uid="{00000000-0005-0000-0000-000083090000}"/>
    <cellStyle name="Normal 132" xfId="2427" xr:uid="{00000000-0005-0000-0000-000084090000}"/>
    <cellStyle name="Normal 133" xfId="2428" xr:uid="{00000000-0005-0000-0000-000085090000}"/>
    <cellStyle name="Normal 134" xfId="2429" xr:uid="{00000000-0005-0000-0000-000086090000}"/>
    <cellStyle name="Normal 135" xfId="2430" xr:uid="{00000000-0005-0000-0000-000087090000}"/>
    <cellStyle name="Normal 136" xfId="2431" xr:uid="{00000000-0005-0000-0000-000088090000}"/>
    <cellStyle name="Normal 137" xfId="2432" xr:uid="{00000000-0005-0000-0000-000089090000}"/>
    <cellStyle name="Normal 138" xfId="2433" xr:uid="{00000000-0005-0000-0000-00008A090000}"/>
    <cellStyle name="Normal 139" xfId="2434" xr:uid="{00000000-0005-0000-0000-00008B090000}"/>
    <cellStyle name="Normal 14" xfId="370" xr:uid="{00000000-0005-0000-0000-00008C090000}"/>
    <cellStyle name="Normal- 14" xfId="331" xr:uid="{00000000-0005-0000-0000-00008D090000}"/>
    <cellStyle name="Normal 14 2" xfId="2435" xr:uid="{00000000-0005-0000-0000-00008E090000}"/>
    <cellStyle name="Normal- 14 2" xfId="2436" xr:uid="{00000000-0005-0000-0000-00008F090000}"/>
    <cellStyle name="Normal 14 2 2" xfId="3390" xr:uid="{00000000-0005-0000-0000-000090090000}"/>
    <cellStyle name="Normal 14 3" xfId="3360" xr:uid="{00000000-0005-0000-0000-000091090000}"/>
    <cellStyle name="Normal 140" xfId="2437" xr:uid="{00000000-0005-0000-0000-000092090000}"/>
    <cellStyle name="Normal 141" xfId="2438" xr:uid="{00000000-0005-0000-0000-000093090000}"/>
    <cellStyle name="Normal 142" xfId="2439" xr:uid="{00000000-0005-0000-0000-000094090000}"/>
    <cellStyle name="Normal 143" xfId="2440" xr:uid="{00000000-0005-0000-0000-000095090000}"/>
    <cellStyle name="Normal 144" xfId="2441" xr:uid="{00000000-0005-0000-0000-000096090000}"/>
    <cellStyle name="Normal 145" xfId="2442" xr:uid="{00000000-0005-0000-0000-000097090000}"/>
    <cellStyle name="Normal 146" xfId="2443" xr:uid="{00000000-0005-0000-0000-000098090000}"/>
    <cellStyle name="Normal 147" xfId="2444" xr:uid="{00000000-0005-0000-0000-000099090000}"/>
    <cellStyle name="Normal 148" xfId="2445" xr:uid="{00000000-0005-0000-0000-00009A090000}"/>
    <cellStyle name="Normal 149" xfId="3099" xr:uid="{00000000-0005-0000-0000-00009B090000}"/>
    <cellStyle name="Normal 15" xfId="371" xr:uid="{00000000-0005-0000-0000-00009C090000}"/>
    <cellStyle name="Normal- 15" xfId="379" xr:uid="{00000000-0005-0000-0000-00009D090000}"/>
    <cellStyle name="Normal 15 2" xfId="3391" xr:uid="{00000000-0005-0000-0000-00009E090000}"/>
    <cellStyle name="Normal- 15 2" xfId="2446" xr:uid="{00000000-0005-0000-0000-00009F090000}"/>
    <cellStyle name="Normal 15 3" xfId="3361" xr:uid="{00000000-0005-0000-0000-0000A0090000}"/>
    <cellStyle name="Normal 150" xfId="3100" xr:uid="{00000000-0005-0000-0000-0000A1090000}"/>
    <cellStyle name="Normal 151" xfId="3161" xr:uid="{00000000-0005-0000-0000-0000A2090000}"/>
    <cellStyle name="Normal 152" xfId="3174" xr:uid="{00000000-0005-0000-0000-0000A3090000}"/>
    <cellStyle name="Normal 153" xfId="3175" xr:uid="{00000000-0005-0000-0000-0000A4090000}"/>
    <cellStyle name="Normal 154" xfId="3212" xr:uid="{00000000-0005-0000-0000-0000A5090000}"/>
    <cellStyle name="Normal 155" xfId="3216" xr:uid="{00000000-0005-0000-0000-0000A6090000}"/>
    <cellStyle name="Normal 156" xfId="3220" xr:uid="{00000000-0005-0000-0000-0000A7090000}"/>
    <cellStyle name="Normal 157" xfId="486" xr:uid="{00000000-0005-0000-0000-0000A8090000}"/>
    <cellStyle name="Normal 157 2" xfId="3285" xr:uid="{00000000-0005-0000-0000-0000A9090000}"/>
    <cellStyle name="Normal 158" xfId="3273" xr:uid="{00000000-0005-0000-0000-0000AA090000}"/>
    <cellStyle name="Normal 159" xfId="3077" xr:uid="{00000000-0005-0000-0000-0000AB090000}"/>
    <cellStyle name="Normal 16" xfId="372" xr:uid="{00000000-0005-0000-0000-0000AC090000}"/>
    <cellStyle name="Normal- 16" xfId="321" xr:uid="{00000000-0005-0000-0000-0000AD090000}"/>
    <cellStyle name="Normal 16 2" xfId="3392" xr:uid="{00000000-0005-0000-0000-0000AE090000}"/>
    <cellStyle name="Normal- 16 2" xfId="2447" xr:uid="{00000000-0005-0000-0000-0000AF090000}"/>
    <cellStyle name="Normal 16 3" xfId="3362" xr:uid="{00000000-0005-0000-0000-0000B0090000}"/>
    <cellStyle name="Normal 160" xfId="403" xr:uid="{00000000-0005-0000-0000-0000B1090000}"/>
    <cellStyle name="Normal 161" xfId="3350" xr:uid="{00000000-0005-0000-0000-0000B2090000}"/>
    <cellStyle name="Normal 17" xfId="376" xr:uid="{00000000-0005-0000-0000-0000B3090000}"/>
    <cellStyle name="Normal- 17" xfId="385" xr:uid="{00000000-0005-0000-0000-0000B4090000}"/>
    <cellStyle name="Normal 17 2" xfId="3393" xr:uid="{00000000-0005-0000-0000-0000B5090000}"/>
    <cellStyle name="Normal- 17 2" xfId="2448" xr:uid="{00000000-0005-0000-0000-0000B6090000}"/>
    <cellStyle name="Normal 17 3" xfId="3363" xr:uid="{00000000-0005-0000-0000-0000B7090000}"/>
    <cellStyle name="Normal 18" xfId="325" xr:uid="{00000000-0005-0000-0000-0000B8090000}"/>
    <cellStyle name="Normal- 18" xfId="396" xr:uid="{00000000-0005-0000-0000-0000B9090000}"/>
    <cellStyle name="Normal 18 2" xfId="2449" xr:uid="{00000000-0005-0000-0000-0000BA090000}"/>
    <cellStyle name="Normal- 18 2" xfId="2450" xr:uid="{00000000-0005-0000-0000-0000BB090000}"/>
    <cellStyle name="Normal 18 2 2" xfId="3394" xr:uid="{00000000-0005-0000-0000-0000BC090000}"/>
    <cellStyle name="Normal 18 3" xfId="3364" xr:uid="{00000000-0005-0000-0000-0000BD090000}"/>
    <cellStyle name="Normal 19" xfId="382" xr:uid="{00000000-0005-0000-0000-0000BE090000}"/>
    <cellStyle name="Normal- 19" xfId="399" xr:uid="{00000000-0005-0000-0000-0000BF090000}"/>
    <cellStyle name="Normal 19 2" xfId="2451" xr:uid="{00000000-0005-0000-0000-0000C0090000}"/>
    <cellStyle name="Normal- 19 2" xfId="2452" xr:uid="{00000000-0005-0000-0000-0000C1090000}"/>
    <cellStyle name="Normal 19 2 2" xfId="3395" xr:uid="{00000000-0005-0000-0000-0000C2090000}"/>
    <cellStyle name="Normal 19 3" xfId="3365" xr:uid="{00000000-0005-0000-0000-0000C3090000}"/>
    <cellStyle name="Normal 2" xfId="4" xr:uid="{00000000-0005-0000-0000-0000C4090000}"/>
    <cellStyle name="Normal- 2" xfId="345" xr:uid="{00000000-0005-0000-0000-0000C5090000}"/>
    <cellStyle name="Normal 2 10" xfId="2455" xr:uid="{00000000-0005-0000-0000-0000C6090000}"/>
    <cellStyle name="Normal 2 11" xfId="2456" xr:uid="{00000000-0005-0000-0000-0000C7090000}"/>
    <cellStyle name="Normal 2 12" xfId="2457" xr:uid="{00000000-0005-0000-0000-0000C8090000}"/>
    <cellStyle name="Normal 2 13" xfId="2458" xr:uid="{00000000-0005-0000-0000-0000C9090000}"/>
    <cellStyle name="Normal 2 14" xfId="2459" xr:uid="{00000000-0005-0000-0000-0000CA090000}"/>
    <cellStyle name="Normal 2 15" xfId="2460" xr:uid="{00000000-0005-0000-0000-0000CB090000}"/>
    <cellStyle name="Normal 2 16" xfId="2461" xr:uid="{00000000-0005-0000-0000-0000CC090000}"/>
    <cellStyle name="Normal 2 17" xfId="2462" xr:uid="{00000000-0005-0000-0000-0000CD090000}"/>
    <cellStyle name="Normal 2 18" xfId="2463" xr:uid="{00000000-0005-0000-0000-0000CE090000}"/>
    <cellStyle name="Normal 2 19" xfId="2464" xr:uid="{00000000-0005-0000-0000-0000CF090000}"/>
    <cellStyle name="Normal 2 2" xfId="328" xr:uid="{00000000-0005-0000-0000-0000D0090000}"/>
    <cellStyle name="Normal- 2 2" xfId="358" xr:uid="{00000000-0005-0000-0000-0000D1090000}"/>
    <cellStyle name="Normal 2 2 2" xfId="466" xr:uid="{00000000-0005-0000-0000-0000D2090000}"/>
    <cellStyle name="Normal- 2 2 2" xfId="3320" xr:uid="{00000000-0005-0000-0000-0000D3090000}"/>
    <cellStyle name="Normal 2 20" xfId="2465" xr:uid="{00000000-0005-0000-0000-0000D4090000}"/>
    <cellStyle name="Normal 2 21" xfId="2466" xr:uid="{00000000-0005-0000-0000-0000D5090000}"/>
    <cellStyle name="Normal 2 22" xfId="2467" xr:uid="{00000000-0005-0000-0000-0000D6090000}"/>
    <cellStyle name="Normal 2 23" xfId="2468" xr:uid="{00000000-0005-0000-0000-0000D7090000}"/>
    <cellStyle name="Normal 2 24" xfId="2469" xr:uid="{00000000-0005-0000-0000-0000D8090000}"/>
    <cellStyle name="Normal 2 25" xfId="2470" xr:uid="{00000000-0005-0000-0000-0000D9090000}"/>
    <cellStyle name="Normal 2 26" xfId="2471" xr:uid="{00000000-0005-0000-0000-0000DA090000}"/>
    <cellStyle name="Normal 2 27" xfId="2472" xr:uid="{00000000-0005-0000-0000-0000DB090000}"/>
    <cellStyle name="Normal 2 28" xfId="2473" xr:uid="{00000000-0005-0000-0000-0000DC090000}"/>
    <cellStyle name="Normal 2 29" xfId="2474" xr:uid="{00000000-0005-0000-0000-0000DD090000}"/>
    <cellStyle name="Normal 2 3" xfId="380" xr:uid="{00000000-0005-0000-0000-0000DE090000}"/>
    <cellStyle name="Normal- 2 3" xfId="2922" xr:uid="{00000000-0005-0000-0000-0000DF090000}"/>
    <cellStyle name="Normal 2 3 2" xfId="3145" xr:uid="{00000000-0005-0000-0000-0000E0090000}"/>
    <cellStyle name="Normal 2 3 3" xfId="3196" xr:uid="{00000000-0005-0000-0000-0000E1090000}"/>
    <cellStyle name="Normal 2 3 4" xfId="2475" xr:uid="{00000000-0005-0000-0000-0000E2090000}"/>
    <cellStyle name="Normal 2 3 5" xfId="3277" xr:uid="{00000000-0005-0000-0000-0000E3090000}"/>
    <cellStyle name="Normal 2 3 6" xfId="467" xr:uid="{00000000-0005-0000-0000-0000E4090000}"/>
    <cellStyle name="Normal 2 30" xfId="2476" xr:uid="{00000000-0005-0000-0000-0000E5090000}"/>
    <cellStyle name="Normal 2 31" xfId="2477" xr:uid="{00000000-0005-0000-0000-0000E6090000}"/>
    <cellStyle name="Normal 2 32" xfId="2478" xr:uid="{00000000-0005-0000-0000-0000E7090000}"/>
    <cellStyle name="Normal 2 33" xfId="2479" xr:uid="{00000000-0005-0000-0000-0000E8090000}"/>
    <cellStyle name="Normal 2 34" xfId="2480" xr:uid="{00000000-0005-0000-0000-0000E9090000}"/>
    <cellStyle name="Normal 2 35" xfId="2481" xr:uid="{00000000-0005-0000-0000-0000EA090000}"/>
    <cellStyle name="Normal 2 35 2" xfId="2482" xr:uid="{00000000-0005-0000-0000-0000EB090000}"/>
    <cellStyle name="Normal 2 36" xfId="2483" xr:uid="{00000000-0005-0000-0000-0000EC090000}"/>
    <cellStyle name="Normal 2 37" xfId="2484" xr:uid="{00000000-0005-0000-0000-0000ED090000}"/>
    <cellStyle name="Normal 2 38" xfId="2485" xr:uid="{00000000-0005-0000-0000-0000EE090000}"/>
    <cellStyle name="Normal 2 39" xfId="2486" xr:uid="{00000000-0005-0000-0000-0000EF090000}"/>
    <cellStyle name="Normal 2 4" xfId="323" xr:uid="{00000000-0005-0000-0000-0000F0090000}"/>
    <cellStyle name="Normal- 2 4" xfId="2454" xr:uid="{00000000-0005-0000-0000-0000F1090000}"/>
    <cellStyle name="Normal 2 4 2" xfId="3321" xr:uid="{00000000-0005-0000-0000-0000F2090000}"/>
    <cellStyle name="Normal 2 4 3" xfId="3264" xr:uid="{00000000-0005-0000-0000-0000F3090000}"/>
    <cellStyle name="Normal 2 4 4" xfId="2487" xr:uid="{00000000-0005-0000-0000-0000F4090000}"/>
    <cellStyle name="Normal 2 40" xfId="2488" xr:uid="{00000000-0005-0000-0000-0000F5090000}"/>
    <cellStyle name="Normal 2 41" xfId="2489" xr:uid="{00000000-0005-0000-0000-0000F6090000}"/>
    <cellStyle name="Normal 2 42" xfId="2490" xr:uid="{00000000-0005-0000-0000-0000F7090000}"/>
    <cellStyle name="Normal 2 43" xfId="2491" xr:uid="{00000000-0005-0000-0000-0000F8090000}"/>
    <cellStyle name="Normal 2 44" xfId="2492" xr:uid="{00000000-0005-0000-0000-0000F9090000}"/>
    <cellStyle name="Normal 2 45" xfId="2493" xr:uid="{00000000-0005-0000-0000-0000FA090000}"/>
    <cellStyle name="Normal 2 46" xfId="2494" xr:uid="{00000000-0005-0000-0000-0000FB090000}"/>
    <cellStyle name="Normal 2 47" xfId="3103" xr:uid="{00000000-0005-0000-0000-0000FC090000}"/>
    <cellStyle name="Normal 2 48" xfId="3157" xr:uid="{00000000-0005-0000-0000-0000FD090000}"/>
    <cellStyle name="Normal 2 49" xfId="3171" xr:uid="{00000000-0005-0000-0000-0000FE090000}"/>
    <cellStyle name="Normal 2 5" xfId="386" xr:uid="{00000000-0005-0000-0000-0000FF090000}"/>
    <cellStyle name="Normal- 2 5" xfId="3367" xr:uid="{00000000-0005-0000-0000-0000000A0000}"/>
    <cellStyle name="Normal 2 5 2" xfId="2495" xr:uid="{00000000-0005-0000-0000-0000010A0000}"/>
    <cellStyle name="Normal 2 50" xfId="3178" xr:uid="{00000000-0005-0000-0000-0000020A0000}"/>
    <cellStyle name="Normal 2 51" xfId="3209" xr:uid="{00000000-0005-0000-0000-0000030A0000}"/>
    <cellStyle name="Normal 2 52" xfId="3213" xr:uid="{00000000-0005-0000-0000-0000040A0000}"/>
    <cellStyle name="Normal 2 53" xfId="3217" xr:uid="{00000000-0005-0000-0000-0000050A0000}"/>
    <cellStyle name="Normal 2 54" xfId="2453" xr:uid="{00000000-0005-0000-0000-0000060A0000}"/>
    <cellStyle name="Normal 2 55" xfId="3276" xr:uid="{00000000-0005-0000-0000-0000070A0000}"/>
    <cellStyle name="Normal 2 56" xfId="2923" xr:uid="{00000000-0005-0000-0000-0000080A0000}"/>
    <cellStyle name="Normal 2 57" xfId="406" xr:uid="{00000000-0005-0000-0000-0000090A0000}"/>
    <cellStyle name="Normal 2 58" xfId="3366" xr:uid="{00000000-0005-0000-0000-00000A0A0000}"/>
    <cellStyle name="Normal 2 6" xfId="395" xr:uid="{00000000-0005-0000-0000-00000B0A0000}"/>
    <cellStyle name="Normal 2 6 2" xfId="2496" xr:uid="{00000000-0005-0000-0000-00000C0A0000}"/>
    <cellStyle name="Normal 2 7" xfId="389" xr:uid="{00000000-0005-0000-0000-00000D0A0000}"/>
    <cellStyle name="Normal 2 7 2" xfId="2497" xr:uid="{00000000-0005-0000-0000-00000E0A0000}"/>
    <cellStyle name="Normal 2 8" xfId="392" xr:uid="{00000000-0005-0000-0000-00000F0A0000}"/>
    <cellStyle name="Normal 2 8 2" xfId="2498" xr:uid="{00000000-0005-0000-0000-0000100A0000}"/>
    <cellStyle name="Normal 2 9" xfId="2499" xr:uid="{00000000-0005-0000-0000-0000110A0000}"/>
    <cellStyle name="Normal 20" xfId="319" xr:uid="{00000000-0005-0000-0000-0000120A0000}"/>
    <cellStyle name="Normal- 20" xfId="393" xr:uid="{00000000-0005-0000-0000-0000130A0000}"/>
    <cellStyle name="Normal 20 2" xfId="3396" xr:uid="{00000000-0005-0000-0000-0000140A0000}"/>
    <cellStyle name="Normal- 20 2" xfId="2500" xr:uid="{00000000-0005-0000-0000-0000150A0000}"/>
    <cellStyle name="Normal 20 3" xfId="3368" xr:uid="{00000000-0005-0000-0000-0000160A0000}"/>
    <cellStyle name="Normal 21" xfId="383" xr:uid="{00000000-0005-0000-0000-0000170A0000}"/>
    <cellStyle name="Normal- 21" xfId="2502" xr:uid="{00000000-0005-0000-0000-0000180A0000}"/>
    <cellStyle name="Normal 21 2" xfId="2501" xr:uid="{00000000-0005-0000-0000-0000190A0000}"/>
    <cellStyle name="Normal 21 2 2" xfId="3397" xr:uid="{00000000-0005-0000-0000-00001A0A0000}"/>
    <cellStyle name="Normal 21 3" xfId="3369" xr:uid="{00000000-0005-0000-0000-00001B0A0000}"/>
    <cellStyle name="Normal 22" xfId="397" xr:uid="{00000000-0005-0000-0000-00001C0A0000}"/>
    <cellStyle name="Normal- 22" xfId="2504" xr:uid="{00000000-0005-0000-0000-00001D0A0000}"/>
    <cellStyle name="Normal 22 2" xfId="2503" xr:uid="{00000000-0005-0000-0000-00001E0A0000}"/>
    <cellStyle name="Normal 22 2 2" xfId="3398" xr:uid="{00000000-0005-0000-0000-00001F0A0000}"/>
    <cellStyle name="Normal 22 3" xfId="3370" xr:uid="{00000000-0005-0000-0000-0000200A0000}"/>
    <cellStyle name="Normal 23" xfId="400" xr:uid="{00000000-0005-0000-0000-0000210A0000}"/>
    <cellStyle name="Normal- 23" xfId="2506" xr:uid="{00000000-0005-0000-0000-0000220A0000}"/>
    <cellStyle name="Normal 23 2" xfId="2505" xr:uid="{00000000-0005-0000-0000-0000230A0000}"/>
    <cellStyle name="Normal 23 2 2" xfId="3399" xr:uid="{00000000-0005-0000-0000-0000240A0000}"/>
    <cellStyle name="Normal 23 3" xfId="3371" xr:uid="{00000000-0005-0000-0000-0000250A0000}"/>
    <cellStyle name="Normal 24" xfId="401" xr:uid="{00000000-0005-0000-0000-0000260A0000}"/>
    <cellStyle name="Normal- 24" xfId="2508" xr:uid="{00000000-0005-0000-0000-0000270A0000}"/>
    <cellStyle name="Normal 24 2" xfId="2507" xr:uid="{00000000-0005-0000-0000-0000280A0000}"/>
    <cellStyle name="Normal 24 2 2" xfId="3400" xr:uid="{00000000-0005-0000-0000-0000290A0000}"/>
    <cellStyle name="Normal 24 3" xfId="3372" xr:uid="{00000000-0005-0000-0000-00002A0A0000}"/>
    <cellStyle name="Normal 25" xfId="2509" xr:uid="{00000000-0005-0000-0000-00002B0A0000}"/>
    <cellStyle name="Normal- 25" xfId="2510" xr:uid="{00000000-0005-0000-0000-00002C0A0000}"/>
    <cellStyle name="Normal 25 2" xfId="3401" xr:uid="{00000000-0005-0000-0000-00002D0A0000}"/>
    <cellStyle name="Normal 25 3" xfId="3373" xr:uid="{00000000-0005-0000-0000-00002E0A0000}"/>
    <cellStyle name="Normal 26" xfId="2511" xr:uid="{00000000-0005-0000-0000-00002F0A0000}"/>
    <cellStyle name="Normal- 26" xfId="2512" xr:uid="{00000000-0005-0000-0000-0000300A0000}"/>
    <cellStyle name="Normal 26 2" xfId="3402" xr:uid="{00000000-0005-0000-0000-0000310A0000}"/>
    <cellStyle name="Normal 26 3" xfId="3374" xr:uid="{00000000-0005-0000-0000-0000320A0000}"/>
    <cellStyle name="Normal 27" xfId="2513" xr:uid="{00000000-0005-0000-0000-0000330A0000}"/>
    <cellStyle name="Normal- 27" xfId="2514" xr:uid="{00000000-0005-0000-0000-0000340A0000}"/>
    <cellStyle name="Normal 27 2" xfId="3408" xr:uid="{00000000-0005-0000-0000-0000350A0000}"/>
    <cellStyle name="Normal 27 3" xfId="3384" xr:uid="{00000000-0005-0000-0000-0000360A0000}"/>
    <cellStyle name="Normal 28" xfId="2515" xr:uid="{00000000-0005-0000-0000-0000370A0000}"/>
    <cellStyle name="Normal- 28" xfId="2516" xr:uid="{00000000-0005-0000-0000-0000380A0000}"/>
    <cellStyle name="Normal 29" xfId="2517" xr:uid="{00000000-0005-0000-0000-0000390A0000}"/>
    <cellStyle name="Normal- 29" xfId="2518" xr:uid="{00000000-0005-0000-0000-00003A0A0000}"/>
    <cellStyle name="Normal 3" xfId="270" xr:uid="{00000000-0005-0000-0000-00003B0A0000}"/>
    <cellStyle name="Normal- 3" xfId="349" xr:uid="{00000000-0005-0000-0000-00003C0A0000}"/>
    <cellStyle name="Normal 3 10" xfId="2519" xr:uid="{00000000-0005-0000-0000-00003D0A0000}"/>
    <cellStyle name="Normal 3 11" xfId="3278" xr:uid="{00000000-0005-0000-0000-00003E0A0000}"/>
    <cellStyle name="Normal 3 12" xfId="2907" xr:uid="{00000000-0005-0000-0000-00003F0A0000}"/>
    <cellStyle name="Normal 3 13" xfId="468" xr:uid="{00000000-0005-0000-0000-0000400A0000}"/>
    <cellStyle name="Normal 3 14" xfId="3375" xr:uid="{00000000-0005-0000-0000-0000410A0000}"/>
    <cellStyle name="Normal 3 2" xfId="351" xr:uid="{00000000-0005-0000-0000-0000420A0000}"/>
    <cellStyle name="Normal- 3 2" xfId="3322" xr:uid="{00000000-0005-0000-0000-0000430A0000}"/>
    <cellStyle name="Normal 3 2 2" xfId="3198" xr:uid="{00000000-0005-0000-0000-0000440A0000}"/>
    <cellStyle name="Normal 3 2 3" xfId="3279" xr:uid="{00000000-0005-0000-0000-0000450A0000}"/>
    <cellStyle name="Normal 3 2 4" xfId="469" xr:uid="{00000000-0005-0000-0000-0000460A0000}"/>
    <cellStyle name="Normal 3 3" xfId="335" xr:uid="{00000000-0005-0000-0000-0000470A0000}"/>
    <cellStyle name="Normal- 3 3" xfId="2906" xr:uid="{00000000-0005-0000-0000-0000480A0000}"/>
    <cellStyle name="Normal 3 3 2" xfId="3146" xr:uid="{00000000-0005-0000-0000-0000490A0000}"/>
    <cellStyle name="Normal 3 4" xfId="378" xr:uid="{00000000-0005-0000-0000-00004A0A0000}"/>
    <cellStyle name="Normal- 3 4" xfId="2520" xr:uid="{00000000-0005-0000-0000-00004B0A0000}"/>
    <cellStyle name="Normal 3 4 2" xfId="3166" xr:uid="{00000000-0005-0000-0000-00004C0A0000}"/>
    <cellStyle name="Normal 3 5" xfId="324" xr:uid="{00000000-0005-0000-0000-00004D0A0000}"/>
    <cellStyle name="Normal- 3 5" xfId="3376" xr:uid="{00000000-0005-0000-0000-00004E0A0000}"/>
    <cellStyle name="Normal 3 5 2" xfId="3127" xr:uid="{00000000-0005-0000-0000-00004F0A0000}"/>
    <cellStyle name="Normal 3 6" xfId="388" xr:uid="{00000000-0005-0000-0000-0000500A0000}"/>
    <cellStyle name="Normal 3 6 2" xfId="3197" xr:uid="{00000000-0005-0000-0000-0000510A0000}"/>
    <cellStyle name="Normal 3 7" xfId="394" xr:uid="{00000000-0005-0000-0000-0000520A0000}"/>
    <cellStyle name="Normal 3 7 2" xfId="3187" xr:uid="{00000000-0005-0000-0000-0000530A0000}"/>
    <cellStyle name="Normal 3 8" xfId="390" xr:uid="{00000000-0005-0000-0000-0000540A0000}"/>
    <cellStyle name="Normal 3 8 2" xfId="3201" xr:uid="{00000000-0005-0000-0000-0000550A0000}"/>
    <cellStyle name="Normal 3 9" xfId="391" xr:uid="{00000000-0005-0000-0000-0000560A0000}"/>
    <cellStyle name="Normal 3 9 2" xfId="3182" xr:uid="{00000000-0005-0000-0000-0000570A0000}"/>
    <cellStyle name="Normal 30" xfId="2521" xr:uid="{00000000-0005-0000-0000-0000580A0000}"/>
    <cellStyle name="Normal- 30" xfId="2522" xr:uid="{00000000-0005-0000-0000-0000590A0000}"/>
    <cellStyle name="Normal 31" xfId="2523" xr:uid="{00000000-0005-0000-0000-00005A0A0000}"/>
    <cellStyle name="Normal- 31" xfId="2524" xr:uid="{00000000-0005-0000-0000-00005B0A0000}"/>
    <cellStyle name="Normal 32" xfId="2525" xr:uid="{00000000-0005-0000-0000-00005C0A0000}"/>
    <cellStyle name="Normal- 32" xfId="2526" xr:uid="{00000000-0005-0000-0000-00005D0A0000}"/>
    <cellStyle name="Normal 33" xfId="2527" xr:uid="{00000000-0005-0000-0000-00005E0A0000}"/>
    <cellStyle name="Normal- 33" xfId="2528" xr:uid="{00000000-0005-0000-0000-00005F0A0000}"/>
    <cellStyle name="Normal 34" xfId="2529" xr:uid="{00000000-0005-0000-0000-0000600A0000}"/>
    <cellStyle name="Normal- 34" xfId="2530" xr:uid="{00000000-0005-0000-0000-0000610A0000}"/>
    <cellStyle name="Normal 35" xfId="2531" xr:uid="{00000000-0005-0000-0000-0000620A0000}"/>
    <cellStyle name="Normal- 35" xfId="2532" xr:uid="{00000000-0005-0000-0000-0000630A0000}"/>
    <cellStyle name="Normal 36" xfId="2533" xr:uid="{00000000-0005-0000-0000-0000640A0000}"/>
    <cellStyle name="Normal- 36" xfId="2534" xr:uid="{00000000-0005-0000-0000-0000650A0000}"/>
    <cellStyle name="Normal 37" xfId="2535" xr:uid="{00000000-0005-0000-0000-0000660A0000}"/>
    <cellStyle name="Normal- 37" xfId="2536" xr:uid="{00000000-0005-0000-0000-0000670A0000}"/>
    <cellStyle name="Normal 38" xfId="2537" xr:uid="{00000000-0005-0000-0000-0000680A0000}"/>
    <cellStyle name="Normal- 38" xfId="2538" xr:uid="{00000000-0005-0000-0000-0000690A0000}"/>
    <cellStyle name="Normal 39" xfId="2539" xr:uid="{00000000-0005-0000-0000-00006A0A0000}"/>
    <cellStyle name="Normal- 39" xfId="2540" xr:uid="{00000000-0005-0000-0000-00006B0A0000}"/>
    <cellStyle name="Normal 4" xfId="346" xr:uid="{00000000-0005-0000-0000-00006C0A0000}"/>
    <cellStyle name="Normal- 4" xfId="359" xr:uid="{00000000-0005-0000-0000-00006D0A0000}"/>
    <cellStyle name="Normal 4 10" xfId="3280" xr:uid="{00000000-0005-0000-0000-00006E0A0000}"/>
    <cellStyle name="Normal 4 11" xfId="2905" xr:uid="{00000000-0005-0000-0000-00006F0A0000}"/>
    <cellStyle name="Normal 4 12" xfId="470" xr:uid="{00000000-0005-0000-0000-0000700A0000}"/>
    <cellStyle name="Normal 4 2" xfId="3147" xr:uid="{00000000-0005-0000-0000-0000710A0000}"/>
    <cellStyle name="Normal- 4 2" xfId="3323" xr:uid="{00000000-0005-0000-0000-0000720A0000}"/>
    <cellStyle name="Normal 4 2 2" xfId="3345" xr:uid="{00000000-0005-0000-0000-0000730A0000}"/>
    <cellStyle name="Normal 4 3" xfId="3167" xr:uid="{00000000-0005-0000-0000-0000740A0000}"/>
    <cellStyle name="Normal- 4 3" xfId="3156" xr:uid="{00000000-0005-0000-0000-0000750A0000}"/>
    <cellStyle name="Normal 4 4" xfId="3128" xr:uid="{00000000-0005-0000-0000-0000760A0000}"/>
    <cellStyle name="Normal- 4 4" xfId="2542" xr:uid="{00000000-0005-0000-0000-0000770A0000}"/>
    <cellStyle name="Normal 4 5" xfId="3199" xr:uid="{00000000-0005-0000-0000-0000780A0000}"/>
    <cellStyle name="Normal- 4 5" xfId="3377" xr:uid="{00000000-0005-0000-0000-0000790A0000}"/>
    <cellStyle name="Normal 4 6" xfId="3186" xr:uid="{00000000-0005-0000-0000-00007A0A0000}"/>
    <cellStyle name="Normal 4 7" xfId="3204" xr:uid="{00000000-0005-0000-0000-00007B0A0000}"/>
    <cellStyle name="Normal 4 8" xfId="3181" xr:uid="{00000000-0005-0000-0000-00007C0A0000}"/>
    <cellStyle name="Normal 4 9" xfId="2541" xr:uid="{00000000-0005-0000-0000-00007D0A0000}"/>
    <cellStyle name="Normal 40" xfId="2543" xr:uid="{00000000-0005-0000-0000-00007E0A0000}"/>
    <cellStyle name="Normal- 40" xfId="2544" xr:uid="{00000000-0005-0000-0000-00007F0A0000}"/>
    <cellStyle name="Normal 41" xfId="2545" xr:uid="{00000000-0005-0000-0000-0000800A0000}"/>
    <cellStyle name="Normal- 41" xfId="2546" xr:uid="{00000000-0005-0000-0000-0000810A0000}"/>
    <cellStyle name="Normal 42" xfId="2547" xr:uid="{00000000-0005-0000-0000-0000820A0000}"/>
    <cellStyle name="Normal- 42" xfId="2548" xr:uid="{00000000-0005-0000-0000-0000830A0000}"/>
    <cellStyle name="Normal 43" xfId="2549" xr:uid="{00000000-0005-0000-0000-0000840A0000}"/>
    <cellStyle name="Normal- 43" xfId="2550" xr:uid="{00000000-0005-0000-0000-0000850A0000}"/>
    <cellStyle name="Normal 44" xfId="2551" xr:uid="{00000000-0005-0000-0000-0000860A0000}"/>
    <cellStyle name="Normal- 44" xfId="2552" xr:uid="{00000000-0005-0000-0000-0000870A0000}"/>
    <cellStyle name="Normal 45" xfId="2553" xr:uid="{00000000-0005-0000-0000-0000880A0000}"/>
    <cellStyle name="Normal- 45" xfId="2554" xr:uid="{00000000-0005-0000-0000-0000890A0000}"/>
    <cellStyle name="Normal 46" xfId="2555" xr:uid="{00000000-0005-0000-0000-00008A0A0000}"/>
    <cellStyle name="Normal- 46" xfId="2556" xr:uid="{00000000-0005-0000-0000-00008B0A0000}"/>
    <cellStyle name="Normal 47" xfId="2557" xr:uid="{00000000-0005-0000-0000-00008C0A0000}"/>
    <cellStyle name="Normal- 47" xfId="2558" xr:uid="{00000000-0005-0000-0000-00008D0A0000}"/>
    <cellStyle name="Normal 48" xfId="2559" xr:uid="{00000000-0005-0000-0000-00008E0A0000}"/>
    <cellStyle name="Normal- 48" xfId="2560" xr:uid="{00000000-0005-0000-0000-00008F0A0000}"/>
    <cellStyle name="Normal 49" xfId="2561" xr:uid="{00000000-0005-0000-0000-0000900A0000}"/>
    <cellStyle name="Normal- 49" xfId="2562" xr:uid="{00000000-0005-0000-0000-0000910A0000}"/>
    <cellStyle name="Normal 5" xfId="347" xr:uid="{00000000-0005-0000-0000-0000920A0000}"/>
    <cellStyle name="Normal- 5" xfId="360" xr:uid="{00000000-0005-0000-0000-0000930A0000}"/>
    <cellStyle name="Normal 5 10" xfId="3281" xr:uid="{00000000-0005-0000-0000-0000940A0000}"/>
    <cellStyle name="Normal 5 11" xfId="471" xr:uid="{00000000-0005-0000-0000-0000950A0000}"/>
    <cellStyle name="Normal 5 12" xfId="3378" xr:uid="{00000000-0005-0000-0000-0000960A0000}"/>
    <cellStyle name="Normal 5 2" xfId="3148" xr:uid="{00000000-0005-0000-0000-0000970A0000}"/>
    <cellStyle name="Normal- 5 2" xfId="3324" xr:uid="{00000000-0005-0000-0000-0000980A0000}"/>
    <cellStyle name="Normal 5 2 2" xfId="3262" xr:uid="{00000000-0005-0000-0000-0000990A0000}"/>
    <cellStyle name="Normal 5 2 3" xfId="3346" xr:uid="{00000000-0005-0000-0000-00009A0A0000}"/>
    <cellStyle name="Normal 5 2 4" xfId="3403" xr:uid="{00000000-0005-0000-0000-00009B0A0000}"/>
    <cellStyle name="Normal 5 3" xfId="3168" xr:uid="{00000000-0005-0000-0000-00009C0A0000}"/>
    <cellStyle name="Normal- 5 3" xfId="3256" xr:uid="{00000000-0005-0000-0000-00009D0A0000}"/>
    <cellStyle name="Normal 5 3 2" xfId="3348" xr:uid="{00000000-0005-0000-0000-00009E0A0000}"/>
    <cellStyle name="Normal 5 3 3" xfId="3418" xr:uid="{00000000-0005-0000-0000-00009F0A0000}"/>
    <cellStyle name="Normal 5 4" xfId="3131" xr:uid="{00000000-0005-0000-0000-0000A00A0000}"/>
    <cellStyle name="Normal 5 4 2" xfId="3343" xr:uid="{00000000-0005-0000-0000-0000A10A0000}"/>
    <cellStyle name="Normal 5 4 3" xfId="3409" xr:uid="{00000000-0005-0000-0000-0000A20A0000}"/>
    <cellStyle name="Normal 5 5" xfId="3200" xr:uid="{00000000-0005-0000-0000-0000A30A0000}"/>
    <cellStyle name="Normal 5 5 2" xfId="3415" xr:uid="{00000000-0005-0000-0000-0000A40A0000}"/>
    <cellStyle name="Normal 5 6" xfId="3185" xr:uid="{00000000-0005-0000-0000-0000A50A0000}"/>
    <cellStyle name="Normal 5 7" xfId="3205" xr:uid="{00000000-0005-0000-0000-0000A60A0000}"/>
    <cellStyle name="Normal 5 8" xfId="3208" xr:uid="{00000000-0005-0000-0000-0000A70A0000}"/>
    <cellStyle name="Normal 5 9" xfId="2563" xr:uid="{00000000-0005-0000-0000-0000A80A0000}"/>
    <cellStyle name="Normal 50" xfId="2564" xr:uid="{00000000-0005-0000-0000-0000A90A0000}"/>
    <cellStyle name="Normal- 50" xfId="2565" xr:uid="{00000000-0005-0000-0000-0000AA0A0000}"/>
    <cellStyle name="Normal 51" xfId="2566" xr:uid="{00000000-0005-0000-0000-0000AB0A0000}"/>
    <cellStyle name="Normal- 51" xfId="2567" xr:uid="{00000000-0005-0000-0000-0000AC0A0000}"/>
    <cellStyle name="Normal 52" xfId="2568" xr:uid="{00000000-0005-0000-0000-0000AD0A0000}"/>
    <cellStyle name="Normal- 52" xfId="2569" xr:uid="{00000000-0005-0000-0000-0000AE0A0000}"/>
    <cellStyle name="Normal 53" xfId="2570" xr:uid="{00000000-0005-0000-0000-0000AF0A0000}"/>
    <cellStyle name="Normal- 53" xfId="2571" xr:uid="{00000000-0005-0000-0000-0000B00A0000}"/>
    <cellStyle name="Normal 54" xfId="2572" xr:uid="{00000000-0005-0000-0000-0000B10A0000}"/>
    <cellStyle name="Normal- 54" xfId="2573" xr:uid="{00000000-0005-0000-0000-0000B20A0000}"/>
    <cellStyle name="Normal 55" xfId="2574" xr:uid="{00000000-0005-0000-0000-0000B30A0000}"/>
    <cellStyle name="Normal- 55" xfId="2575" xr:uid="{00000000-0005-0000-0000-0000B40A0000}"/>
    <cellStyle name="Normal 56" xfId="2576" xr:uid="{00000000-0005-0000-0000-0000B50A0000}"/>
    <cellStyle name="Normal- 56" xfId="3318" xr:uid="{00000000-0005-0000-0000-0000B60A0000}"/>
    <cellStyle name="Normal 57" xfId="2577" xr:uid="{00000000-0005-0000-0000-0000B70A0000}"/>
    <cellStyle name="Normal- 57" xfId="2939" xr:uid="{00000000-0005-0000-0000-0000B80A0000}"/>
    <cellStyle name="Normal 58" xfId="2578" xr:uid="{00000000-0005-0000-0000-0000B90A0000}"/>
    <cellStyle name="Normal- 58" xfId="2387" xr:uid="{00000000-0005-0000-0000-0000BA0A0000}"/>
    <cellStyle name="Normal 59" xfId="2579" xr:uid="{00000000-0005-0000-0000-0000BB0A0000}"/>
    <cellStyle name="Normal- 59" xfId="3355" xr:uid="{00000000-0005-0000-0000-0000BC0A0000}"/>
    <cellStyle name="Normal 6" xfId="336" xr:uid="{00000000-0005-0000-0000-0000BD0A0000}"/>
    <cellStyle name="Normal- 6" xfId="361" xr:uid="{00000000-0005-0000-0000-0000BE0A0000}"/>
    <cellStyle name="Normal 6 2" xfId="3271" xr:uid="{00000000-0005-0000-0000-0000BF0A0000}"/>
    <cellStyle name="Normal- 6 2" xfId="3325" xr:uid="{00000000-0005-0000-0000-0000C00A0000}"/>
    <cellStyle name="Normal 6 2 2" xfId="3404" xr:uid="{00000000-0005-0000-0000-0000C10A0000}"/>
    <cellStyle name="Normal 6 3" xfId="3282" xr:uid="{00000000-0005-0000-0000-0000C20A0000}"/>
    <cellStyle name="Normal- 6 3" xfId="3259" xr:uid="{00000000-0005-0000-0000-0000C30A0000}"/>
    <cellStyle name="Normal 6 3 2" xfId="3417" xr:uid="{00000000-0005-0000-0000-0000C40A0000}"/>
    <cellStyle name="Normal 6 4" xfId="3255" xr:uid="{00000000-0005-0000-0000-0000C50A0000}"/>
    <cellStyle name="Normal 6 4 2" xfId="3410" xr:uid="{00000000-0005-0000-0000-0000C60A0000}"/>
    <cellStyle name="Normal 6 5" xfId="472" xr:uid="{00000000-0005-0000-0000-0000C70A0000}"/>
    <cellStyle name="Normal 6 5 2" xfId="3414" xr:uid="{00000000-0005-0000-0000-0000C80A0000}"/>
    <cellStyle name="Normal 6 6" xfId="3379" xr:uid="{00000000-0005-0000-0000-0000C90A0000}"/>
    <cellStyle name="Normal 60" xfId="2580" xr:uid="{00000000-0005-0000-0000-0000CA0A0000}"/>
    <cellStyle name="Normal 61" xfId="2581" xr:uid="{00000000-0005-0000-0000-0000CB0A0000}"/>
    <cellStyle name="Normal 62" xfId="2582" xr:uid="{00000000-0005-0000-0000-0000CC0A0000}"/>
    <cellStyle name="Normal 63" xfId="2583" xr:uid="{00000000-0005-0000-0000-0000CD0A0000}"/>
    <cellStyle name="Normal 64" xfId="2584" xr:uid="{00000000-0005-0000-0000-0000CE0A0000}"/>
    <cellStyle name="Normal 65" xfId="2585" xr:uid="{00000000-0005-0000-0000-0000CF0A0000}"/>
    <cellStyle name="Normal 66" xfId="2586" xr:uid="{00000000-0005-0000-0000-0000D00A0000}"/>
    <cellStyle name="Normal 67" xfId="2587" xr:uid="{00000000-0005-0000-0000-0000D10A0000}"/>
    <cellStyle name="Normal 68" xfId="2588" xr:uid="{00000000-0005-0000-0000-0000D20A0000}"/>
    <cellStyle name="Normal 69" xfId="2589" xr:uid="{00000000-0005-0000-0000-0000D30A0000}"/>
    <cellStyle name="Normal 7" xfId="339" xr:uid="{00000000-0005-0000-0000-0000D40A0000}"/>
    <cellStyle name="Normal- 7" xfId="362" xr:uid="{00000000-0005-0000-0000-0000D50A0000}"/>
    <cellStyle name="Normal 7 10" xfId="3283" xr:uid="{00000000-0005-0000-0000-0000D60A0000}"/>
    <cellStyle name="Normal 7 11" xfId="3258" xr:uid="{00000000-0005-0000-0000-0000D70A0000}"/>
    <cellStyle name="Normal 7 12" xfId="473" xr:uid="{00000000-0005-0000-0000-0000D80A0000}"/>
    <cellStyle name="Normal 7 13" xfId="3380" xr:uid="{00000000-0005-0000-0000-0000D90A0000}"/>
    <cellStyle name="Normal 7 2" xfId="3149" xr:uid="{00000000-0005-0000-0000-0000DA0A0000}"/>
    <cellStyle name="Normal 7 2 2" xfId="3347" xr:uid="{00000000-0005-0000-0000-0000DB0A0000}"/>
    <cellStyle name="Normal 7 2 3" xfId="3405" xr:uid="{00000000-0005-0000-0000-0000DC0A0000}"/>
    <cellStyle name="Normal 7 3" xfId="3169" xr:uid="{00000000-0005-0000-0000-0000DD0A0000}"/>
    <cellStyle name="Normal 7 3 2" xfId="3411" xr:uid="{00000000-0005-0000-0000-0000DE0A0000}"/>
    <cellStyle name="Normal 7 4" xfId="3141" xr:uid="{00000000-0005-0000-0000-0000DF0A0000}"/>
    <cellStyle name="Normal 7 4 2" xfId="3413" xr:uid="{00000000-0005-0000-0000-0000E00A0000}"/>
    <cellStyle name="Normal 7 5" xfId="3202" xr:uid="{00000000-0005-0000-0000-0000E10A0000}"/>
    <cellStyle name="Normal 7 6" xfId="3184" xr:uid="{00000000-0005-0000-0000-0000E20A0000}"/>
    <cellStyle name="Normal 7 7" xfId="3206" xr:uid="{00000000-0005-0000-0000-0000E30A0000}"/>
    <cellStyle name="Normal 7 8" xfId="3180" xr:uid="{00000000-0005-0000-0000-0000E40A0000}"/>
    <cellStyle name="Normal 7 9" xfId="2590" xr:uid="{00000000-0005-0000-0000-0000E50A0000}"/>
    <cellStyle name="Normal 70" xfId="2591" xr:uid="{00000000-0005-0000-0000-0000E60A0000}"/>
    <cellStyle name="Normal 71" xfId="2592" xr:uid="{00000000-0005-0000-0000-0000E70A0000}"/>
    <cellStyle name="Normal 72" xfId="2593" xr:uid="{00000000-0005-0000-0000-0000E80A0000}"/>
    <cellStyle name="Normal 73" xfId="2594" xr:uid="{00000000-0005-0000-0000-0000E90A0000}"/>
    <cellStyle name="Normal 74" xfId="2595" xr:uid="{00000000-0005-0000-0000-0000EA0A0000}"/>
    <cellStyle name="Normal 75" xfId="2596" xr:uid="{00000000-0005-0000-0000-0000EB0A0000}"/>
    <cellStyle name="Normal 76" xfId="2597" xr:uid="{00000000-0005-0000-0000-0000EC0A0000}"/>
    <cellStyle name="Normal 77" xfId="2598" xr:uid="{00000000-0005-0000-0000-0000ED0A0000}"/>
    <cellStyle name="Normal 78" xfId="2599" xr:uid="{00000000-0005-0000-0000-0000EE0A0000}"/>
    <cellStyle name="Normal 79" xfId="2600" xr:uid="{00000000-0005-0000-0000-0000EF0A0000}"/>
    <cellStyle name="Normal 8" xfId="340" xr:uid="{00000000-0005-0000-0000-0000F00A0000}"/>
    <cellStyle name="Normal- 8" xfId="363" xr:uid="{00000000-0005-0000-0000-0000F10A0000}"/>
    <cellStyle name="Normal 8 10" xfId="3284" xr:uid="{00000000-0005-0000-0000-0000F20A0000}"/>
    <cellStyle name="Normal 8 11" xfId="474" xr:uid="{00000000-0005-0000-0000-0000F30A0000}"/>
    <cellStyle name="Normal 8 12" xfId="3381" xr:uid="{00000000-0005-0000-0000-0000F40A0000}"/>
    <cellStyle name="Normal 8 2" xfId="3150" xr:uid="{00000000-0005-0000-0000-0000F50A0000}"/>
    <cellStyle name="Normal- 8 2" xfId="2602" xr:uid="{00000000-0005-0000-0000-0000F60A0000}"/>
    <cellStyle name="Normal 8 2 2" xfId="3406" xr:uid="{00000000-0005-0000-0000-0000F70A0000}"/>
    <cellStyle name="Normal 8 3" xfId="3170" xr:uid="{00000000-0005-0000-0000-0000F80A0000}"/>
    <cellStyle name="Normal- 8 3" xfId="3419" xr:uid="{00000000-0005-0000-0000-0000F90A0000}"/>
    <cellStyle name="Normal 8 3 2" xfId="3412" xr:uid="{00000000-0005-0000-0000-0000FA0A0000}"/>
    <cellStyle name="Normal 8 4" xfId="3142" xr:uid="{00000000-0005-0000-0000-0000FB0A0000}"/>
    <cellStyle name="Normal 8 5" xfId="3203" xr:uid="{00000000-0005-0000-0000-0000FC0A0000}"/>
    <cellStyle name="Normal 8 6" xfId="3183" xr:uid="{00000000-0005-0000-0000-0000FD0A0000}"/>
    <cellStyle name="Normal 8 7" xfId="3207" xr:uid="{00000000-0005-0000-0000-0000FE0A0000}"/>
    <cellStyle name="Normal 8 8" xfId="3179" xr:uid="{00000000-0005-0000-0000-0000FF0A0000}"/>
    <cellStyle name="Normal 8 9" xfId="2601" xr:uid="{00000000-0005-0000-0000-0000000B0000}"/>
    <cellStyle name="Normal 80" xfId="2603" xr:uid="{00000000-0005-0000-0000-0000010B0000}"/>
    <cellStyle name="Normal 81" xfId="2604" xr:uid="{00000000-0005-0000-0000-0000020B0000}"/>
    <cellStyle name="Normal 82" xfId="2605" xr:uid="{00000000-0005-0000-0000-0000030B0000}"/>
    <cellStyle name="Normal 83" xfId="2606" xr:uid="{00000000-0005-0000-0000-0000040B0000}"/>
    <cellStyle name="Normal 84" xfId="2607" xr:uid="{00000000-0005-0000-0000-0000050B0000}"/>
    <cellStyle name="Normal 85" xfId="2608" xr:uid="{00000000-0005-0000-0000-0000060B0000}"/>
    <cellStyle name="Normal 86" xfId="2609" xr:uid="{00000000-0005-0000-0000-0000070B0000}"/>
    <cellStyle name="Normal 87" xfId="2610" xr:uid="{00000000-0005-0000-0000-0000080B0000}"/>
    <cellStyle name="Normal 87 2" xfId="2611" xr:uid="{00000000-0005-0000-0000-0000090B0000}"/>
    <cellStyle name="Normal 88" xfId="2612" xr:uid="{00000000-0005-0000-0000-00000A0B0000}"/>
    <cellStyle name="Normal 89" xfId="2613" xr:uid="{00000000-0005-0000-0000-00000B0B0000}"/>
    <cellStyle name="Normal 9" xfId="338" xr:uid="{00000000-0005-0000-0000-00000C0B0000}"/>
    <cellStyle name="Normal- 9" xfId="364" xr:uid="{00000000-0005-0000-0000-00000D0B0000}"/>
    <cellStyle name="Normal 9 2" xfId="3326" xr:uid="{00000000-0005-0000-0000-00000E0B0000}"/>
    <cellStyle name="Normal- 9 2" xfId="2615" xr:uid="{00000000-0005-0000-0000-00000F0B0000}"/>
    <cellStyle name="Normal 9 2 2" xfId="3407" xr:uid="{00000000-0005-0000-0000-0000100B0000}"/>
    <cellStyle name="Normal 9 3" xfId="3263" xr:uid="{00000000-0005-0000-0000-0000110B0000}"/>
    <cellStyle name="Normal- 9 3" xfId="3416" xr:uid="{00000000-0005-0000-0000-0000120B0000}"/>
    <cellStyle name="Normal 9 4" xfId="2614" xr:uid="{00000000-0005-0000-0000-0000130B0000}"/>
    <cellStyle name="Normal 9 5" xfId="3382" xr:uid="{00000000-0005-0000-0000-0000140B0000}"/>
    <cellStyle name="Normal 90" xfId="2616" xr:uid="{00000000-0005-0000-0000-0000150B0000}"/>
    <cellStyle name="Normal 91" xfId="2617" xr:uid="{00000000-0005-0000-0000-0000160B0000}"/>
    <cellStyle name="Normal 92" xfId="2618" xr:uid="{00000000-0005-0000-0000-0000170B0000}"/>
    <cellStyle name="Normal 93" xfId="2619" xr:uid="{00000000-0005-0000-0000-0000180B0000}"/>
    <cellStyle name="Normal 94" xfId="2620" xr:uid="{00000000-0005-0000-0000-0000190B0000}"/>
    <cellStyle name="Normal 95" xfId="2621" xr:uid="{00000000-0005-0000-0000-00001A0B0000}"/>
    <cellStyle name="Normal 96" xfId="2622" xr:uid="{00000000-0005-0000-0000-00001B0B0000}"/>
    <cellStyle name="Normal 97" xfId="2623" xr:uid="{00000000-0005-0000-0000-00001C0B0000}"/>
    <cellStyle name="Normal 98" xfId="2624" xr:uid="{00000000-0005-0000-0000-00001D0B0000}"/>
    <cellStyle name="Normal 99" xfId="2625" xr:uid="{00000000-0005-0000-0000-00001E0B0000}"/>
    <cellStyle name="Normal Cells" xfId="271" xr:uid="{00000000-0005-0000-0000-00001F0B0000}"/>
    <cellStyle name="Normal+1" xfId="365" xr:uid="{00000000-0005-0000-0000-0000200B0000}"/>
    <cellStyle name="Normal2" xfId="2626" xr:uid="{00000000-0005-0000-0000-0000210B0000}"/>
    <cellStyle name="Normal2 2" xfId="2627" xr:uid="{00000000-0005-0000-0000-0000220B0000}"/>
    <cellStyle name="Normale_Bourse" xfId="2628" xr:uid="{00000000-0005-0000-0000-0000230B0000}"/>
    <cellStyle name="NormalGB" xfId="2629" xr:uid="{00000000-0005-0000-0000-0000240B0000}"/>
    <cellStyle name="NormalGB 2" xfId="2630" xr:uid="{00000000-0005-0000-0000-0000250B0000}"/>
    <cellStyle name="NormalGB_PNR working 21" xfId="2631" xr:uid="{00000000-0005-0000-0000-0000260B0000}"/>
    <cellStyle name="Note 2" xfId="2632" xr:uid="{00000000-0005-0000-0000-0000270B0000}"/>
    <cellStyle name="Note 2 2" xfId="2633" xr:uid="{00000000-0005-0000-0000-0000280B0000}"/>
    <cellStyle name="Note 2 2 2" xfId="3328" xr:uid="{00000000-0005-0000-0000-0000290B0000}"/>
    <cellStyle name="Note 2 3" xfId="3327" xr:uid="{00000000-0005-0000-0000-00002A0B0000}"/>
    <cellStyle name="Notes" xfId="475" xr:uid="{00000000-0005-0000-0000-00002B0B0000}"/>
    <cellStyle name="Number" xfId="272" xr:uid="{00000000-0005-0000-0000-00002C0B0000}"/>
    <cellStyle name="number 2" xfId="3329" xr:uid="{00000000-0005-0000-0000-00002D0B0000}"/>
    <cellStyle name="Number 3" xfId="3241" xr:uid="{00000000-0005-0000-0000-00002E0B0000}"/>
    <cellStyle name="number 4" xfId="2634" xr:uid="{00000000-0005-0000-0000-00002F0B0000}"/>
    <cellStyle name="number2" xfId="2635" xr:uid="{00000000-0005-0000-0000-0000300B0000}"/>
    <cellStyle name="Numbers" xfId="273" xr:uid="{00000000-0005-0000-0000-0000310B0000}"/>
    <cellStyle name="Numbers - Bold" xfId="274" xr:uid="{00000000-0005-0000-0000-0000320B0000}"/>
    <cellStyle name="Numbers - Bold - Italic" xfId="275" xr:uid="{00000000-0005-0000-0000-0000330B0000}"/>
    <cellStyle name="Numbers - Bold - Italic 2" xfId="3330" xr:uid="{00000000-0005-0000-0000-0000340B0000}"/>
    <cellStyle name="Numbers - Bold - Italic 3" xfId="3242" xr:uid="{00000000-0005-0000-0000-0000350B0000}"/>
    <cellStyle name="Numbers - Bold - Italic 4" xfId="2636" xr:uid="{00000000-0005-0000-0000-0000360B0000}"/>
    <cellStyle name="Numbers - Bold_Blend" xfId="276" xr:uid="{00000000-0005-0000-0000-0000370B0000}"/>
    <cellStyle name="Numbers - Large" xfId="277" xr:uid="{00000000-0005-0000-0000-0000380B0000}"/>
    <cellStyle name="Numbers_Comps" xfId="278" xr:uid="{00000000-0005-0000-0000-0000390B0000}"/>
    <cellStyle name="Original L1" xfId="2637" xr:uid="{00000000-0005-0000-0000-00003A0B0000}"/>
    <cellStyle name="Original L2" xfId="2638" xr:uid="{00000000-0005-0000-0000-00003B0B0000}"/>
    <cellStyle name="Original L3" xfId="2639" xr:uid="{00000000-0005-0000-0000-00003C0B0000}"/>
    <cellStyle name="Original Space" xfId="2640" xr:uid="{00000000-0005-0000-0000-00003D0B0000}"/>
    <cellStyle name="OSW_ColumnLabels" xfId="279" xr:uid="{00000000-0005-0000-0000-00003E0B0000}"/>
    <cellStyle name="Output 2" xfId="2641" xr:uid="{00000000-0005-0000-0000-00003F0B0000}"/>
    <cellStyle name="Output 2 2" xfId="2642" xr:uid="{00000000-0005-0000-0000-0000400B0000}"/>
    <cellStyle name="Output 2 2 2" xfId="3332" xr:uid="{00000000-0005-0000-0000-0000410B0000}"/>
    <cellStyle name="Output 2 3" xfId="3331" xr:uid="{00000000-0005-0000-0000-0000420B0000}"/>
    <cellStyle name="P/E" xfId="2643" xr:uid="{00000000-0005-0000-0000-0000430B0000}"/>
    <cellStyle name="P/E 2" xfId="2644" xr:uid="{00000000-0005-0000-0000-0000440B0000}"/>
    <cellStyle name="P/E 3" xfId="2645" xr:uid="{00000000-0005-0000-0000-0000450B0000}"/>
    <cellStyle name="Page" xfId="280" xr:uid="{00000000-0005-0000-0000-0000460B0000}"/>
    <cellStyle name="Page header" xfId="281" xr:uid="{00000000-0005-0000-0000-0000470B0000}"/>
    <cellStyle name="Page Heading Large" xfId="2647" xr:uid="{00000000-0005-0000-0000-0000480B0000}"/>
    <cellStyle name="Page Heading Small" xfId="2648" xr:uid="{00000000-0005-0000-0000-0000490B0000}"/>
    <cellStyle name="Page Number" xfId="2649" xr:uid="{00000000-0005-0000-0000-00004A0B0000}"/>
    <cellStyle name="Palatino" xfId="2650" xr:uid="{00000000-0005-0000-0000-00004B0B0000}"/>
    <cellStyle name="pe" xfId="2651" xr:uid="{00000000-0005-0000-0000-00004C0B0000}"/>
    <cellStyle name="PE Multiple" xfId="2652" xr:uid="{00000000-0005-0000-0000-00004D0B0000}"/>
    <cellStyle name="PE Multiple 2" xfId="2653" xr:uid="{00000000-0005-0000-0000-00004E0B0000}"/>
    <cellStyle name="PE Multiple 3" xfId="2654" xr:uid="{00000000-0005-0000-0000-00004F0B0000}"/>
    <cellStyle name="PE/LTGR" xfId="2655" xr:uid="{00000000-0005-0000-0000-0000500B0000}"/>
    <cellStyle name="PE/LTGR 2" xfId="2656" xr:uid="{00000000-0005-0000-0000-0000510B0000}"/>
    <cellStyle name="PEG" xfId="2657" xr:uid="{00000000-0005-0000-0000-0000520B0000}"/>
    <cellStyle name="Per aandeel" xfId="2658" xr:uid="{00000000-0005-0000-0000-0000530B0000}"/>
    <cellStyle name="Per aandeel 2" xfId="2659" xr:uid="{00000000-0005-0000-0000-0000540B0000}"/>
    <cellStyle name="Per aandeel_PNR working 21" xfId="2660" xr:uid="{00000000-0005-0000-0000-0000550B0000}"/>
    <cellStyle name="Per cent 2" xfId="3421" xr:uid="{29A73116-B726-044E-BBF8-3EC43A4FD014}"/>
    <cellStyle name="Percent" xfId="3" builtinId="5"/>
    <cellStyle name="Percent [0]" xfId="2662" xr:uid="{00000000-0005-0000-0000-0000570B0000}"/>
    <cellStyle name="Percent [00]" xfId="2663" xr:uid="{00000000-0005-0000-0000-0000580B0000}"/>
    <cellStyle name="Percent [1]" xfId="2664" xr:uid="{00000000-0005-0000-0000-0000590B0000}"/>
    <cellStyle name="Percent [1] 2" xfId="2665" xr:uid="{00000000-0005-0000-0000-00005A0B0000}"/>
    <cellStyle name="Percent [1] 3" xfId="2666" xr:uid="{00000000-0005-0000-0000-00005B0B0000}"/>
    <cellStyle name="Percent [2]" xfId="2667" xr:uid="{00000000-0005-0000-0000-00005C0B0000}"/>
    <cellStyle name="Percent [2] 2" xfId="2668" xr:uid="{00000000-0005-0000-0000-00005D0B0000}"/>
    <cellStyle name="Percent 10" xfId="2669" xr:uid="{00000000-0005-0000-0000-00005E0B0000}"/>
    <cellStyle name="Percent 100" xfId="2670" xr:uid="{00000000-0005-0000-0000-00005F0B0000}"/>
    <cellStyle name="Percent 101" xfId="2671" xr:uid="{00000000-0005-0000-0000-0000600B0000}"/>
    <cellStyle name="Percent 102" xfId="2672" xr:uid="{00000000-0005-0000-0000-0000610B0000}"/>
    <cellStyle name="Percent 103" xfId="2673" xr:uid="{00000000-0005-0000-0000-0000620B0000}"/>
    <cellStyle name="Percent 104" xfId="2674" xr:uid="{00000000-0005-0000-0000-0000630B0000}"/>
    <cellStyle name="Percent 105" xfId="2675" xr:uid="{00000000-0005-0000-0000-0000640B0000}"/>
    <cellStyle name="Percent 106" xfId="2676" xr:uid="{00000000-0005-0000-0000-0000650B0000}"/>
    <cellStyle name="Percent 107" xfId="2677" xr:uid="{00000000-0005-0000-0000-0000660B0000}"/>
    <cellStyle name="Percent 108" xfId="2678" xr:uid="{00000000-0005-0000-0000-0000670B0000}"/>
    <cellStyle name="Percent 109" xfId="3101" xr:uid="{00000000-0005-0000-0000-0000680B0000}"/>
    <cellStyle name="Percent 11" xfId="2679" xr:uid="{00000000-0005-0000-0000-0000690B0000}"/>
    <cellStyle name="Percent 110" xfId="3160" xr:uid="{00000000-0005-0000-0000-00006A0B0000}"/>
    <cellStyle name="Percent 111" xfId="3173" xr:uid="{00000000-0005-0000-0000-00006B0B0000}"/>
    <cellStyle name="Percent 111 2" xfId="3349" xr:uid="{00000000-0005-0000-0000-00006C0B0000}"/>
    <cellStyle name="Percent 112" xfId="3176" xr:uid="{00000000-0005-0000-0000-00006D0B0000}"/>
    <cellStyle name="Percent 113" xfId="3211" xr:uid="{00000000-0005-0000-0000-00006E0B0000}"/>
    <cellStyle name="Percent 114" xfId="3215" xr:uid="{00000000-0005-0000-0000-00006F0B0000}"/>
    <cellStyle name="Percent 115" xfId="3219" xr:uid="{00000000-0005-0000-0000-0000700B0000}"/>
    <cellStyle name="Percent 116" xfId="2661" xr:uid="{00000000-0005-0000-0000-0000710B0000}"/>
    <cellStyle name="Percent 117" xfId="3274" xr:uid="{00000000-0005-0000-0000-0000720B0000}"/>
    <cellStyle name="Percent 118" xfId="3155" xr:uid="{00000000-0005-0000-0000-0000730B0000}"/>
    <cellStyle name="Percent 119" xfId="404" xr:uid="{00000000-0005-0000-0000-0000740B0000}"/>
    <cellStyle name="Percent 12" xfId="2680" xr:uid="{00000000-0005-0000-0000-0000750B0000}"/>
    <cellStyle name="Percent 120" xfId="3383" xr:uid="{00000000-0005-0000-0000-0000760B0000}"/>
    <cellStyle name="Percent 13" xfId="2681" xr:uid="{00000000-0005-0000-0000-0000770B0000}"/>
    <cellStyle name="Percent 14" xfId="2682" xr:uid="{00000000-0005-0000-0000-0000780B0000}"/>
    <cellStyle name="Percent 15" xfId="2683" xr:uid="{00000000-0005-0000-0000-0000790B0000}"/>
    <cellStyle name="Percent 16" xfId="2684" xr:uid="{00000000-0005-0000-0000-00007A0B0000}"/>
    <cellStyle name="Percent 17" xfId="2685" xr:uid="{00000000-0005-0000-0000-00007B0B0000}"/>
    <cellStyle name="Percent 18" xfId="2686" xr:uid="{00000000-0005-0000-0000-00007C0B0000}"/>
    <cellStyle name="Percent 19" xfId="2687" xr:uid="{00000000-0005-0000-0000-00007D0B0000}"/>
    <cellStyle name="Percent 2" xfId="330" xr:uid="{00000000-0005-0000-0000-00007E0B0000}"/>
    <cellStyle name="Percent 2 2" xfId="350" xr:uid="{00000000-0005-0000-0000-00007F0B0000}"/>
    <cellStyle name="Percent 2 2 2" xfId="476" xr:uid="{00000000-0005-0000-0000-0000800B0000}"/>
    <cellStyle name="Percent 2 3" xfId="3104" xr:uid="{00000000-0005-0000-0000-0000810B0000}"/>
    <cellStyle name="Percent 2 4" xfId="2850" xr:uid="{00000000-0005-0000-0000-0000820B0000}"/>
    <cellStyle name="Percent 2 5" xfId="407" xr:uid="{00000000-0005-0000-0000-0000830B0000}"/>
    <cellStyle name="Percent 20" xfId="2688" xr:uid="{00000000-0005-0000-0000-0000840B0000}"/>
    <cellStyle name="Percent 21" xfId="2689" xr:uid="{00000000-0005-0000-0000-0000850B0000}"/>
    <cellStyle name="Percent 22" xfId="2690" xr:uid="{00000000-0005-0000-0000-0000860B0000}"/>
    <cellStyle name="Percent 23" xfId="2691" xr:uid="{00000000-0005-0000-0000-0000870B0000}"/>
    <cellStyle name="Percent 24" xfId="2692" xr:uid="{00000000-0005-0000-0000-0000880B0000}"/>
    <cellStyle name="Percent 25" xfId="2693" xr:uid="{00000000-0005-0000-0000-0000890B0000}"/>
    <cellStyle name="Percent 26" xfId="2694" xr:uid="{00000000-0005-0000-0000-00008A0B0000}"/>
    <cellStyle name="Percent 27" xfId="2695" xr:uid="{00000000-0005-0000-0000-00008B0B0000}"/>
    <cellStyle name="Percent 28" xfId="2696" xr:uid="{00000000-0005-0000-0000-00008C0B0000}"/>
    <cellStyle name="Percent 29" xfId="2697" xr:uid="{00000000-0005-0000-0000-00008D0B0000}"/>
    <cellStyle name="Percent 3" xfId="352" xr:uid="{00000000-0005-0000-0000-00008E0B0000}"/>
    <cellStyle name="Percent 3 2" xfId="369" xr:uid="{00000000-0005-0000-0000-00008F0B0000}"/>
    <cellStyle name="Percent 3 2 2" xfId="2699" xr:uid="{00000000-0005-0000-0000-0000900B0000}"/>
    <cellStyle name="Percent 3 3" xfId="3152" xr:uid="{00000000-0005-0000-0000-0000910B0000}"/>
    <cellStyle name="Percent 3 4" xfId="2698" xr:uid="{00000000-0005-0000-0000-0000920B0000}"/>
    <cellStyle name="Percent 3 5" xfId="477" xr:uid="{00000000-0005-0000-0000-0000930B0000}"/>
    <cellStyle name="Percent 30" xfId="2700" xr:uid="{00000000-0005-0000-0000-0000940B0000}"/>
    <cellStyle name="Percent 31" xfId="2701" xr:uid="{00000000-0005-0000-0000-0000950B0000}"/>
    <cellStyle name="Percent 32" xfId="2702" xr:uid="{00000000-0005-0000-0000-0000960B0000}"/>
    <cellStyle name="Percent 33" xfId="2703" xr:uid="{00000000-0005-0000-0000-0000970B0000}"/>
    <cellStyle name="Percent 34" xfId="2704" xr:uid="{00000000-0005-0000-0000-0000980B0000}"/>
    <cellStyle name="Percent 35" xfId="2705" xr:uid="{00000000-0005-0000-0000-0000990B0000}"/>
    <cellStyle name="Percent 36" xfId="2706" xr:uid="{00000000-0005-0000-0000-00009A0B0000}"/>
    <cellStyle name="Percent 37" xfId="2707" xr:uid="{00000000-0005-0000-0000-00009B0B0000}"/>
    <cellStyle name="Percent 38" xfId="2708" xr:uid="{00000000-0005-0000-0000-00009C0B0000}"/>
    <cellStyle name="Percent 39" xfId="2709" xr:uid="{00000000-0005-0000-0000-00009D0B0000}"/>
    <cellStyle name="Percent 4" xfId="374" xr:uid="{00000000-0005-0000-0000-00009E0B0000}"/>
    <cellStyle name="Percent 4 2" xfId="478" xr:uid="{00000000-0005-0000-0000-00009F0B0000}"/>
    <cellStyle name="Percent 40" xfId="2710" xr:uid="{00000000-0005-0000-0000-0000A00B0000}"/>
    <cellStyle name="Percent 41" xfId="2711" xr:uid="{00000000-0005-0000-0000-0000A10B0000}"/>
    <cellStyle name="Percent 42" xfId="2712" xr:uid="{00000000-0005-0000-0000-0000A20B0000}"/>
    <cellStyle name="Percent 43" xfId="2713" xr:uid="{00000000-0005-0000-0000-0000A30B0000}"/>
    <cellStyle name="Percent 44" xfId="2714" xr:uid="{00000000-0005-0000-0000-0000A40B0000}"/>
    <cellStyle name="Percent 45" xfId="2715" xr:uid="{00000000-0005-0000-0000-0000A50B0000}"/>
    <cellStyle name="Percent 46" xfId="2716" xr:uid="{00000000-0005-0000-0000-0000A60B0000}"/>
    <cellStyle name="Percent 47" xfId="2717" xr:uid="{00000000-0005-0000-0000-0000A70B0000}"/>
    <cellStyle name="Percent 47 2" xfId="2718" xr:uid="{00000000-0005-0000-0000-0000A80B0000}"/>
    <cellStyle name="Percent 48" xfId="2719" xr:uid="{00000000-0005-0000-0000-0000A90B0000}"/>
    <cellStyle name="Percent 49" xfId="2720" xr:uid="{00000000-0005-0000-0000-0000AA0B0000}"/>
    <cellStyle name="Percent 5" xfId="327" xr:uid="{00000000-0005-0000-0000-0000AB0B0000}"/>
    <cellStyle name="Percent 5 2" xfId="2721" xr:uid="{00000000-0005-0000-0000-0000AC0B0000}"/>
    <cellStyle name="Percent 50" xfId="2722" xr:uid="{00000000-0005-0000-0000-0000AD0B0000}"/>
    <cellStyle name="Percent 51" xfId="2723" xr:uid="{00000000-0005-0000-0000-0000AE0B0000}"/>
    <cellStyle name="Percent 52" xfId="2724" xr:uid="{00000000-0005-0000-0000-0000AF0B0000}"/>
    <cellStyle name="Percent 53" xfId="2725" xr:uid="{00000000-0005-0000-0000-0000B00B0000}"/>
    <cellStyle name="Percent 54" xfId="2726" xr:uid="{00000000-0005-0000-0000-0000B10B0000}"/>
    <cellStyle name="Percent 55" xfId="2727" xr:uid="{00000000-0005-0000-0000-0000B20B0000}"/>
    <cellStyle name="Percent 56" xfId="2728" xr:uid="{00000000-0005-0000-0000-0000B30B0000}"/>
    <cellStyle name="Percent 57" xfId="2729" xr:uid="{00000000-0005-0000-0000-0000B40B0000}"/>
    <cellStyle name="Percent 58" xfId="2730" xr:uid="{00000000-0005-0000-0000-0000B50B0000}"/>
    <cellStyle name="Percent 59" xfId="2731" xr:uid="{00000000-0005-0000-0000-0000B60B0000}"/>
    <cellStyle name="Percent 6" xfId="322" xr:uid="{00000000-0005-0000-0000-0000B70B0000}"/>
    <cellStyle name="Percent 6 2" xfId="2732" xr:uid="{00000000-0005-0000-0000-0000B80B0000}"/>
    <cellStyle name="Percent 60" xfId="2733" xr:uid="{00000000-0005-0000-0000-0000B90B0000}"/>
    <cellStyle name="Percent 61" xfId="2734" xr:uid="{00000000-0005-0000-0000-0000BA0B0000}"/>
    <cellStyle name="Percent 62" xfId="2735" xr:uid="{00000000-0005-0000-0000-0000BB0B0000}"/>
    <cellStyle name="Percent 63" xfId="2736" xr:uid="{00000000-0005-0000-0000-0000BC0B0000}"/>
    <cellStyle name="Percent 64" xfId="2737" xr:uid="{00000000-0005-0000-0000-0000BD0B0000}"/>
    <cellStyle name="Percent 65" xfId="2738" xr:uid="{00000000-0005-0000-0000-0000BE0B0000}"/>
    <cellStyle name="Percent 66" xfId="2739" xr:uid="{00000000-0005-0000-0000-0000BF0B0000}"/>
    <cellStyle name="Percent 67" xfId="2740" xr:uid="{00000000-0005-0000-0000-0000C00B0000}"/>
    <cellStyle name="Percent 68" xfId="2741" xr:uid="{00000000-0005-0000-0000-0000C10B0000}"/>
    <cellStyle name="Percent 69" xfId="2742" xr:uid="{00000000-0005-0000-0000-0000C20B0000}"/>
    <cellStyle name="Percent 7" xfId="387" xr:uid="{00000000-0005-0000-0000-0000C30B0000}"/>
    <cellStyle name="Percent 7 2" xfId="2743" xr:uid="{00000000-0005-0000-0000-0000C40B0000}"/>
    <cellStyle name="Percent 70" xfId="2744" xr:uid="{00000000-0005-0000-0000-0000C50B0000}"/>
    <cellStyle name="Percent 71" xfId="2745" xr:uid="{00000000-0005-0000-0000-0000C60B0000}"/>
    <cellStyle name="Percent 72" xfId="2746" xr:uid="{00000000-0005-0000-0000-0000C70B0000}"/>
    <cellStyle name="Percent 73" xfId="2747" xr:uid="{00000000-0005-0000-0000-0000C80B0000}"/>
    <cellStyle name="Percent 74" xfId="2748" xr:uid="{00000000-0005-0000-0000-0000C90B0000}"/>
    <cellStyle name="Percent 75" xfId="2749" xr:uid="{00000000-0005-0000-0000-0000CA0B0000}"/>
    <cellStyle name="Percent 76" xfId="2750" xr:uid="{00000000-0005-0000-0000-0000CB0B0000}"/>
    <cellStyle name="Percent 77" xfId="2751" xr:uid="{00000000-0005-0000-0000-0000CC0B0000}"/>
    <cellStyle name="Percent 78" xfId="2752" xr:uid="{00000000-0005-0000-0000-0000CD0B0000}"/>
    <cellStyle name="Percent 79" xfId="2753" xr:uid="{00000000-0005-0000-0000-0000CE0B0000}"/>
    <cellStyle name="Percent 8" xfId="2754" xr:uid="{00000000-0005-0000-0000-0000CF0B0000}"/>
    <cellStyle name="Percent 80" xfId="2755" xr:uid="{00000000-0005-0000-0000-0000D00B0000}"/>
    <cellStyle name="Percent 81" xfId="2756" xr:uid="{00000000-0005-0000-0000-0000D10B0000}"/>
    <cellStyle name="Percent 82" xfId="2757" xr:uid="{00000000-0005-0000-0000-0000D20B0000}"/>
    <cellStyle name="Percent 83" xfId="2758" xr:uid="{00000000-0005-0000-0000-0000D30B0000}"/>
    <cellStyle name="Percent 84" xfId="2759" xr:uid="{00000000-0005-0000-0000-0000D40B0000}"/>
    <cellStyle name="Percent 85" xfId="2760" xr:uid="{00000000-0005-0000-0000-0000D50B0000}"/>
    <cellStyle name="Percent 86" xfId="2761" xr:uid="{00000000-0005-0000-0000-0000D60B0000}"/>
    <cellStyle name="Percent 87" xfId="2762" xr:uid="{00000000-0005-0000-0000-0000D70B0000}"/>
    <cellStyle name="Percent 88" xfId="2763" xr:uid="{00000000-0005-0000-0000-0000D80B0000}"/>
    <cellStyle name="Percent 89" xfId="2764" xr:uid="{00000000-0005-0000-0000-0000D90B0000}"/>
    <cellStyle name="Percent 9" xfId="2765" xr:uid="{00000000-0005-0000-0000-0000DA0B0000}"/>
    <cellStyle name="Percent 90" xfId="2766" xr:uid="{00000000-0005-0000-0000-0000DB0B0000}"/>
    <cellStyle name="Percent 91" xfId="2767" xr:uid="{00000000-0005-0000-0000-0000DC0B0000}"/>
    <cellStyle name="Percent 92" xfId="2768" xr:uid="{00000000-0005-0000-0000-0000DD0B0000}"/>
    <cellStyle name="Percent 93" xfId="2769" xr:uid="{00000000-0005-0000-0000-0000DE0B0000}"/>
    <cellStyle name="Percent 94" xfId="2770" xr:uid="{00000000-0005-0000-0000-0000DF0B0000}"/>
    <cellStyle name="Percent 95" xfId="2771" xr:uid="{00000000-0005-0000-0000-0000E00B0000}"/>
    <cellStyle name="Percent 96" xfId="2772" xr:uid="{00000000-0005-0000-0000-0000E10B0000}"/>
    <cellStyle name="Percent 97" xfId="2773" xr:uid="{00000000-0005-0000-0000-0000E20B0000}"/>
    <cellStyle name="Percent 98" xfId="2774" xr:uid="{00000000-0005-0000-0000-0000E30B0000}"/>
    <cellStyle name="Percent 99" xfId="2775" xr:uid="{00000000-0005-0000-0000-0000E40B0000}"/>
    <cellStyle name="Percent Hard" xfId="2776" xr:uid="{00000000-0005-0000-0000-0000E50B0000}"/>
    <cellStyle name="Percent Hard 2" xfId="2777" xr:uid="{00000000-0005-0000-0000-0000E60B0000}"/>
    <cellStyle name="Percent(1)" xfId="2778" xr:uid="{00000000-0005-0000-0000-0000E70B0000}"/>
    <cellStyle name="Percent(1) 2" xfId="2779" xr:uid="{00000000-0005-0000-0000-0000E80B0000}"/>
    <cellStyle name="Percent(1) 2 2" xfId="2780" xr:uid="{00000000-0005-0000-0000-0000E90B0000}"/>
    <cellStyle name="Percent(1) 3" xfId="2781" xr:uid="{00000000-0005-0000-0000-0000EA0B0000}"/>
    <cellStyle name="Percent(3)" xfId="2782" xr:uid="{00000000-0005-0000-0000-0000EB0B0000}"/>
    <cellStyle name="Percent(3) 2" xfId="2783" xr:uid="{00000000-0005-0000-0000-0000EC0B0000}"/>
    <cellStyle name="Percent1" xfId="2784" xr:uid="{00000000-0005-0000-0000-0000ED0B0000}"/>
    <cellStyle name="Percent1 2" xfId="2785" xr:uid="{00000000-0005-0000-0000-0000EE0B0000}"/>
    <cellStyle name="percent3" xfId="2786" xr:uid="{00000000-0005-0000-0000-0000EF0B0000}"/>
    <cellStyle name="percent3 2" xfId="2787" xr:uid="{00000000-0005-0000-0000-0000F00B0000}"/>
    <cellStyle name="Percentage" xfId="282" xr:uid="{00000000-0005-0000-0000-0000F10B0000}"/>
    <cellStyle name="Percentage 2" xfId="3333" xr:uid="{00000000-0005-0000-0000-0000F20B0000}"/>
    <cellStyle name="Percentage 3" xfId="3243" xr:uid="{00000000-0005-0000-0000-0000F30B0000}"/>
    <cellStyle name="Percentage 4" xfId="2788" xr:uid="{00000000-0005-0000-0000-0000F40B0000}"/>
    <cellStyle name="PercentPresentation" xfId="2789" xr:uid="{00000000-0005-0000-0000-0000F50B0000}"/>
    <cellStyle name="PercentPresentation 2" xfId="2790" xr:uid="{00000000-0005-0000-0000-0000F60B0000}"/>
    <cellStyle name="PercentPresentation 3" xfId="2791" xr:uid="{00000000-0005-0000-0000-0000F70B0000}"/>
    <cellStyle name="PerShare" xfId="2792" xr:uid="{00000000-0005-0000-0000-0000F80B0000}"/>
    <cellStyle name="PerShare 2" xfId="2793" xr:uid="{00000000-0005-0000-0000-0000F90B0000}"/>
    <cellStyle name="POPS" xfId="2794" xr:uid="{00000000-0005-0000-0000-0000FA0B0000}"/>
    <cellStyle name="POPS 2" xfId="2795" xr:uid="{00000000-0005-0000-0000-0000FB0B0000}"/>
    <cellStyle name="POPS 3" xfId="2796" xr:uid="{00000000-0005-0000-0000-0000FC0B0000}"/>
    <cellStyle name="pound" xfId="2797" xr:uid="{00000000-0005-0000-0000-0000FD0B0000}"/>
    <cellStyle name="pound 2" xfId="2798" xr:uid="{00000000-0005-0000-0000-0000FE0B0000}"/>
    <cellStyle name="pound 3" xfId="2799" xr:uid="{00000000-0005-0000-0000-0000FF0B0000}"/>
    <cellStyle name="pound_PNR working 21" xfId="2800" xr:uid="{00000000-0005-0000-0000-0000000C0000}"/>
    <cellStyle name="Ppefce" xfId="2801" xr:uid="{00000000-0005-0000-0000-0000010C0000}"/>
    <cellStyle name="PrePop Currency (0)" xfId="2802" xr:uid="{00000000-0005-0000-0000-0000020C0000}"/>
    <cellStyle name="PrePop Currency (2)" xfId="2803" xr:uid="{00000000-0005-0000-0000-0000030C0000}"/>
    <cellStyle name="PrePop Units (0)" xfId="2804" xr:uid="{00000000-0005-0000-0000-0000040C0000}"/>
    <cellStyle name="PrePop Units (1)" xfId="2805" xr:uid="{00000000-0005-0000-0000-0000050C0000}"/>
    <cellStyle name="PrePop Units (2)" xfId="2806" xr:uid="{00000000-0005-0000-0000-0000060C0000}"/>
    <cellStyle name="Presentation" xfId="2807" xr:uid="{00000000-0005-0000-0000-0000070C0000}"/>
    <cellStyle name="Presentation 2" xfId="2808" xr:uid="{00000000-0005-0000-0000-0000080C0000}"/>
    <cellStyle name="Presentation 3" xfId="2809" xr:uid="{00000000-0005-0000-0000-0000090C0000}"/>
    <cellStyle name="Presentation_PNR working 21" xfId="2810" xr:uid="{00000000-0005-0000-0000-00000A0C0000}"/>
    <cellStyle name="PresentationZero" xfId="2811" xr:uid="{00000000-0005-0000-0000-00000B0C0000}"/>
    <cellStyle name="PresentationZero 2" xfId="2812" xr:uid="{00000000-0005-0000-0000-00000C0C0000}"/>
    <cellStyle name="Price" xfId="283" xr:uid="{00000000-0005-0000-0000-00000D0C0000}"/>
    <cellStyle name="Price 2" xfId="3272" xr:uid="{00000000-0005-0000-0000-00000E0C0000}"/>
    <cellStyle name="Price 3" xfId="3244" xr:uid="{00000000-0005-0000-0000-00000F0C0000}"/>
    <cellStyle name="Price 4" xfId="479" xr:uid="{00000000-0005-0000-0000-0000100C0000}"/>
    <cellStyle name="PriceDecimal" xfId="2813" xr:uid="{00000000-0005-0000-0000-0000110C0000}"/>
    <cellStyle name="Procenten" xfId="2814" xr:uid="{00000000-0005-0000-0000-0000120C0000}"/>
    <cellStyle name="Procenten 2" xfId="2815" xr:uid="{00000000-0005-0000-0000-0000130C0000}"/>
    <cellStyle name="Procenten estimate" xfId="2816" xr:uid="{00000000-0005-0000-0000-0000140C0000}"/>
    <cellStyle name="Procenten estimate 2" xfId="2817" xr:uid="{00000000-0005-0000-0000-0000150C0000}"/>
    <cellStyle name="Procenten estimate_PNR working 21" xfId="2818" xr:uid="{00000000-0005-0000-0000-0000160C0000}"/>
    <cellStyle name="Procenten_EMI" xfId="2819" xr:uid="{00000000-0005-0000-0000-0000170C0000}"/>
    <cellStyle name="prot" xfId="284" xr:uid="{00000000-0005-0000-0000-0000180C0000}"/>
    <cellStyle name="PSChar" xfId="2820" xr:uid="{00000000-0005-0000-0000-0000190C0000}"/>
    <cellStyle name="PSDate" xfId="2821" xr:uid="{00000000-0005-0000-0000-00001A0C0000}"/>
    <cellStyle name="PSDec" xfId="2822" xr:uid="{00000000-0005-0000-0000-00001B0C0000}"/>
    <cellStyle name="PSHeading" xfId="2823" xr:uid="{00000000-0005-0000-0000-00001C0C0000}"/>
    <cellStyle name="PSInt" xfId="2824" xr:uid="{00000000-0005-0000-0000-00001D0C0000}"/>
    <cellStyle name="PSSpacer" xfId="2825" xr:uid="{00000000-0005-0000-0000-00001E0C0000}"/>
    <cellStyle name="Public Market Value of Selected Real Estate Companies" xfId="2826" xr:uid="{00000000-0005-0000-0000-00001F0C0000}"/>
    <cellStyle name="Punto" xfId="285" xr:uid="{00000000-0005-0000-0000-0000200C0000}"/>
    <cellStyle name="q" xfId="2827" xr:uid="{00000000-0005-0000-0000-0000210C0000}"/>
    <cellStyle name="QEPS-h" xfId="2828" xr:uid="{00000000-0005-0000-0000-0000220C0000}"/>
    <cellStyle name="QEPS-H1" xfId="2829" xr:uid="{00000000-0005-0000-0000-0000230C0000}"/>
    <cellStyle name="QEPS-H1 2" xfId="2830" xr:uid="{00000000-0005-0000-0000-0000240C0000}"/>
    <cellStyle name="qRange" xfId="2831" xr:uid="{00000000-0005-0000-0000-0000250C0000}"/>
    <cellStyle name="r" xfId="286" xr:uid="{00000000-0005-0000-0000-0000260C0000}"/>
    <cellStyle name="r 2" xfId="3334" xr:uid="{00000000-0005-0000-0000-0000270C0000}"/>
    <cellStyle name="r 3" xfId="3245" xr:uid="{00000000-0005-0000-0000-0000280C0000}"/>
    <cellStyle name="r 4" xfId="2832" xr:uid="{00000000-0005-0000-0000-0000290C0000}"/>
    <cellStyle name="r_newmrgr" xfId="2833" xr:uid="{00000000-0005-0000-0000-00002A0C0000}"/>
    <cellStyle name="r_pldt" xfId="2834" xr:uid="{00000000-0005-0000-0000-00002B0C0000}"/>
    <cellStyle name="range" xfId="2835" xr:uid="{00000000-0005-0000-0000-00002C0C0000}"/>
    <cellStyle name="red" xfId="2836" xr:uid="{00000000-0005-0000-0000-00002D0C0000}"/>
    <cellStyle name="Report" xfId="2837" xr:uid="{00000000-0005-0000-0000-00002E0C0000}"/>
    <cellStyle name="Report 2" xfId="2838" xr:uid="{00000000-0005-0000-0000-00002F0C0000}"/>
    <cellStyle name="Report 3" xfId="2839" xr:uid="{00000000-0005-0000-0000-0000300C0000}"/>
    <cellStyle name="results" xfId="2840" xr:uid="{00000000-0005-0000-0000-0000310C0000}"/>
    <cellStyle name="results 2" xfId="2841" xr:uid="{00000000-0005-0000-0000-0000320C0000}"/>
    <cellStyle name="results_PNR working 21" xfId="2842" xr:uid="{00000000-0005-0000-0000-0000330C0000}"/>
    <cellStyle name="Reuters Cells" xfId="287" xr:uid="{00000000-0005-0000-0000-0000340C0000}"/>
    <cellStyle name="Reuters Cells 2" xfId="2843" xr:uid="{00000000-0005-0000-0000-0000350C0000}"/>
    <cellStyle name="RevList" xfId="2844" xr:uid="{00000000-0005-0000-0000-0000360C0000}"/>
    <cellStyle name="Right" xfId="2845" xr:uid="{00000000-0005-0000-0000-0000370C0000}"/>
    <cellStyle name="s" xfId="288" xr:uid="{00000000-0005-0000-0000-0000380C0000}"/>
    <cellStyle name="Salomon Logo" xfId="2846" xr:uid="{00000000-0005-0000-0000-0000390C0000}"/>
    <cellStyle name="Shade" xfId="2847" xr:uid="{00000000-0005-0000-0000-00003A0C0000}"/>
    <cellStyle name="Shade 2" xfId="2848" xr:uid="{00000000-0005-0000-0000-00003B0C0000}"/>
    <cellStyle name="Shaded" xfId="2849" xr:uid="{00000000-0005-0000-0000-00003C0C0000}"/>
    <cellStyle name="ShadedCells_Database" xfId="289" xr:uid="{00000000-0005-0000-0000-00003D0C0000}"/>
    <cellStyle name="Share" xfId="2851" xr:uid="{00000000-0005-0000-0000-00003E0C0000}"/>
    <cellStyle name="Share 2" xfId="2852" xr:uid="{00000000-0005-0000-0000-00003F0C0000}"/>
    <cellStyle name="Share 2 2" xfId="2853" xr:uid="{00000000-0005-0000-0000-0000400C0000}"/>
    <cellStyle name="Share 3" xfId="2854" xr:uid="{00000000-0005-0000-0000-0000410C0000}"/>
    <cellStyle name="Share 3 2" xfId="2855" xr:uid="{00000000-0005-0000-0000-0000420C0000}"/>
    <cellStyle name="Share 4" xfId="2856" xr:uid="{00000000-0005-0000-0000-0000430C0000}"/>
    <cellStyle name="Shares" xfId="2857" xr:uid="{00000000-0005-0000-0000-0000440C0000}"/>
    <cellStyle name="Shares 2" xfId="2858" xr:uid="{00000000-0005-0000-0000-0000450C0000}"/>
    <cellStyle name="Shares 3" xfId="2859" xr:uid="{00000000-0005-0000-0000-0000460C0000}"/>
    <cellStyle name="Shares_PNR working 21" xfId="2860" xr:uid="{00000000-0005-0000-0000-0000470C0000}"/>
    <cellStyle name="Sheet Title" xfId="290" xr:uid="{00000000-0005-0000-0000-0000480C0000}"/>
    <cellStyle name="ShOut" xfId="291" xr:uid="{00000000-0005-0000-0000-0000490C0000}"/>
    <cellStyle name="Source" xfId="2861" xr:uid="{00000000-0005-0000-0000-00004A0C0000}"/>
    <cellStyle name="Space" xfId="2862" xr:uid="{00000000-0005-0000-0000-00004B0C0000}"/>
    <cellStyle name="SS1000" xfId="2863" xr:uid="{00000000-0005-0000-0000-00004C0C0000}"/>
    <cellStyle name="SS1000 2" xfId="2864" xr:uid="{00000000-0005-0000-0000-00004D0C0000}"/>
    <cellStyle name="Standard" xfId="2865" xr:uid="{00000000-0005-0000-0000-00004E0C0000}"/>
    <cellStyle name="Stock price" xfId="2866" xr:uid="{00000000-0005-0000-0000-00004F0C0000}"/>
    <cellStyle name="Stock price 2" xfId="2867" xr:uid="{00000000-0005-0000-0000-0000500C0000}"/>
    <cellStyle name="Stock price 3" xfId="2868" xr:uid="{00000000-0005-0000-0000-0000510C0000}"/>
    <cellStyle name="Stock price_PNR working 21" xfId="2869" xr:uid="{00000000-0005-0000-0000-0000520C0000}"/>
    <cellStyle name="StockPrice" xfId="2870" xr:uid="{00000000-0005-0000-0000-0000530C0000}"/>
    <cellStyle name="Style 1" xfId="292" xr:uid="{00000000-0005-0000-0000-0000540C0000}"/>
    <cellStyle name="Style 1 2" xfId="2871" xr:uid="{00000000-0005-0000-0000-0000550C0000}"/>
    <cellStyle name="Style 2" xfId="293" xr:uid="{00000000-0005-0000-0000-0000560C0000}"/>
    <cellStyle name="Style 2 2" xfId="2872" xr:uid="{00000000-0005-0000-0000-0000570C0000}"/>
    <cellStyle name="Style 21" xfId="2873" xr:uid="{00000000-0005-0000-0000-0000580C0000}"/>
    <cellStyle name="Style 22" xfId="2874" xr:uid="{00000000-0005-0000-0000-0000590C0000}"/>
    <cellStyle name="Style 23" xfId="2875" xr:uid="{00000000-0005-0000-0000-00005A0C0000}"/>
    <cellStyle name="Style 24" xfId="2876" xr:uid="{00000000-0005-0000-0000-00005B0C0000}"/>
    <cellStyle name="Style 25" xfId="2877" xr:uid="{00000000-0005-0000-0000-00005C0C0000}"/>
    <cellStyle name="Style 26" xfId="2878" xr:uid="{00000000-0005-0000-0000-00005D0C0000}"/>
    <cellStyle name="Style 27" xfId="2879" xr:uid="{00000000-0005-0000-0000-00005E0C0000}"/>
    <cellStyle name="Style 28" xfId="2880" xr:uid="{00000000-0005-0000-0000-00005F0C0000}"/>
    <cellStyle name="Style 29" xfId="2881" xr:uid="{00000000-0005-0000-0000-0000600C0000}"/>
    <cellStyle name="Style 3" xfId="294" xr:uid="{00000000-0005-0000-0000-0000610C0000}"/>
    <cellStyle name="Style 3 2" xfId="2882" xr:uid="{00000000-0005-0000-0000-0000620C0000}"/>
    <cellStyle name="Style 30" xfId="2883" xr:uid="{00000000-0005-0000-0000-0000630C0000}"/>
    <cellStyle name="Style 31" xfId="2884" xr:uid="{00000000-0005-0000-0000-0000640C0000}"/>
    <cellStyle name="Style 32" xfId="2885" xr:uid="{00000000-0005-0000-0000-0000650C0000}"/>
    <cellStyle name="Style 33" xfId="2886" xr:uid="{00000000-0005-0000-0000-0000660C0000}"/>
    <cellStyle name="Style 34" xfId="2887" xr:uid="{00000000-0005-0000-0000-0000670C0000}"/>
    <cellStyle name="Style 35" xfId="2888" xr:uid="{00000000-0005-0000-0000-0000680C0000}"/>
    <cellStyle name="Style 36" xfId="2889" xr:uid="{00000000-0005-0000-0000-0000690C0000}"/>
    <cellStyle name="Style 37" xfId="2890" xr:uid="{00000000-0005-0000-0000-00006A0C0000}"/>
    <cellStyle name="Style 4" xfId="2891" xr:uid="{00000000-0005-0000-0000-00006B0C0000}"/>
    <cellStyle name="Style 4 2" xfId="2892" xr:uid="{00000000-0005-0000-0000-00006C0C0000}"/>
    <cellStyle name="Style 5" xfId="2893" xr:uid="{00000000-0005-0000-0000-00006D0C0000}"/>
    <cellStyle name="Style 5 2" xfId="2894" xr:uid="{00000000-0005-0000-0000-00006E0C0000}"/>
    <cellStyle name="Style 6" xfId="2895" xr:uid="{00000000-0005-0000-0000-00006F0C0000}"/>
    <cellStyle name="Style 6 2" xfId="2896" xr:uid="{00000000-0005-0000-0000-0000700C0000}"/>
    <cellStyle name="Style 7" xfId="2897" xr:uid="{00000000-0005-0000-0000-0000710C0000}"/>
    <cellStyle name="Style 7 2" xfId="2898" xr:uid="{00000000-0005-0000-0000-0000720C0000}"/>
    <cellStyle name="Style 8" xfId="2899" xr:uid="{00000000-0005-0000-0000-0000730C0000}"/>
    <cellStyle name="Style 8 2" xfId="2900" xr:uid="{00000000-0005-0000-0000-0000740C0000}"/>
    <cellStyle name="Style 9" xfId="2901" xr:uid="{00000000-0005-0000-0000-0000750C0000}"/>
    <cellStyle name="Style 9 2" xfId="2902" xr:uid="{00000000-0005-0000-0000-0000760C0000}"/>
    <cellStyle name="Style D green" xfId="295" xr:uid="{00000000-0005-0000-0000-0000770C0000}"/>
    <cellStyle name="Style D green 2" xfId="481" xr:uid="{00000000-0005-0000-0000-0000780C0000}"/>
    <cellStyle name="Style D green 2 2" xfId="3154" xr:uid="{00000000-0005-0000-0000-0000790C0000}"/>
    <cellStyle name="Style D green 2 3" xfId="2904" xr:uid="{00000000-0005-0000-0000-00007A0C0000}"/>
    <cellStyle name="Style D green 3" xfId="482" xr:uid="{00000000-0005-0000-0000-00007B0C0000}"/>
    <cellStyle name="Style D green 4" xfId="483" xr:uid="{00000000-0005-0000-0000-00007C0C0000}"/>
    <cellStyle name="Style D green 5" xfId="3153" xr:uid="{00000000-0005-0000-0000-00007D0C0000}"/>
    <cellStyle name="Style D green 6" xfId="2903" xr:uid="{00000000-0005-0000-0000-00007E0C0000}"/>
    <cellStyle name="Style D green 7" xfId="480" xr:uid="{00000000-0005-0000-0000-00007F0C0000}"/>
    <cellStyle name="Style E" xfId="296" xr:uid="{00000000-0005-0000-0000-0000800C0000}"/>
    <cellStyle name="Style H" xfId="297" xr:uid="{00000000-0005-0000-0000-0000810C0000}"/>
    <cellStyle name="Sub total" xfId="298" xr:uid="{00000000-0005-0000-0000-0000820C0000}"/>
    <cellStyle name="Sub total 2" xfId="2908" xr:uid="{00000000-0005-0000-0000-0000830C0000}"/>
    <cellStyle name="Sub total 2 2" xfId="3335" xr:uid="{00000000-0005-0000-0000-0000840C0000}"/>
    <cellStyle name="Sub total 3" xfId="3158" xr:uid="{00000000-0005-0000-0000-0000850C0000}"/>
    <cellStyle name="SubDollar" xfId="2909" xr:uid="{00000000-0005-0000-0000-0000860C0000}"/>
    <cellStyle name="SubGrowth" xfId="2910" xr:uid="{00000000-0005-0000-0000-0000870C0000}"/>
    <cellStyle name="SubGrowthRate" xfId="2911" xr:uid="{00000000-0005-0000-0000-0000880C0000}"/>
    <cellStyle name="SubMargins" xfId="2912" xr:uid="{00000000-0005-0000-0000-0000890C0000}"/>
    <cellStyle name="SubPenetration" xfId="2913" xr:uid="{00000000-0005-0000-0000-00008A0C0000}"/>
    <cellStyle name="Subscribers" xfId="2914" xr:uid="{00000000-0005-0000-0000-00008B0C0000}"/>
    <cellStyle name="Subtotal" xfId="2915" xr:uid="{00000000-0005-0000-0000-00008C0C0000}"/>
    <cellStyle name="Subtotal 2" xfId="2916" xr:uid="{00000000-0005-0000-0000-00008D0C0000}"/>
    <cellStyle name="SubVariable" xfId="2917" xr:uid="{00000000-0005-0000-0000-00008E0C0000}"/>
    <cellStyle name="Sum" xfId="299" xr:uid="{00000000-0005-0000-0000-00008F0C0000}"/>
    <cellStyle name="Swiss" xfId="300" xr:uid="{00000000-0005-0000-0000-0000900C0000}"/>
    <cellStyle name="Synopsis" xfId="2918" xr:uid="{00000000-0005-0000-0000-0000910C0000}"/>
    <cellStyle name="Synopsis 2" xfId="2919" xr:uid="{00000000-0005-0000-0000-0000920C0000}"/>
    <cellStyle name="t" xfId="301" xr:uid="{00000000-0005-0000-0000-0000930C0000}"/>
    <cellStyle name="t 2" xfId="3336" xr:uid="{00000000-0005-0000-0000-0000940C0000}"/>
    <cellStyle name="t 3" xfId="3246" xr:uid="{00000000-0005-0000-0000-0000950C0000}"/>
    <cellStyle name="t 4" xfId="2920" xr:uid="{00000000-0005-0000-0000-0000960C0000}"/>
    <cellStyle name="Table Col Head" xfId="2921" xr:uid="{00000000-0005-0000-0000-0000970C0000}"/>
    <cellStyle name="Table end" xfId="302" xr:uid="{00000000-0005-0000-0000-0000980C0000}"/>
    <cellStyle name="Table head" xfId="303" xr:uid="{00000000-0005-0000-0000-0000990C0000}"/>
    <cellStyle name="Table head 2" xfId="2924" xr:uid="{00000000-0005-0000-0000-00009A0C0000}"/>
    <cellStyle name="Table Head Aligned" xfId="2925" xr:uid="{00000000-0005-0000-0000-00009B0C0000}"/>
    <cellStyle name="Table Head Aligned 2" xfId="2926" xr:uid="{00000000-0005-0000-0000-00009C0C0000}"/>
    <cellStyle name="Table Head Aligned 2 2" xfId="2927" xr:uid="{00000000-0005-0000-0000-00009D0C0000}"/>
    <cellStyle name="Table Head Aligned 3" xfId="2928" xr:uid="{00000000-0005-0000-0000-00009E0C0000}"/>
    <cellStyle name="Table Head Aligned 3 2" xfId="2929" xr:uid="{00000000-0005-0000-0000-00009F0C0000}"/>
    <cellStyle name="Table Head Aligned 4" xfId="2930" xr:uid="{00000000-0005-0000-0000-0000A00C0000}"/>
    <cellStyle name="Table Head Aligned_PNR working 21" xfId="2931" xr:uid="{00000000-0005-0000-0000-0000A10C0000}"/>
    <cellStyle name="Table Head Blue" xfId="2932" xr:uid="{00000000-0005-0000-0000-0000A20C0000}"/>
    <cellStyle name="Table Head Green" xfId="2933" xr:uid="{00000000-0005-0000-0000-0000A30C0000}"/>
    <cellStyle name="Table Head Green 2" xfId="2934" xr:uid="{00000000-0005-0000-0000-0000A40C0000}"/>
    <cellStyle name="Table Head_4. Debt Schedule" xfId="2935" xr:uid="{00000000-0005-0000-0000-0000A50C0000}"/>
    <cellStyle name="Table Source" xfId="2936" xr:uid="{00000000-0005-0000-0000-0000A60C0000}"/>
    <cellStyle name="Table Sub Head" xfId="2937" xr:uid="{00000000-0005-0000-0000-0000A70C0000}"/>
    <cellStyle name="Table Text" xfId="2938" xr:uid="{00000000-0005-0000-0000-0000A80C0000}"/>
    <cellStyle name="table text bold" xfId="304" xr:uid="{00000000-0005-0000-0000-0000A90C0000}"/>
    <cellStyle name="table text bold green" xfId="305" xr:uid="{00000000-0005-0000-0000-0000AA0C0000}"/>
    <cellStyle name="table text bold green 2" xfId="2941" xr:uid="{00000000-0005-0000-0000-0000AB0C0000}"/>
    <cellStyle name="table text bold green_PNR working 21" xfId="2942" xr:uid="{00000000-0005-0000-0000-0000AC0C0000}"/>
    <cellStyle name="table text bold_BHI" xfId="2943" xr:uid="{00000000-0005-0000-0000-0000AD0C0000}"/>
    <cellStyle name="table text light" xfId="306" xr:uid="{00000000-0005-0000-0000-0000AE0C0000}"/>
    <cellStyle name="Table Title" xfId="307" xr:uid="{00000000-0005-0000-0000-0000AF0C0000}"/>
    <cellStyle name="Table Title 2" xfId="3337" xr:uid="{00000000-0005-0000-0000-0000B00C0000}"/>
    <cellStyle name="Table Title 3" xfId="3247" xr:uid="{00000000-0005-0000-0000-0000B10C0000}"/>
    <cellStyle name="Table Title 4" xfId="2945" xr:uid="{00000000-0005-0000-0000-0000B20C0000}"/>
    <cellStyle name="Table Units" xfId="308" xr:uid="{00000000-0005-0000-0000-0000B30C0000}"/>
    <cellStyle name="Table Units 2" xfId="3338" xr:uid="{00000000-0005-0000-0000-0000B40C0000}"/>
    <cellStyle name="Table Units 3" xfId="3248" xr:uid="{00000000-0005-0000-0000-0000B50C0000}"/>
    <cellStyle name="Table Units 4" xfId="2946" xr:uid="{00000000-0005-0000-0000-0000B60C0000}"/>
    <cellStyle name="Table_Title" xfId="2947" xr:uid="{00000000-0005-0000-0000-0000B70C0000}"/>
    <cellStyle name="TableBody" xfId="2948" xr:uid="{00000000-0005-0000-0000-0000B80C0000}"/>
    <cellStyle name="TableBody 2" xfId="2949" xr:uid="{00000000-0005-0000-0000-0000B90C0000}"/>
    <cellStyle name="TableBodyR" xfId="2950" xr:uid="{00000000-0005-0000-0000-0000BA0C0000}"/>
    <cellStyle name="TableBodyR 2" xfId="2951" xr:uid="{00000000-0005-0000-0000-0000BB0C0000}"/>
    <cellStyle name="TableColHeads" xfId="2952" xr:uid="{00000000-0005-0000-0000-0000BC0C0000}"/>
    <cellStyle name="TableColHeads 2" xfId="2953" xr:uid="{00000000-0005-0000-0000-0000BD0C0000}"/>
    <cellStyle name="tcn" xfId="2954" xr:uid="{00000000-0005-0000-0000-0000BE0C0000}"/>
    <cellStyle name="Text" xfId="2955" xr:uid="{00000000-0005-0000-0000-0000BF0C0000}"/>
    <cellStyle name="Text 1" xfId="2956" xr:uid="{00000000-0005-0000-0000-0000C00C0000}"/>
    <cellStyle name="Text 2" xfId="2957" xr:uid="{00000000-0005-0000-0000-0000C10C0000}"/>
    <cellStyle name="Text Head" xfId="2958" xr:uid="{00000000-0005-0000-0000-0000C20C0000}"/>
    <cellStyle name="Text Head 1" xfId="2959" xr:uid="{00000000-0005-0000-0000-0000C30C0000}"/>
    <cellStyle name="Text Head 2" xfId="2960" xr:uid="{00000000-0005-0000-0000-0000C40C0000}"/>
    <cellStyle name="Text Head_BHI" xfId="2961" xr:uid="{00000000-0005-0000-0000-0000C50C0000}"/>
    <cellStyle name="Text Indent 1" xfId="2962" xr:uid="{00000000-0005-0000-0000-0000C60C0000}"/>
    <cellStyle name="Text Indent 2" xfId="2963" xr:uid="{00000000-0005-0000-0000-0000C70C0000}"/>
    <cellStyle name="Text Indent A" xfId="2964" xr:uid="{00000000-0005-0000-0000-0000C80C0000}"/>
    <cellStyle name="Text Indent B" xfId="2965" xr:uid="{00000000-0005-0000-0000-0000C90C0000}"/>
    <cellStyle name="Text Indent C" xfId="2966" xr:uid="{00000000-0005-0000-0000-0000CA0C0000}"/>
    <cellStyle name="Text_CBS Accretion - Dilution" xfId="2967" xr:uid="{00000000-0005-0000-0000-0000CB0C0000}"/>
    <cellStyle name="Ticker" xfId="2968" xr:uid="{00000000-0005-0000-0000-0000CC0C0000}"/>
    <cellStyle name="Time" xfId="309" xr:uid="{00000000-0005-0000-0000-0000CD0C0000}"/>
    <cellStyle name="Title - PROJECT" xfId="310" xr:uid="{00000000-0005-0000-0000-0000CE0C0000}"/>
    <cellStyle name="Title - Underline" xfId="311" xr:uid="{00000000-0005-0000-0000-0000CF0C0000}"/>
    <cellStyle name="Title 10" xfId="2969" xr:uid="{00000000-0005-0000-0000-0000D00C0000}"/>
    <cellStyle name="Title 11" xfId="2970" xr:uid="{00000000-0005-0000-0000-0000D10C0000}"/>
    <cellStyle name="Title 12" xfId="2971" xr:uid="{00000000-0005-0000-0000-0000D20C0000}"/>
    <cellStyle name="Title 13" xfId="2972" xr:uid="{00000000-0005-0000-0000-0000D30C0000}"/>
    <cellStyle name="Title 14" xfId="2973" xr:uid="{00000000-0005-0000-0000-0000D40C0000}"/>
    <cellStyle name="Title 15" xfId="2974" xr:uid="{00000000-0005-0000-0000-0000D50C0000}"/>
    <cellStyle name="Title 16" xfId="2975" xr:uid="{00000000-0005-0000-0000-0000D60C0000}"/>
    <cellStyle name="Title 17" xfId="2976" xr:uid="{00000000-0005-0000-0000-0000D70C0000}"/>
    <cellStyle name="Title 18" xfId="2977" xr:uid="{00000000-0005-0000-0000-0000D80C0000}"/>
    <cellStyle name="Title 19" xfId="2978" xr:uid="{00000000-0005-0000-0000-0000D90C0000}"/>
    <cellStyle name="Title 2" xfId="2979" xr:uid="{00000000-0005-0000-0000-0000DA0C0000}"/>
    <cellStyle name="Title 2 2" xfId="2980" xr:uid="{00000000-0005-0000-0000-0000DB0C0000}"/>
    <cellStyle name="Title 20" xfId="2981" xr:uid="{00000000-0005-0000-0000-0000DC0C0000}"/>
    <cellStyle name="Title 21" xfId="2982" xr:uid="{00000000-0005-0000-0000-0000DD0C0000}"/>
    <cellStyle name="Title 22" xfId="2983" xr:uid="{00000000-0005-0000-0000-0000DE0C0000}"/>
    <cellStyle name="Title 23" xfId="2984" xr:uid="{00000000-0005-0000-0000-0000DF0C0000}"/>
    <cellStyle name="Title 24" xfId="2985" xr:uid="{00000000-0005-0000-0000-0000E00C0000}"/>
    <cellStyle name="Title 3" xfId="2986" xr:uid="{00000000-0005-0000-0000-0000E10C0000}"/>
    <cellStyle name="Title 4" xfId="2987" xr:uid="{00000000-0005-0000-0000-0000E20C0000}"/>
    <cellStyle name="Title 5" xfId="2988" xr:uid="{00000000-0005-0000-0000-0000E30C0000}"/>
    <cellStyle name="Title 6" xfId="2989" xr:uid="{00000000-0005-0000-0000-0000E40C0000}"/>
    <cellStyle name="Title 7" xfId="2990" xr:uid="{00000000-0005-0000-0000-0000E50C0000}"/>
    <cellStyle name="Title 8" xfId="2991" xr:uid="{00000000-0005-0000-0000-0000E60C0000}"/>
    <cellStyle name="Title 9" xfId="2992" xr:uid="{00000000-0005-0000-0000-0000E70C0000}"/>
    <cellStyle name="Title1" xfId="312" xr:uid="{00000000-0005-0000-0000-0000E80C0000}"/>
    <cellStyle name="title1 2" xfId="3339" xr:uid="{00000000-0005-0000-0000-0000E90C0000}"/>
    <cellStyle name="Title1 3" xfId="3249" xr:uid="{00000000-0005-0000-0000-0000EA0C0000}"/>
    <cellStyle name="title1 4" xfId="2993" xr:uid="{00000000-0005-0000-0000-0000EB0C0000}"/>
    <cellStyle name="Title2" xfId="313" xr:uid="{00000000-0005-0000-0000-0000EC0C0000}"/>
    <cellStyle name="Title2 2" xfId="2995" xr:uid="{00000000-0005-0000-0000-0000ED0C0000}"/>
    <cellStyle name="Title2 3" xfId="3340" xr:uid="{00000000-0005-0000-0000-0000EE0C0000}"/>
    <cellStyle name="Title2 4" xfId="3250" xr:uid="{00000000-0005-0000-0000-0000EF0C0000}"/>
    <cellStyle name="Title2 5" xfId="2994" xr:uid="{00000000-0005-0000-0000-0000F00C0000}"/>
    <cellStyle name="TitleII" xfId="2996" xr:uid="{00000000-0005-0000-0000-0000F10C0000}"/>
    <cellStyle name="TitleII 2" xfId="2997" xr:uid="{00000000-0005-0000-0000-0000F20C0000}"/>
    <cellStyle name="Titles" xfId="2998" xr:uid="{00000000-0005-0000-0000-0000F30C0000}"/>
    <cellStyle name="Titles - Col. Headings" xfId="314" xr:uid="{00000000-0005-0000-0000-0000F40C0000}"/>
    <cellStyle name="Titles - Other" xfId="315" xr:uid="{00000000-0005-0000-0000-0000F50C0000}"/>
    <cellStyle name="Titles 10" xfId="2999" xr:uid="{00000000-0005-0000-0000-0000F60C0000}"/>
    <cellStyle name="Titles 11" xfId="3000" xr:uid="{00000000-0005-0000-0000-0000F70C0000}"/>
    <cellStyle name="Titles 12" xfId="3001" xr:uid="{00000000-0005-0000-0000-0000F80C0000}"/>
    <cellStyle name="Titles 2" xfId="3002" xr:uid="{00000000-0005-0000-0000-0000F90C0000}"/>
    <cellStyle name="Titles 3" xfId="3003" xr:uid="{00000000-0005-0000-0000-0000FA0C0000}"/>
    <cellStyle name="Titles 4" xfId="3004" xr:uid="{00000000-0005-0000-0000-0000FB0C0000}"/>
    <cellStyle name="Titles 5" xfId="3005" xr:uid="{00000000-0005-0000-0000-0000FC0C0000}"/>
    <cellStyle name="Titles 6" xfId="3006" xr:uid="{00000000-0005-0000-0000-0000FD0C0000}"/>
    <cellStyle name="Titles 7" xfId="3007" xr:uid="{00000000-0005-0000-0000-0000FE0C0000}"/>
    <cellStyle name="Titles 8" xfId="3008" xr:uid="{00000000-0005-0000-0000-0000FF0C0000}"/>
    <cellStyle name="Titles 9" xfId="3009" xr:uid="{00000000-0005-0000-0000-0000000D0000}"/>
    <cellStyle name="Titles_PNR working 21" xfId="3010" xr:uid="{00000000-0005-0000-0000-0000010D0000}"/>
    <cellStyle name="TitleSub" xfId="3011" xr:uid="{00000000-0005-0000-0000-0000020D0000}"/>
    <cellStyle name="Titre colonne" xfId="3012" xr:uid="{00000000-0005-0000-0000-0000030D0000}"/>
    <cellStyle name="Titre colonnes" xfId="3013" xr:uid="{00000000-0005-0000-0000-0000040D0000}"/>
    <cellStyle name="Titre general" xfId="3014" xr:uid="{00000000-0005-0000-0000-0000050D0000}"/>
    <cellStyle name="Titre général" xfId="3015" xr:uid="{00000000-0005-0000-0000-0000060D0000}"/>
    <cellStyle name="Titre ligne" xfId="3016" xr:uid="{00000000-0005-0000-0000-0000070D0000}"/>
    <cellStyle name="Titre lignes" xfId="3017" xr:uid="{00000000-0005-0000-0000-0000080D0000}"/>
    <cellStyle name="Titre tableau" xfId="3018" xr:uid="{00000000-0005-0000-0000-0000090D0000}"/>
    <cellStyle name="tn" xfId="3019" xr:uid="{00000000-0005-0000-0000-00000A0D0000}"/>
    <cellStyle name="TOC 1" xfId="3020" xr:uid="{00000000-0005-0000-0000-00000B0D0000}"/>
    <cellStyle name="TOC 2" xfId="3021" xr:uid="{00000000-0005-0000-0000-00000C0D0000}"/>
    <cellStyle name="Total 2" xfId="3022" xr:uid="{00000000-0005-0000-0000-00000D0D0000}"/>
    <cellStyle name="Total 2 2" xfId="3023" xr:uid="{00000000-0005-0000-0000-00000E0D0000}"/>
    <cellStyle name="Total 3" xfId="3024" xr:uid="{00000000-0005-0000-0000-00000F0D0000}"/>
    <cellStyle name="Total Currency" xfId="3025" xr:uid="{00000000-0005-0000-0000-0000100D0000}"/>
    <cellStyle name="Total Currency 2" xfId="3026" xr:uid="{00000000-0005-0000-0000-0000110D0000}"/>
    <cellStyle name="Total intermediaire" xfId="3027" xr:uid="{00000000-0005-0000-0000-0000120D0000}"/>
    <cellStyle name="Total intermediaire 0" xfId="3028" xr:uid="{00000000-0005-0000-0000-0000130D0000}"/>
    <cellStyle name="Total intermediaire 1" xfId="3029" xr:uid="{00000000-0005-0000-0000-0000140D0000}"/>
    <cellStyle name="Total intermediaire 2" xfId="3030" xr:uid="{00000000-0005-0000-0000-0000150D0000}"/>
    <cellStyle name="Total intermediaire 3" xfId="3031" xr:uid="{00000000-0005-0000-0000-0000160D0000}"/>
    <cellStyle name="Total intermediaire 4" xfId="3032" xr:uid="{00000000-0005-0000-0000-0000170D0000}"/>
    <cellStyle name="Total Normal" xfId="3033" xr:uid="{00000000-0005-0000-0000-0000180D0000}"/>
    <cellStyle name="Total Normal 2" xfId="3034" xr:uid="{00000000-0005-0000-0000-0000190D0000}"/>
    <cellStyle name="Total tableau" xfId="3035" xr:uid="{00000000-0005-0000-0000-00001A0D0000}"/>
    <cellStyle name="TotalCurrency" xfId="3036" xr:uid="{00000000-0005-0000-0000-00001B0D0000}"/>
    <cellStyle name="TotalCurrency 2" xfId="3037" xr:uid="{00000000-0005-0000-0000-00001C0D0000}"/>
    <cellStyle name="TR 8" xfId="3038" xr:uid="{00000000-0005-0000-0000-00001D0D0000}"/>
    <cellStyle name="TR 8 2" xfId="3039" xr:uid="{00000000-0005-0000-0000-00001E0D0000}"/>
    <cellStyle name="TR 8B" xfId="3040" xr:uid="{00000000-0005-0000-0000-00001F0D0000}"/>
    <cellStyle name="TR 8B 2" xfId="3041" xr:uid="{00000000-0005-0000-0000-0000200D0000}"/>
    <cellStyle name="TR 8B 3" xfId="3042" xr:uid="{00000000-0005-0000-0000-0000210D0000}"/>
    <cellStyle name="Twodig" xfId="484" xr:uid="{00000000-0005-0000-0000-0000220D0000}"/>
    <cellStyle name="u" xfId="3044" xr:uid="{00000000-0005-0000-0000-0000230D0000}"/>
    <cellStyle name="Underline" xfId="485" xr:uid="{00000000-0005-0000-0000-0000240D0000}"/>
    <cellStyle name="Underline 2" xfId="3162" xr:uid="{00000000-0005-0000-0000-0000250D0000}"/>
    <cellStyle name="Underline 3" xfId="3045" xr:uid="{00000000-0005-0000-0000-0000260D0000}"/>
    <cellStyle name="Underline(0)" xfId="3046" xr:uid="{00000000-0005-0000-0000-0000270D0000}"/>
    <cellStyle name="Underline_Double" xfId="3047" xr:uid="{00000000-0005-0000-0000-0000280D0000}"/>
    <cellStyle name="undernum" xfId="3048" xr:uid="{00000000-0005-0000-0000-0000290D0000}"/>
    <cellStyle name="unm" xfId="316" xr:uid="{00000000-0005-0000-0000-00002A0D0000}"/>
    <cellStyle name="Use_1dp" xfId="3049" xr:uid="{00000000-0005-0000-0000-00002B0D0000}"/>
    <cellStyle name="UseB_1dp" xfId="3050" xr:uid="{00000000-0005-0000-0000-00002C0D0000}"/>
    <cellStyle name="Validation" xfId="3051" xr:uid="{00000000-0005-0000-0000-00002D0D0000}"/>
    <cellStyle name="Validation 2" xfId="3052" xr:uid="{00000000-0005-0000-0000-00002E0D0000}"/>
    <cellStyle name="Validation_PNR working 21" xfId="3053" xr:uid="{00000000-0005-0000-0000-00002F0D0000}"/>
    <cellStyle name="Valuta (0)_Bourse" xfId="3054" xr:uid="{00000000-0005-0000-0000-0000300D0000}"/>
    <cellStyle name="Valuta_Bourse" xfId="3055" xr:uid="{00000000-0005-0000-0000-0000310D0000}"/>
    <cellStyle name="Warning Text 2" xfId="3056" xr:uid="{00000000-0005-0000-0000-0000320D0000}"/>
    <cellStyle name="Warning Text 2 2" xfId="3057" xr:uid="{00000000-0005-0000-0000-0000330D0000}"/>
    <cellStyle name="WhiteCells" xfId="3058" xr:uid="{00000000-0005-0000-0000-0000340D0000}"/>
    <cellStyle name="WhiteCells 2" xfId="3059" xr:uid="{00000000-0005-0000-0000-0000350D0000}"/>
    <cellStyle name="WholeNumber" xfId="3060" xr:uid="{00000000-0005-0000-0000-0000360D0000}"/>
    <cellStyle name="WholeNumber 2" xfId="3061" xr:uid="{00000000-0005-0000-0000-0000370D0000}"/>
    <cellStyle name="wild guess" xfId="3062" xr:uid="{00000000-0005-0000-0000-0000380D0000}"/>
    <cellStyle name="Wildguess" xfId="3063" xr:uid="{00000000-0005-0000-0000-0000390D0000}"/>
    <cellStyle name="x" xfId="3064" xr:uid="{00000000-0005-0000-0000-00003A0D0000}"/>
    <cellStyle name="x 2" xfId="3065" xr:uid="{00000000-0005-0000-0000-00003B0D0000}"/>
    <cellStyle name="x_AG" xfId="3066" xr:uid="{00000000-0005-0000-0000-00003C0D0000}"/>
    <cellStyle name="x_CNH" xfId="3067" xr:uid="{00000000-0005-0000-0000-00003D0D0000}"/>
    <cellStyle name="x_ETN" xfId="3068" xr:uid="{00000000-0005-0000-0000-00003E0D0000}"/>
    <cellStyle name="x_Hist Summary" xfId="3069" xr:uid="{00000000-0005-0000-0000-00003F0D0000}"/>
    <cellStyle name="x_JOYG" xfId="3070" xr:uid="{00000000-0005-0000-0000-0000400D0000}"/>
    <cellStyle name="x_Machinery group valuation" xfId="3071" xr:uid="{00000000-0005-0000-0000-0000410D0000}"/>
    <cellStyle name="x_MLM" xfId="3072" xr:uid="{00000000-0005-0000-0000-0000420D0000}"/>
    <cellStyle name="x_NAV" xfId="3073" xr:uid="{00000000-0005-0000-0000-0000430D0000}"/>
    <cellStyle name="x_OSK" xfId="3074" xr:uid="{00000000-0005-0000-0000-0000440D0000}"/>
    <cellStyle name="x_PCAR" xfId="3075" xr:uid="{00000000-0005-0000-0000-0000450D0000}"/>
    <cellStyle name="x_PH" xfId="3076" xr:uid="{00000000-0005-0000-0000-0000460D0000}"/>
    <cellStyle name="Year" xfId="317" xr:uid="{00000000-0005-0000-0000-0000470D0000}"/>
    <cellStyle name="Year 2" xfId="3078" xr:uid="{00000000-0005-0000-0000-0000480D0000}"/>
    <cellStyle name="Year Estimate" xfId="3079" xr:uid="{00000000-0005-0000-0000-0000490D0000}"/>
    <cellStyle name="Year Estimate 2" xfId="3080" xr:uid="{00000000-0005-0000-0000-00004A0D0000}"/>
    <cellStyle name="Year Estimate 3" xfId="3081" xr:uid="{00000000-0005-0000-0000-00004B0D0000}"/>
    <cellStyle name="Year_Backup of IND_Val2" xfId="3082" xr:uid="{00000000-0005-0000-0000-00004C0D0000}"/>
    <cellStyle name="Years" xfId="318" xr:uid="{00000000-0005-0000-0000-00004D0D0000}"/>
    <cellStyle name="years 2" xfId="3084" xr:uid="{00000000-0005-0000-0000-00004E0D0000}"/>
    <cellStyle name="years 3" xfId="3341" xr:uid="{00000000-0005-0000-0000-00004F0D0000}"/>
    <cellStyle name="Years 4" xfId="3251" xr:uid="{00000000-0005-0000-0000-0000500D0000}"/>
    <cellStyle name="years 5" xfId="3083" xr:uid="{00000000-0005-0000-0000-0000510D0000}"/>
    <cellStyle name="yellow" xfId="3085" xr:uid="{00000000-0005-0000-0000-0000520D0000}"/>
    <cellStyle name="yen" xfId="3086" xr:uid="{00000000-0005-0000-0000-0000530D0000}"/>
    <cellStyle name="yen 2" xfId="3087" xr:uid="{00000000-0005-0000-0000-0000540D0000}"/>
    <cellStyle name="yen 3" xfId="3088" xr:uid="{00000000-0005-0000-0000-0000550D0000}"/>
    <cellStyle name="yen_PNR working 21" xfId="3089" xr:uid="{00000000-0005-0000-0000-0000560D0000}"/>
    <cellStyle name="백분율_95" xfId="3090" xr:uid="{00000000-0005-0000-0000-0000570D0000}"/>
    <cellStyle name="콤마 [0]_0120결과(이론)" xfId="3091" xr:uid="{00000000-0005-0000-0000-0000580D0000}"/>
    <cellStyle name="콤마_0120결과(이론)" xfId="3092" xr:uid="{00000000-0005-0000-0000-0000590D0000}"/>
    <cellStyle name="통화 [0]_0120결과(이론)" xfId="3093" xr:uid="{00000000-0005-0000-0000-00005A0D0000}"/>
    <cellStyle name="통화_0120결과(이론)" xfId="3094" xr:uid="{00000000-0005-0000-0000-00005B0D0000}"/>
    <cellStyle name="표준_0120결과(이론)" xfId="3095" xr:uid="{00000000-0005-0000-0000-00005C0D0000}"/>
    <cellStyle name="常规_全进度数据" xfId="3096" xr:uid="{00000000-0005-0000-0000-00005D0D0000}"/>
    <cellStyle name="標準_GQ Industrial Contribution Sheet_format" xfId="3097" xr:uid="{00000000-0005-0000-0000-00005E0D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E76AA"/>
      <rgbColor rgb="00CFD6E6"/>
      <rgbColor rgb="009EADCC"/>
      <rgbColor rgb="00EFF1F6"/>
      <rgbColor rgb="00BFC8DD"/>
      <rgbColor rgb="008E9FC4"/>
      <rgbColor rgb="00DFE4EE"/>
      <rgbColor rgb="00AEBAD5"/>
      <rgbColor rgb="00000000"/>
      <rgbColor rgb="00AAAAAA"/>
      <rgbColor rgb="00444444"/>
      <rgbColor rgb="00CCCCCC"/>
      <rgbColor rgb="00888888"/>
      <rgbColor rgb="00666666"/>
      <rgbColor rgb="00EEEEEE"/>
      <rgbColor rgb="00222222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b="1"/>
              <a:t>Operating Margin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 (2)'!$BB$182</c:f>
              <c:strCache>
                <c:ptCount val="1"/>
                <c:pt idx="0">
                  <c:v>Composite Materials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'SEG (2)'!$BL$181:$CL$181</c15:sqref>
                  </c15:fullRef>
                </c:ext>
              </c:extLst>
              <c:f>('SEG (2)'!$BL$181:$BR$181,'SEG (2)'!$BT$181:$CL$181)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1Q20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'SEG (2)'!$BL$182:$CL$182</c15:sqref>
                  </c15:fullRef>
                </c:ext>
              </c:extLst>
              <c:f>('SEG (2)'!$BL$182:$BR$182,'SEG (2)'!$BT$182:$CL$182)</c:f>
              <c:numCache>
                <c:formatCode>0.0%_);\(0.0%\);"–"_)</c:formatCode>
                <c:ptCount val="7"/>
                <c:pt idx="0">
                  <c:v>0.20758268351707448</c:v>
                </c:pt>
                <c:pt idx="1">
                  <c:v>0.21986789614806096</c:v>
                </c:pt>
                <c:pt idx="2">
                  <c:v>0.21953981878874582</c:v>
                </c:pt>
                <c:pt idx="3">
                  <c:v>0.21641476485819233</c:v>
                </c:pt>
                <c:pt idx="4">
                  <c:v>0.20259064549346917</c:v>
                </c:pt>
                <c:pt idx="5">
                  <c:v>0.21130233752889799</c:v>
                </c:pt>
                <c:pt idx="6">
                  <c:v>0.19749622274983811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E-4B60-842A-0483377F084C}"/>
            </c:ext>
          </c:extLst>
        </c:ser>
        <c:ser>
          <c:idx val="1"/>
          <c:order val="1"/>
          <c:tx>
            <c:strRef>
              <c:f>'SEG (2)'!$BB$183</c:f>
              <c:strCache>
                <c:ptCount val="1"/>
                <c:pt idx="0">
                  <c:v>Engineered Products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'SEG (2)'!$BL$181:$CL$181</c15:sqref>
                  </c15:fullRef>
                </c:ext>
              </c:extLst>
              <c:f>('SEG (2)'!$BL$181:$BR$181,'SEG (2)'!$BT$181:$CL$181)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1Q20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'SEG (2)'!$BL$183:$CL$183</c15:sqref>
                  </c15:fullRef>
                </c:ext>
              </c:extLst>
              <c:f>('SEG (2)'!$BL$183:$BR$183,'SEG (2)'!$BT$183:$CL$183)</c:f>
              <c:numCache>
                <c:formatCode>0.0%_);\(0.0%\);"–"_)</c:formatCode>
                <c:ptCount val="7"/>
                <c:pt idx="0">
                  <c:v>0.15352887259395051</c:v>
                </c:pt>
                <c:pt idx="1">
                  <c:v>0.13576642335766423</c:v>
                </c:pt>
                <c:pt idx="2">
                  <c:v>0.12702839756592291</c:v>
                </c:pt>
                <c:pt idx="3">
                  <c:v>0.1293149229952204</c:v>
                </c:pt>
                <c:pt idx="4">
                  <c:v>0.12085025077621207</c:v>
                </c:pt>
                <c:pt idx="5">
                  <c:v>0.1459262261856506</c:v>
                </c:pt>
                <c:pt idx="6">
                  <c:v>6.3106796116504854E-2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E-4B60-842A-0483377F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514719"/>
        <c:axId val="2005352303"/>
      </c:barChart>
      <c:lineChart>
        <c:grouping val="standard"/>
        <c:varyColors val="0"/>
        <c:ser>
          <c:idx val="2"/>
          <c:order val="2"/>
          <c:tx>
            <c:strRef>
              <c:f>'SEG (2)'!$BB$184</c:f>
              <c:strCache>
                <c:ptCount val="1"/>
                <c:pt idx="0">
                  <c:v>Total Segment Margin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'SEG (2)'!$BL$181:$CL$181</c15:sqref>
                  </c15:fullRef>
                </c:ext>
              </c:extLst>
              <c:f>('SEG (2)'!$BL$181:$BR$181,'SEG (2)'!$BT$181:$CL$181)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1Q20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'SEG (2)'!$BL$184:$CL$184</c15:sqref>
                  </c15:fullRef>
                </c:ext>
              </c:extLst>
              <c:f>('SEG (2)'!$BL$184:$BR$184,'SEG (2)'!$BT$184:$CL$184)</c:f>
              <c:numCache>
                <c:formatCode>0.0%</c:formatCode>
                <c:ptCount val="7"/>
                <c:pt idx="0">
                  <c:v>0.19532224532224532</c:v>
                </c:pt>
                <c:pt idx="1">
                  <c:v>0.20205144064738931</c:v>
                </c:pt>
                <c:pt idx="2">
                  <c:v>0.20193050193050191</c:v>
                </c:pt>
                <c:pt idx="3">
                  <c:v>0.20031414126540029</c:v>
                </c:pt>
                <c:pt idx="4">
                  <c:v>0.18747239155402418</c:v>
                </c:pt>
                <c:pt idx="5">
                  <c:v>0.19808188860199186</c:v>
                </c:pt>
                <c:pt idx="6">
                  <c:v>0.17305315203955501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E-4B60-842A-0483377F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514719"/>
        <c:axId val="2005352303"/>
      </c:lineChart>
      <c:catAx>
        <c:axId val="199951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005352303"/>
        <c:crosses val="autoZero"/>
        <c:auto val="1"/>
        <c:lblAlgn val="ctr"/>
        <c:lblOffset val="100"/>
        <c:noMultiLvlLbl val="0"/>
      </c:catAx>
      <c:valAx>
        <c:axId val="20053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_);\(0.0%\);&quot;–&quot;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9951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0</xdr:colOff>
      <xdr:row>160</xdr:row>
      <xdr:rowOff>0</xdr:rowOff>
    </xdr:from>
    <xdr:to>
      <xdr:col>90</xdr:col>
      <xdr:colOff>0</xdr:colOff>
      <xdr:row>180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0F775-F5A9-453B-B4F0-3229CC3C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GIR Produc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GIR Product">
      <a:majorFont>
        <a:latin typeface="Univers LT Std 65 Bold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Jpan" typeface="MS Gothic"/>
      </a:majorFont>
      <a:minorFont>
        <a:latin typeface="Univers LT Std 55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GIR Produc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B1:CR62"/>
  <sheetViews>
    <sheetView showFormulas="1" showGridLines="0" topLeftCell="A11" zoomScaleNormal="100" workbookViewId="0">
      <selection activeCell="CL4" sqref="CL4"/>
    </sheetView>
  </sheetViews>
  <sheetFormatPr defaultColWidth="9.85546875" defaultRowHeight="14.25" outlineLevelCol="1"/>
  <cols>
    <col min="1" max="1" width="1.85546875" style="242" customWidth="1"/>
    <col min="2" max="2" width="20.28515625" style="242" bestFit="1" customWidth="1"/>
    <col min="3" max="3" width="11.140625" style="242" hidden="1" customWidth="1" outlineLevel="1"/>
    <col min="4" max="4" width="10.7109375" style="242" hidden="1" customWidth="1" outlineLevel="1"/>
    <col min="5" max="16" width="11.140625" style="242" hidden="1" customWidth="1" outlineLevel="1"/>
    <col min="17" max="17" width="11.28515625" style="242" hidden="1" customWidth="1" outlineLevel="1"/>
    <col min="18" max="18" width="10.7109375" style="242" hidden="1" customWidth="1" outlineLevel="1"/>
    <col min="19" max="22" width="11.140625" style="242" hidden="1" customWidth="1" outlineLevel="1"/>
    <col min="23" max="23" width="11.7109375" style="242" hidden="1" customWidth="1" outlineLevel="1"/>
    <col min="24" max="24" width="11.140625" style="242" hidden="1" customWidth="1" outlineLevel="1"/>
    <col min="25" max="25" width="11.28515625" style="242" hidden="1" customWidth="1" outlineLevel="1"/>
    <col min="26" max="27" width="11.7109375" style="242" hidden="1" customWidth="1" outlineLevel="1"/>
    <col min="28" max="34" width="11.140625" style="242" hidden="1" customWidth="1" outlineLevel="1"/>
    <col min="35" max="35" width="11.28515625" style="242" hidden="1" customWidth="1" outlineLevel="1"/>
    <col min="36" max="39" width="11.140625" style="242" hidden="1" customWidth="1" outlineLevel="1"/>
    <col min="40" max="40" width="11.7109375" style="242" hidden="1" customWidth="1" outlineLevel="1"/>
    <col min="41" max="41" width="11.140625" style="242" hidden="1" customWidth="1" outlineLevel="1"/>
    <col min="42" max="42" width="10.7109375" style="242" hidden="1" customWidth="1" outlineLevel="1"/>
    <col min="43" max="44" width="11.140625" style="242" hidden="1" customWidth="1" outlineLevel="1"/>
    <col min="45" max="46" width="11.7109375" style="242" hidden="1" customWidth="1" outlineLevel="1"/>
    <col min="47" max="47" width="11.140625" style="242" hidden="1" customWidth="1" outlineLevel="1"/>
    <col min="48" max="48" width="10.7109375" style="242" hidden="1" customWidth="1" outlineLevel="1"/>
    <col min="49" max="49" width="11.28515625" style="242" hidden="1" customWidth="1" outlineLevel="1"/>
    <col min="50" max="50" width="11.140625" style="242" hidden="1" customWidth="1" outlineLevel="1"/>
    <col min="51" max="51" width="11.28515625" style="242" hidden="1" customWidth="1" outlineLevel="1"/>
    <col min="52" max="53" width="11.140625" style="242" hidden="1" customWidth="1" outlineLevel="1"/>
    <col min="54" max="54" width="11.28515625" style="242" hidden="1" customWidth="1" outlineLevel="1"/>
    <col min="55" max="61" width="11.140625" style="242" hidden="1" customWidth="1" outlineLevel="1"/>
    <col min="62" max="63" width="11.7109375" style="242" hidden="1" customWidth="1" outlineLevel="1"/>
    <col min="64" max="64" width="11.140625" style="242" hidden="1" customWidth="1" outlineLevel="1"/>
    <col min="65" max="65" width="11.140625" style="242" hidden="1" customWidth="1" outlineLevel="1" collapsed="1"/>
    <col min="66" max="66" width="11.140625" style="242" hidden="1" customWidth="1" outlineLevel="1"/>
    <col min="67" max="68" width="11.7109375" style="242" hidden="1" customWidth="1" outlineLevel="1"/>
    <col min="69" max="69" width="11.28515625" bestFit="1" customWidth="1" collapsed="1"/>
    <col min="70" max="71" width="11.7109375" hidden="1" customWidth="1" outlineLevel="1"/>
    <col min="72" max="72" width="11.140625" hidden="1" customWidth="1" outlineLevel="1"/>
    <col min="73" max="73" width="10.7109375" hidden="1" customWidth="1" outlineLevel="1"/>
    <col min="74" max="74" width="10.7109375" bestFit="1" customWidth="1" collapsed="1"/>
    <col min="75" max="77" width="11.7109375" hidden="1" customWidth="1" outlineLevel="1"/>
    <col min="78" max="78" width="11.140625" hidden="1" customWidth="1" outlineLevel="1"/>
    <col min="79" max="79" width="11.28515625" bestFit="1" customWidth="1" collapsed="1"/>
    <col min="80" max="80" width="11.140625" hidden="1" customWidth="1" outlineLevel="1"/>
    <col min="81" max="83" width="11.7109375" hidden="1" customWidth="1" outlineLevel="1"/>
    <col min="84" max="84" width="11.140625" bestFit="1" customWidth="1" collapsed="1"/>
    <col min="85" max="88" width="11.7109375" hidden="1" customWidth="1" outlineLevel="1"/>
    <col min="89" max="89" width="11.140625" bestFit="1" customWidth="1" collapsed="1"/>
    <col min="90" max="91" width="9.85546875" style="242"/>
    <col min="92" max="92" width="10" style="242" bestFit="1" customWidth="1"/>
    <col min="93" max="16384" width="9.85546875" style="242"/>
  </cols>
  <sheetData>
    <row r="1" spans="2:96">
      <c r="BQ1" s="242"/>
      <c r="BR1" s="242"/>
      <c r="BS1" s="242"/>
      <c r="BT1" s="242"/>
      <c r="BU1" s="242"/>
      <c r="BV1" s="242"/>
      <c r="BW1" s="242"/>
      <c r="BX1" s="242"/>
      <c r="BY1" s="242"/>
      <c r="BZ1" s="242"/>
      <c r="CA1" s="242"/>
      <c r="CB1" s="242"/>
      <c r="CC1" s="242"/>
      <c r="CD1" s="242"/>
      <c r="CE1" s="242"/>
      <c r="CF1" s="242"/>
      <c r="CG1" s="242"/>
      <c r="CH1" s="242"/>
      <c r="CI1" s="242"/>
      <c r="CJ1" s="242"/>
      <c r="CK1" s="242"/>
    </row>
    <row r="2" spans="2:96">
      <c r="B2" s="243" t="s">
        <v>573</v>
      </c>
      <c r="BQ2" s="244">
        <v>2016</v>
      </c>
      <c r="CM2" s="243" t="s">
        <v>573</v>
      </c>
    </row>
    <row r="3" spans="2:96" ht="5.0999999999999996" customHeight="1"/>
    <row r="4" spans="2:96">
      <c r="B4" s="242" t="s">
        <v>78</v>
      </c>
      <c r="C4" s="242">
        <v>936.85500000000002</v>
      </c>
      <c r="D4" s="242">
        <v>1089.0440000000001</v>
      </c>
      <c r="E4" s="242">
        <v>1151.5</v>
      </c>
      <c r="F4" s="242">
        <v>1055.7</v>
      </c>
      <c r="G4" s="242">
        <v>1009.4</v>
      </c>
      <c r="H4" s="242">
        <v>850.8</v>
      </c>
      <c r="I4" s="242">
        <v>896.9</v>
      </c>
      <c r="J4" s="242">
        <v>262.8</v>
      </c>
      <c r="K4" s="242">
        <v>272.2</v>
      </c>
      <c r="L4" s="242">
        <v>263.10000000000002</v>
      </c>
      <c r="M4" s="242">
        <v>276.39999999999998</v>
      </c>
      <c r="N4" s="242">
        <v>1074.5</v>
      </c>
      <c r="O4" s="242">
        <v>290.60000000000002</v>
      </c>
      <c r="P4" s="242">
        <v>311.3</v>
      </c>
      <c r="Q4" s="242">
        <v>276.60000000000002</v>
      </c>
      <c r="R4" s="242">
        <v>282.89999999999998</v>
      </c>
      <c r="S4" s="242">
        <v>1161.4000000000001</v>
      </c>
      <c r="T4" s="242">
        <v>307</v>
      </c>
      <c r="U4" s="242">
        <v>316</v>
      </c>
      <c r="V4" s="242">
        <v>289.10000000000002</v>
      </c>
      <c r="W4" s="242">
        <v>280.99999999999989</v>
      </c>
      <c r="X4" s="242">
        <v>1193.0999999999999</v>
      </c>
      <c r="Y4" s="242">
        <v>282.60000000000002</v>
      </c>
      <c r="Z4" s="242">
        <v>289.8</v>
      </c>
      <c r="AA4" s="242">
        <v>281.10000000000002</v>
      </c>
      <c r="AB4" s="242">
        <v>317.5999999999998</v>
      </c>
      <c r="AC4" s="242">
        <v>1171.0999999999999</v>
      </c>
      <c r="AD4" s="242">
        <v>344.5</v>
      </c>
      <c r="AE4" s="242">
        <v>359.5</v>
      </c>
      <c r="AF4" s="242">
        <v>331.4</v>
      </c>
      <c r="AG4" s="242">
        <v>289.5</v>
      </c>
      <c r="AH4" s="242">
        <v>1324.9</v>
      </c>
      <c r="AI4" s="242">
        <v>307.3</v>
      </c>
      <c r="AJ4" s="242">
        <v>277.3</v>
      </c>
      <c r="AK4" s="242">
        <v>257.10000000000002</v>
      </c>
      <c r="AL4" s="242">
        <v>266.60000000000002</v>
      </c>
      <c r="AM4" s="242">
        <v>1108.3000000000002</v>
      </c>
      <c r="AN4" s="242">
        <v>263</v>
      </c>
      <c r="AO4" s="242">
        <v>305.10000000000002</v>
      </c>
      <c r="AP4" s="242">
        <v>294.5</v>
      </c>
      <c r="AQ4" s="242">
        <v>310.99999999999989</v>
      </c>
      <c r="AR4" s="242">
        <v>1173.5999999999999</v>
      </c>
      <c r="AS4" s="242">
        <v>331.6</v>
      </c>
      <c r="AT4" s="242">
        <v>353.7</v>
      </c>
      <c r="AU4" s="242">
        <v>351.8</v>
      </c>
      <c r="AV4" s="242">
        <v>355.3</v>
      </c>
      <c r="AW4" s="242">
        <v>1392.3999999999999</v>
      </c>
      <c r="AX4" s="242">
        <v>400.1</v>
      </c>
      <c r="AY4" s="242">
        <v>399.2</v>
      </c>
      <c r="AZ4" s="242">
        <v>391.6</v>
      </c>
      <c r="BA4" s="242">
        <v>387.3</v>
      </c>
      <c r="BB4" s="242">
        <v>1578.2</v>
      </c>
      <c r="BC4" s="242">
        <v>416.5</v>
      </c>
      <c r="BD4" s="242">
        <v>422.6</v>
      </c>
      <c r="BE4" s="242">
        <v>412.3</v>
      </c>
      <c r="BF4" s="242">
        <v>426.8</v>
      </c>
      <c r="BG4" s="242">
        <v>1678.2</v>
      </c>
      <c r="BH4" s="242">
        <v>461.7</v>
      </c>
      <c r="BI4" s="242">
        <v>470.1</v>
      </c>
      <c r="BJ4" s="242">
        <v>451.9</v>
      </c>
      <c r="BK4" s="242">
        <v>471.8</v>
      </c>
      <c r="BL4" s="242">
        <v>1855.4999999999998</v>
      </c>
      <c r="BM4" s="242">
        <v>471.8</v>
      </c>
      <c r="BN4" s="242">
        <v>475.7</v>
      </c>
      <c r="BO4" s="242">
        <v>448.8</v>
      </c>
      <c r="BP4" s="242">
        <v>464.9</v>
      </c>
      <c r="BQ4">
        <v>1861.1999999999998</v>
      </c>
      <c r="BR4">
        <v>497.7</v>
      </c>
      <c r="BS4">
        <v>522.6</v>
      </c>
      <c r="BT4">
        <v>500.5</v>
      </c>
      <c r="BU4">
        <v>483.5</v>
      </c>
      <c r="BV4">
        <v>2004.3</v>
      </c>
      <c r="BW4">
        <v>478.8</v>
      </c>
      <c r="BX4">
        <v>491.3</v>
      </c>
      <c r="BY4">
        <v>491.5</v>
      </c>
      <c r="BZ4">
        <v>511.7</v>
      </c>
      <c r="CA4">
        <v>1973.3</v>
      </c>
      <c r="CB4">
        <v>540.1</v>
      </c>
      <c r="CC4">
        <v>547.5</v>
      </c>
      <c r="CD4">
        <v>540.5</v>
      </c>
      <c r="CE4">
        <v>561</v>
      </c>
      <c r="CF4">
        <v>2189.1</v>
      </c>
      <c r="CG4">
        <v>609.9</v>
      </c>
      <c r="CH4">
        <v>609</v>
      </c>
      <c r="CI4">
        <v>572.5</v>
      </c>
      <c r="CJ4">
        <v>564.29999999999995</v>
      </c>
      <c r="CK4">
        <v>2355.6999999999998</v>
      </c>
      <c r="CM4" s="242" t="s">
        <v>78</v>
      </c>
      <c r="CN4" s="207">
        <v>1861.1999999999998</v>
      </c>
      <c r="CR4" s="258">
        <v>1861.1999999999998</v>
      </c>
    </row>
    <row r="5" spans="2:96">
      <c r="B5" s="242" t="s">
        <v>79</v>
      </c>
      <c r="C5" s="242">
        <v>-714.22299999999996</v>
      </c>
      <c r="D5" s="242">
        <v>-817.78499999999997</v>
      </c>
      <c r="E5" s="242">
        <v>-909</v>
      </c>
      <c r="F5" s="242">
        <v>-824.3</v>
      </c>
      <c r="G5" s="242">
        <v>-818.6</v>
      </c>
      <c r="H5" s="242">
        <v>-689.5</v>
      </c>
      <c r="I5" s="242">
        <v>-722.4</v>
      </c>
      <c r="J5" s="242">
        <v>-208.2</v>
      </c>
      <c r="K5" s="242">
        <v>-210.7</v>
      </c>
      <c r="L5" s="242">
        <v>-208.2</v>
      </c>
      <c r="M5" s="242">
        <v>-218.30000000000007</v>
      </c>
      <c r="N5" s="242">
        <v>-845.4</v>
      </c>
      <c r="O5" s="242">
        <v>-224.8</v>
      </c>
      <c r="P5" s="242">
        <v>-240.7</v>
      </c>
      <c r="Q5" s="242">
        <v>-218.2</v>
      </c>
      <c r="R5" s="242">
        <v>-223.5</v>
      </c>
      <c r="S5" s="242">
        <v>-907.2</v>
      </c>
      <c r="T5" s="242">
        <v>-235.9</v>
      </c>
      <c r="U5" s="242">
        <v>-244.3</v>
      </c>
      <c r="V5" s="242">
        <v>-229.1</v>
      </c>
      <c r="W5" s="242">
        <v>-218.99999999999989</v>
      </c>
      <c r="X5" s="242">
        <v>-928.3</v>
      </c>
      <c r="Y5" s="242">
        <v>-211.1</v>
      </c>
      <c r="Z5" s="242">
        <v>-219.4</v>
      </c>
      <c r="AA5" s="242">
        <v>-214.2</v>
      </c>
      <c r="AB5" s="242">
        <v>-243.29999999999995</v>
      </c>
      <c r="AC5" s="242">
        <v>-888</v>
      </c>
      <c r="AD5" s="242">
        <v>-264.39999999999998</v>
      </c>
      <c r="AE5" s="242">
        <v>-283.39999999999998</v>
      </c>
      <c r="AF5" s="242">
        <v>-260.3</v>
      </c>
      <c r="AG5" s="242">
        <v>-227.60000000000014</v>
      </c>
      <c r="AH5" s="242">
        <v>-1035.7</v>
      </c>
      <c r="AI5" s="242">
        <v>-230.3</v>
      </c>
      <c r="AJ5" s="242">
        <v>-214.2</v>
      </c>
      <c r="AK5" s="242">
        <v>-205</v>
      </c>
      <c r="AL5" s="242">
        <v>-210.3</v>
      </c>
      <c r="AM5" s="242">
        <v>-859.8</v>
      </c>
      <c r="AN5" s="242">
        <v>-196.9</v>
      </c>
      <c r="AO5" s="242">
        <v>-226.7</v>
      </c>
      <c r="AP5" s="242">
        <v>-224</v>
      </c>
      <c r="AQ5" s="242">
        <v>-243.39999999999998</v>
      </c>
      <c r="AR5" s="242">
        <v>-891</v>
      </c>
      <c r="AS5" s="242">
        <v>-248.6</v>
      </c>
      <c r="AT5" s="242">
        <v>-266.7</v>
      </c>
      <c r="AU5" s="242">
        <v>-265.3</v>
      </c>
      <c r="AV5" s="242">
        <v>-269.7</v>
      </c>
      <c r="AW5" s="242">
        <v>-1050.3</v>
      </c>
      <c r="AX5" s="242">
        <v>-293.7</v>
      </c>
      <c r="AY5" s="242">
        <v>-293.7</v>
      </c>
      <c r="AZ5" s="242">
        <v>-292.39999999999998</v>
      </c>
      <c r="BA5" s="242">
        <v>-291.7</v>
      </c>
      <c r="BB5" s="242">
        <v>-1171.5</v>
      </c>
      <c r="BC5" s="242">
        <v>-304.5</v>
      </c>
      <c r="BD5" s="242">
        <v>-305.8</v>
      </c>
      <c r="BE5" s="242">
        <v>-300.2</v>
      </c>
      <c r="BF5" s="242">
        <v>-313.7</v>
      </c>
      <c r="BG5" s="242">
        <v>-1224.2</v>
      </c>
      <c r="BH5" s="242">
        <v>-332.5</v>
      </c>
      <c r="BI5" s="242">
        <v>-341</v>
      </c>
      <c r="BJ5" s="242">
        <v>-329.9</v>
      </c>
      <c r="BK5" s="242">
        <v>-343.3</v>
      </c>
      <c r="BL5" s="242">
        <v>-1346.7</v>
      </c>
      <c r="BM5" s="242">
        <v>-330</v>
      </c>
      <c r="BN5" s="242">
        <v>-336.6</v>
      </c>
      <c r="BO5" s="242">
        <v>-324.7</v>
      </c>
      <c r="BP5" s="242">
        <v>-337.1</v>
      </c>
      <c r="BQ5">
        <v>-1328.4</v>
      </c>
      <c r="BR5">
        <v>-354.7</v>
      </c>
      <c r="BS5">
        <v>-372.3</v>
      </c>
      <c r="BT5">
        <v>-364.8</v>
      </c>
      <c r="BU5">
        <v>-347.9</v>
      </c>
      <c r="BV5">
        <v>-1439.6999999999998</v>
      </c>
      <c r="BW5">
        <v>-344.7</v>
      </c>
      <c r="BX5">
        <v>-351.4</v>
      </c>
      <c r="BY5">
        <v>-355.9</v>
      </c>
      <c r="BZ5">
        <v>-369.5</v>
      </c>
      <c r="CA5">
        <v>-1421.5</v>
      </c>
      <c r="CB5">
        <v>-397.5</v>
      </c>
      <c r="CC5">
        <v>-402.7</v>
      </c>
      <c r="CD5">
        <v>-397.5</v>
      </c>
      <c r="CE5">
        <v>-410.6</v>
      </c>
      <c r="CF5">
        <v>-1608.3000000000002</v>
      </c>
      <c r="CG5">
        <v>-442.7</v>
      </c>
      <c r="CH5">
        <v>-440.2</v>
      </c>
      <c r="CI5">
        <v>-414.6</v>
      </c>
      <c r="CJ5">
        <v>-417.8</v>
      </c>
      <c r="CK5">
        <v>-1715.3</v>
      </c>
      <c r="CM5" s="242" t="s">
        <v>79</v>
      </c>
      <c r="CN5" s="244">
        <v>-1328.4</v>
      </c>
    </row>
    <row r="6" spans="2:96">
      <c r="B6" s="242" t="s">
        <v>80</v>
      </c>
      <c r="C6" s="242">
        <v>222.63200000000006</v>
      </c>
      <c r="D6" s="242">
        <v>271.25900000000013</v>
      </c>
      <c r="E6" s="242">
        <v>242.5</v>
      </c>
      <c r="F6" s="242">
        <v>231.40000000000009</v>
      </c>
      <c r="G6" s="242">
        <v>190.79999999999995</v>
      </c>
      <c r="H6" s="242">
        <v>161.29999999999995</v>
      </c>
      <c r="I6" s="242">
        <v>174.5</v>
      </c>
      <c r="J6" s="242">
        <v>54.600000000000023</v>
      </c>
      <c r="K6" s="242">
        <v>61.5</v>
      </c>
      <c r="L6" s="242">
        <v>54.900000000000034</v>
      </c>
      <c r="M6" s="242">
        <v>58.099999999999909</v>
      </c>
      <c r="N6" s="242">
        <v>229.09999999999997</v>
      </c>
      <c r="O6" s="242">
        <v>65.800000000000011</v>
      </c>
      <c r="P6" s="242">
        <v>70.600000000000023</v>
      </c>
      <c r="Q6" s="242">
        <v>58.400000000000034</v>
      </c>
      <c r="R6" s="242">
        <v>59.399999999999977</v>
      </c>
      <c r="S6" s="242">
        <v>254.20000000000005</v>
      </c>
      <c r="T6" s="242">
        <v>71.099999999999994</v>
      </c>
      <c r="U6" s="242">
        <v>71.699999999999989</v>
      </c>
      <c r="V6" s="242">
        <v>60.000000000000028</v>
      </c>
      <c r="W6" s="242">
        <v>62</v>
      </c>
      <c r="X6" s="242">
        <v>264.8</v>
      </c>
      <c r="Y6" s="242">
        <v>71.500000000000028</v>
      </c>
      <c r="Z6" s="242">
        <v>70.400000000000006</v>
      </c>
      <c r="AA6" s="242">
        <v>66.900000000000034</v>
      </c>
      <c r="AB6" s="242">
        <v>74.299999999999841</v>
      </c>
      <c r="AC6" s="242">
        <v>283.09999999999991</v>
      </c>
      <c r="AD6" s="242">
        <v>80.100000000000023</v>
      </c>
      <c r="AE6" s="242">
        <v>76.100000000000023</v>
      </c>
      <c r="AF6" s="242">
        <v>71.099999999999966</v>
      </c>
      <c r="AG6" s="242">
        <v>61.899999999999864</v>
      </c>
      <c r="AH6" s="242">
        <v>289.19999999999987</v>
      </c>
      <c r="AI6" s="242">
        <v>77</v>
      </c>
      <c r="AJ6" s="242">
        <v>63.100000000000023</v>
      </c>
      <c r="AK6" s="242">
        <v>52.100000000000023</v>
      </c>
      <c r="AL6" s="242">
        <v>56.300000000000011</v>
      </c>
      <c r="AM6" s="242">
        <v>248.50000000000006</v>
      </c>
      <c r="AN6" s="242">
        <v>66.099999999999994</v>
      </c>
      <c r="AO6" s="242">
        <v>78.400000000000034</v>
      </c>
      <c r="AP6" s="242">
        <v>70.5</v>
      </c>
      <c r="AQ6" s="242">
        <v>67.599999999999909</v>
      </c>
      <c r="AR6" s="242">
        <v>282.59999999999991</v>
      </c>
      <c r="AS6" s="242">
        <v>83.000000000000028</v>
      </c>
      <c r="AT6" s="242">
        <v>87</v>
      </c>
      <c r="AU6" s="242">
        <v>86.5</v>
      </c>
      <c r="AV6" s="242">
        <v>85.600000000000023</v>
      </c>
      <c r="AW6" s="242">
        <v>342.1</v>
      </c>
      <c r="AX6" s="242">
        <v>106.40000000000003</v>
      </c>
      <c r="AY6" s="242">
        <v>105.5</v>
      </c>
      <c r="AZ6" s="242">
        <v>99.200000000000045</v>
      </c>
      <c r="BA6" s="242">
        <v>95.600000000000023</v>
      </c>
      <c r="BB6" s="242">
        <v>406.7000000000001</v>
      </c>
      <c r="BC6" s="242">
        <v>112</v>
      </c>
      <c r="BD6" s="242">
        <v>116.80000000000001</v>
      </c>
      <c r="BE6" s="242">
        <v>112.10000000000002</v>
      </c>
      <c r="BF6" s="242">
        <v>113.10000000000002</v>
      </c>
      <c r="BG6" s="242">
        <v>454.00000000000006</v>
      </c>
      <c r="BH6" s="242">
        <v>129.19999999999999</v>
      </c>
      <c r="BI6" s="242">
        <v>129.10000000000002</v>
      </c>
      <c r="BJ6" s="242">
        <v>122</v>
      </c>
      <c r="BK6" s="242">
        <v>128.5</v>
      </c>
      <c r="BL6" s="242">
        <v>508.8</v>
      </c>
      <c r="BM6" s="242">
        <v>141.80000000000001</v>
      </c>
      <c r="BN6" s="242">
        <v>139.09999999999997</v>
      </c>
      <c r="BO6" s="242">
        <v>124.10000000000002</v>
      </c>
      <c r="BP6" s="242">
        <v>127.79999999999995</v>
      </c>
      <c r="BQ6">
        <v>532.79999999999995</v>
      </c>
      <c r="BR6">
        <v>143</v>
      </c>
      <c r="BS6">
        <v>150.30000000000001</v>
      </c>
      <c r="BT6">
        <v>135.69999999999999</v>
      </c>
      <c r="BU6">
        <v>135.60000000000002</v>
      </c>
      <c r="BV6">
        <v>564.6</v>
      </c>
      <c r="BW6">
        <v>134.10000000000002</v>
      </c>
      <c r="BX6">
        <v>139.90000000000003</v>
      </c>
      <c r="BY6">
        <v>135.60000000000002</v>
      </c>
      <c r="BZ6">
        <v>142.19999999999999</v>
      </c>
      <c r="CA6">
        <v>551.80000000000007</v>
      </c>
      <c r="CB6">
        <v>142.60000000000002</v>
      </c>
      <c r="CC6">
        <v>144.80000000000001</v>
      </c>
      <c r="CD6">
        <v>143</v>
      </c>
      <c r="CE6">
        <v>150.39999999999998</v>
      </c>
      <c r="CF6">
        <v>580.79999999999995</v>
      </c>
      <c r="CG6">
        <v>167.2</v>
      </c>
      <c r="CH6">
        <v>168.8</v>
      </c>
      <c r="CI6">
        <v>157.89999999999998</v>
      </c>
      <c r="CJ6">
        <v>146.49999999999994</v>
      </c>
      <c r="CK6">
        <v>640.39999999999986</v>
      </c>
      <c r="CM6" s="242" t="s">
        <v>80</v>
      </c>
      <c r="CN6" s="244">
        <v>532.79999999999995</v>
      </c>
    </row>
    <row r="7" spans="2:96">
      <c r="B7" s="242" t="s">
        <v>87</v>
      </c>
      <c r="C7" s="242">
        <v>-102.449</v>
      </c>
      <c r="D7" s="242">
        <v>-117.88500000000001</v>
      </c>
      <c r="E7" s="242">
        <v>-128.69999999999999</v>
      </c>
      <c r="F7" s="242">
        <v>-123.9</v>
      </c>
      <c r="G7" s="242">
        <v>-120.9</v>
      </c>
      <c r="H7" s="242">
        <v>-85.9</v>
      </c>
      <c r="I7" s="242">
        <v>-95</v>
      </c>
      <c r="J7" s="242">
        <v>-25.5</v>
      </c>
      <c r="K7" s="242">
        <v>-28.2</v>
      </c>
      <c r="L7" s="242">
        <v>-28.9</v>
      </c>
      <c r="M7" s="242">
        <v>-30.5</v>
      </c>
      <c r="N7" s="242">
        <v>-113.1</v>
      </c>
      <c r="O7" s="242">
        <v>-26.6</v>
      </c>
      <c r="P7" s="242">
        <v>-28.2</v>
      </c>
      <c r="Q7" s="242">
        <v>-26.9</v>
      </c>
      <c r="R7" s="242">
        <v>-24.900000000000006</v>
      </c>
      <c r="S7" s="242">
        <v>-106.6</v>
      </c>
      <c r="T7" s="242">
        <v>-30.7</v>
      </c>
      <c r="U7" s="242">
        <v>-28.8</v>
      </c>
      <c r="V7" s="242">
        <v>-26.6</v>
      </c>
      <c r="W7" s="242">
        <v>-27.100000000000009</v>
      </c>
      <c r="X7" s="242">
        <v>-113.2</v>
      </c>
      <c r="Y7" s="242">
        <v>-31</v>
      </c>
      <c r="Z7" s="242">
        <v>-27.4</v>
      </c>
      <c r="AA7" s="242">
        <v>-26.4</v>
      </c>
      <c r="AB7" s="242">
        <v>-29.200000000000003</v>
      </c>
      <c r="AC7" s="242">
        <v>-114</v>
      </c>
      <c r="AD7" s="242">
        <v>-31.9</v>
      </c>
      <c r="AE7" s="242">
        <v>-30</v>
      </c>
      <c r="AF7" s="242">
        <v>-26.9</v>
      </c>
      <c r="AG7" s="242">
        <v>-24.100000000000009</v>
      </c>
      <c r="AH7" s="242">
        <v>-112.9</v>
      </c>
      <c r="AI7" s="242">
        <v>-29.3</v>
      </c>
      <c r="AJ7" s="242">
        <v>-25.3</v>
      </c>
      <c r="AK7" s="242">
        <v>-25.8</v>
      </c>
      <c r="AL7" s="242">
        <v>-26.8</v>
      </c>
      <c r="AM7" s="242">
        <v>-107.2</v>
      </c>
      <c r="AN7" s="242">
        <v>-31.4</v>
      </c>
      <c r="AO7" s="242">
        <v>-29.6</v>
      </c>
      <c r="AP7" s="242">
        <v>-28.7</v>
      </c>
      <c r="AQ7" s="242">
        <v>-28.799999999999997</v>
      </c>
      <c r="AR7" s="242">
        <v>-118.5</v>
      </c>
      <c r="AS7" s="242">
        <v>-32.9</v>
      </c>
      <c r="AT7" s="242">
        <v>-29.7</v>
      </c>
      <c r="AU7" s="242">
        <v>-29.9</v>
      </c>
      <c r="AV7" s="242">
        <v>-28</v>
      </c>
      <c r="AW7" s="242">
        <v>-120.5</v>
      </c>
      <c r="AX7" s="242">
        <v>-36.6</v>
      </c>
      <c r="AY7" s="242">
        <v>-32.5</v>
      </c>
      <c r="AZ7" s="242">
        <v>-30.3</v>
      </c>
      <c r="BA7" s="242">
        <v>-31.3</v>
      </c>
      <c r="BB7" s="242">
        <v>-130.69999999999999</v>
      </c>
      <c r="BC7" s="242">
        <v>-38</v>
      </c>
      <c r="BD7" s="242">
        <v>-34.799999999999997</v>
      </c>
      <c r="BE7" s="242">
        <v>-32.9</v>
      </c>
      <c r="BF7" s="242">
        <v>-35.700000000000003</v>
      </c>
      <c r="BG7" s="242">
        <v>-141.39999999999998</v>
      </c>
      <c r="BH7" s="242">
        <v>-41</v>
      </c>
      <c r="BI7" s="242">
        <v>-37.1</v>
      </c>
      <c r="BJ7" s="242">
        <v>-32.9</v>
      </c>
      <c r="BK7" s="242">
        <v>-38.1</v>
      </c>
      <c r="BL7" s="242">
        <v>-149.1</v>
      </c>
      <c r="BM7" s="242">
        <v>-46.7</v>
      </c>
      <c r="BN7" s="242">
        <v>-38.1</v>
      </c>
      <c r="BO7" s="242">
        <v>-35.5</v>
      </c>
      <c r="BP7" s="242">
        <v>-35.799999999999997</v>
      </c>
      <c r="BQ7">
        <v>-156.10000000000002</v>
      </c>
      <c r="BR7">
        <v>-47.4</v>
      </c>
      <c r="BS7">
        <v>-38.6</v>
      </c>
      <c r="BT7">
        <v>-35.1</v>
      </c>
      <c r="BU7">
        <v>-36.5</v>
      </c>
      <c r="BV7">
        <v>-157.6</v>
      </c>
      <c r="BW7">
        <v>-42.9</v>
      </c>
      <c r="BX7">
        <v>-38.1</v>
      </c>
      <c r="BY7">
        <v>-34.700000000000003</v>
      </c>
      <c r="BZ7">
        <v>-36.1</v>
      </c>
      <c r="CA7">
        <v>-151.80000000000001</v>
      </c>
      <c r="CB7">
        <v>-46.4</v>
      </c>
      <c r="CC7">
        <v>-35.299999999999997</v>
      </c>
      <c r="CD7">
        <v>-32.6</v>
      </c>
      <c r="CE7">
        <v>-31.7</v>
      </c>
      <c r="CF7">
        <v>-145.99999999999997</v>
      </c>
      <c r="CG7">
        <v>-49.5</v>
      </c>
      <c r="CH7">
        <v>-39.5</v>
      </c>
      <c r="CI7">
        <v>-33.799999999999997</v>
      </c>
      <c r="CJ7">
        <v>-35.9</v>
      </c>
      <c r="CK7">
        <v>-158.69999999999999</v>
      </c>
      <c r="CM7" s="242" t="s">
        <v>87</v>
      </c>
      <c r="CN7" s="244">
        <v>-156.10000000000002</v>
      </c>
    </row>
    <row r="8" spans="2:96">
      <c r="B8" s="242" t="s">
        <v>88</v>
      </c>
      <c r="C8" s="242">
        <v>-18.382999999999999</v>
      </c>
      <c r="D8" s="242">
        <v>-23.623999999999999</v>
      </c>
      <c r="E8" s="242">
        <v>-24.8</v>
      </c>
      <c r="F8" s="242">
        <v>-21.2</v>
      </c>
      <c r="G8" s="242">
        <v>-18.600000000000001</v>
      </c>
      <c r="H8" s="242">
        <v>-14.7</v>
      </c>
      <c r="I8" s="242">
        <v>-17.7</v>
      </c>
      <c r="J8" s="242">
        <v>-4.9000000000000004</v>
      </c>
      <c r="K8" s="242">
        <v>-5</v>
      </c>
      <c r="L8" s="242">
        <v>-5.3</v>
      </c>
      <c r="M8" s="242">
        <v>-6.1000000000000014</v>
      </c>
      <c r="N8" s="242">
        <v>-21.3</v>
      </c>
      <c r="O8" s="242">
        <v>-5.7</v>
      </c>
      <c r="P8" s="242">
        <v>-6</v>
      </c>
      <c r="Q8" s="242">
        <v>-6</v>
      </c>
      <c r="R8" s="242">
        <v>-7.6999999999999993</v>
      </c>
      <c r="S8" s="242">
        <v>-25.4</v>
      </c>
      <c r="T8" s="242">
        <v>-7.6</v>
      </c>
      <c r="U8" s="242">
        <v>-7.5</v>
      </c>
      <c r="V8" s="242">
        <v>-6.3</v>
      </c>
      <c r="W8" s="242">
        <v>-9</v>
      </c>
      <c r="X8" s="242">
        <v>-30.4</v>
      </c>
      <c r="Y8" s="242">
        <v>-9.5</v>
      </c>
      <c r="Z8" s="242">
        <v>-8.5</v>
      </c>
      <c r="AA8" s="242">
        <v>-7.7</v>
      </c>
      <c r="AB8" s="242">
        <v>-8.5000000000000036</v>
      </c>
      <c r="AC8" s="242">
        <v>-34.200000000000003</v>
      </c>
      <c r="AD8" s="242">
        <v>-8.5</v>
      </c>
      <c r="AE8" s="242">
        <v>-8</v>
      </c>
      <c r="AF8" s="242">
        <v>-7.6</v>
      </c>
      <c r="AG8" s="242">
        <v>-7.2999999999999972</v>
      </c>
      <c r="AH8" s="242">
        <v>-31.4</v>
      </c>
      <c r="AI8" s="242">
        <v>-7.8</v>
      </c>
      <c r="AJ8" s="242">
        <v>-6.4</v>
      </c>
      <c r="AK8" s="242">
        <v>-8.4</v>
      </c>
      <c r="AL8" s="242">
        <v>-7.5</v>
      </c>
      <c r="AM8" s="242">
        <v>-30.1</v>
      </c>
      <c r="AN8" s="242">
        <v>-7.4</v>
      </c>
      <c r="AO8" s="242">
        <v>-8.3000000000000007</v>
      </c>
      <c r="AP8" s="242">
        <v>-7.3</v>
      </c>
      <c r="AQ8" s="242">
        <v>-7.8000000000000007</v>
      </c>
      <c r="AR8" s="242">
        <v>-30.8</v>
      </c>
      <c r="AS8" s="242">
        <v>-8.6</v>
      </c>
      <c r="AT8" s="242">
        <v>-7.9</v>
      </c>
      <c r="AU8" s="242">
        <v>-7.9</v>
      </c>
      <c r="AV8" s="242">
        <v>-8.1999999999999993</v>
      </c>
      <c r="AW8" s="242">
        <v>-32.599999999999994</v>
      </c>
      <c r="AX8" s="242">
        <v>-9.1999999999999993</v>
      </c>
      <c r="AY8" s="242">
        <v>-8.6</v>
      </c>
      <c r="AZ8" s="242">
        <v>-8.9</v>
      </c>
      <c r="BA8" s="242">
        <v>-10</v>
      </c>
      <c r="BB8" s="242">
        <v>-36.699999999999996</v>
      </c>
      <c r="BC8" s="242">
        <v>-11</v>
      </c>
      <c r="BD8" s="242">
        <v>-10.1</v>
      </c>
      <c r="BE8" s="242">
        <v>-10.199999999999999</v>
      </c>
      <c r="BF8" s="242">
        <v>-10.4</v>
      </c>
      <c r="BG8" s="242">
        <v>-41.7</v>
      </c>
      <c r="BH8" s="242">
        <v>-13.6</v>
      </c>
      <c r="BI8" s="242">
        <v>-10.9</v>
      </c>
      <c r="BJ8" s="242">
        <v>-10.1</v>
      </c>
      <c r="BK8" s="242">
        <v>-13.3</v>
      </c>
      <c r="BL8" s="242">
        <v>-47.900000000000006</v>
      </c>
      <c r="BM8" s="242">
        <v>-12.5</v>
      </c>
      <c r="BN8" s="242">
        <v>-10.4</v>
      </c>
      <c r="BO8" s="242">
        <v>-10.6</v>
      </c>
      <c r="BP8" s="242">
        <v>-10.8</v>
      </c>
      <c r="BQ8">
        <v>-44.3</v>
      </c>
      <c r="BR8">
        <v>-11.7</v>
      </c>
      <c r="BS8">
        <v>-11.6</v>
      </c>
      <c r="BT8">
        <v>-11.5</v>
      </c>
      <c r="BU8">
        <v>-12.1</v>
      </c>
      <c r="BV8">
        <v>-46.9</v>
      </c>
      <c r="BW8">
        <v>-12.6</v>
      </c>
      <c r="BX8">
        <v>-12.1</v>
      </c>
      <c r="BY8">
        <v>-11.8</v>
      </c>
      <c r="BZ8">
        <v>-12.9</v>
      </c>
      <c r="CA8">
        <v>-49.4</v>
      </c>
      <c r="CB8">
        <v>-13.8</v>
      </c>
      <c r="CC8">
        <v>-13</v>
      </c>
      <c r="CD8">
        <v>-13.9</v>
      </c>
      <c r="CE8">
        <v>-15.2</v>
      </c>
      <c r="CF8">
        <v>-55.900000000000006</v>
      </c>
      <c r="CG8">
        <v>-14.9</v>
      </c>
      <c r="CH8">
        <v>-14.2</v>
      </c>
      <c r="CI8">
        <v>-14.2</v>
      </c>
      <c r="CJ8">
        <v>-13.2</v>
      </c>
      <c r="CK8">
        <v>-56.5</v>
      </c>
      <c r="CM8" s="242" t="s">
        <v>88</v>
      </c>
      <c r="CN8" s="244">
        <v>-44.3</v>
      </c>
    </row>
    <row r="9" spans="2:96">
      <c r="B9" s="242" t="s">
        <v>81</v>
      </c>
      <c r="C9" s="242">
        <v>-25.343</v>
      </c>
      <c r="D9" s="242">
        <v>-12.711</v>
      </c>
      <c r="E9" s="242">
        <v>-20.100000000000001</v>
      </c>
      <c r="F9" s="242">
        <v>-10.9</v>
      </c>
      <c r="G9" s="242">
        <v>-367.5</v>
      </c>
      <c r="H9" s="242">
        <v>-0.5</v>
      </c>
      <c r="I9" s="242">
        <v>-4</v>
      </c>
      <c r="J9" s="242">
        <v>-0.5</v>
      </c>
      <c r="K9" s="242">
        <v>-2.4</v>
      </c>
      <c r="L9" s="242">
        <v>-2.1</v>
      </c>
      <c r="M9" s="242">
        <v>-0.90000000000000036</v>
      </c>
      <c r="N9" s="242">
        <v>-5.9</v>
      </c>
      <c r="O9" s="242">
        <v>-0.60000000000000009</v>
      </c>
      <c r="P9" s="242">
        <v>0.5</v>
      </c>
      <c r="Q9" s="242">
        <v>-16.8</v>
      </c>
      <c r="R9" s="242">
        <v>-1.0999999999999979</v>
      </c>
      <c r="S9" s="242">
        <v>-18</v>
      </c>
      <c r="T9" s="242">
        <v>-3</v>
      </c>
      <c r="U9" s="242">
        <v>-1.1000000000000001</v>
      </c>
      <c r="V9" s="242">
        <v>-1.4</v>
      </c>
      <c r="W9" s="242">
        <v>-9.3000000000000007</v>
      </c>
      <c r="X9" s="242">
        <v>-14.8</v>
      </c>
      <c r="Y9" s="242">
        <v>-1.1000000000000001</v>
      </c>
      <c r="Z9" s="242">
        <v>-0.5</v>
      </c>
      <c r="AA9" s="242">
        <v>-2.6</v>
      </c>
      <c r="AB9" s="242">
        <v>-15.7</v>
      </c>
      <c r="AC9" s="242">
        <v>-19.899999999999999</v>
      </c>
      <c r="AD9" s="242">
        <v>-3.3000000000000003</v>
      </c>
      <c r="AE9" s="242">
        <v>-8.7999999999999989</v>
      </c>
      <c r="AF9" s="242">
        <v>-0.7</v>
      </c>
      <c r="AG9" s="242">
        <v>-1.2000000000000011</v>
      </c>
      <c r="AH9" s="242">
        <v>-14</v>
      </c>
      <c r="AI9" s="242">
        <v>0</v>
      </c>
      <c r="AJ9" s="242">
        <v>-1.7</v>
      </c>
      <c r="AK9" s="242">
        <v>1.7</v>
      </c>
      <c r="AL9" s="242">
        <v>-7.5</v>
      </c>
      <c r="AM9" s="242">
        <v>-7.5</v>
      </c>
      <c r="AN9" s="242">
        <v>-3.5</v>
      </c>
      <c r="AO9" s="242">
        <v>0</v>
      </c>
      <c r="AP9" s="242">
        <v>0</v>
      </c>
      <c r="AQ9" s="242">
        <v>0</v>
      </c>
      <c r="AR9" s="242">
        <v>-3.5</v>
      </c>
      <c r="AS9" s="242">
        <v>5.7</v>
      </c>
      <c r="AT9" s="242">
        <v>0</v>
      </c>
      <c r="AU9" s="242">
        <v>-2.7</v>
      </c>
      <c r="AV9" s="242">
        <v>0</v>
      </c>
      <c r="AW9" s="242">
        <v>3</v>
      </c>
      <c r="AX9" s="242">
        <v>0</v>
      </c>
      <c r="AY9" s="242">
        <v>9.5</v>
      </c>
      <c r="AZ9" s="242">
        <v>0</v>
      </c>
      <c r="BA9" s="242">
        <v>0</v>
      </c>
      <c r="BB9" s="242">
        <v>9.5</v>
      </c>
      <c r="BC9" s="242">
        <v>0</v>
      </c>
      <c r="BD9" s="242">
        <v>0</v>
      </c>
      <c r="BE9" s="242">
        <v>0</v>
      </c>
      <c r="BF9" s="242">
        <v>0</v>
      </c>
      <c r="BG9" s="242">
        <v>0</v>
      </c>
      <c r="BH9" s="242">
        <v>0</v>
      </c>
      <c r="BI9" s="242">
        <v>-6</v>
      </c>
      <c r="BJ9" s="242">
        <v>0</v>
      </c>
      <c r="BK9" s="242">
        <v>0</v>
      </c>
      <c r="BL9" s="242">
        <v>-6</v>
      </c>
      <c r="BM9" s="242">
        <v>0</v>
      </c>
      <c r="BN9" s="242">
        <v>0</v>
      </c>
      <c r="BO9" s="242">
        <v>0</v>
      </c>
      <c r="BP9" s="242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-7.7</v>
      </c>
      <c r="CF9">
        <v>-7.7</v>
      </c>
      <c r="CG9">
        <v>0</v>
      </c>
      <c r="CH9">
        <v>0</v>
      </c>
      <c r="CI9">
        <v>0</v>
      </c>
      <c r="CJ9">
        <v>0</v>
      </c>
      <c r="CK9">
        <v>0</v>
      </c>
      <c r="CM9" s="242" t="s">
        <v>81</v>
      </c>
      <c r="CN9" s="244">
        <v>0</v>
      </c>
    </row>
    <row r="10" spans="2:96">
      <c r="B10" s="242" t="s">
        <v>82</v>
      </c>
      <c r="C10" s="242">
        <v>76.457000000000065</v>
      </c>
      <c r="D10" s="242">
        <v>117.03900000000014</v>
      </c>
      <c r="E10" s="242">
        <v>68.900000000000006</v>
      </c>
      <c r="F10" s="242">
        <v>75.400000000000077</v>
      </c>
      <c r="G10" s="242">
        <v>-316.20000000000005</v>
      </c>
      <c r="H10" s="242">
        <v>60.199999999999946</v>
      </c>
      <c r="I10" s="242">
        <v>57.8</v>
      </c>
      <c r="J10" s="242">
        <v>23.700000000000024</v>
      </c>
      <c r="K10" s="242">
        <v>25.9</v>
      </c>
      <c r="L10" s="242">
        <v>18.600000000000033</v>
      </c>
      <c r="M10" s="242">
        <v>20.599999999999909</v>
      </c>
      <c r="N10" s="242">
        <v>88.799999999999969</v>
      </c>
      <c r="O10" s="242">
        <v>32.900000000000006</v>
      </c>
      <c r="P10" s="242">
        <v>36.90000000000002</v>
      </c>
      <c r="Q10" s="242">
        <v>8.7000000000000348</v>
      </c>
      <c r="R10" s="242">
        <v>25.699999999999974</v>
      </c>
      <c r="S10" s="242">
        <v>104.20000000000003</v>
      </c>
      <c r="T10" s="242">
        <v>29.79999999999999</v>
      </c>
      <c r="U10" s="242">
        <v>34.29999999999999</v>
      </c>
      <c r="V10" s="242">
        <v>25.700000000000028</v>
      </c>
      <c r="W10" s="242">
        <v>16.599999999999991</v>
      </c>
      <c r="X10" s="242">
        <v>106.4</v>
      </c>
      <c r="Y10" s="242">
        <v>29.900000000000027</v>
      </c>
      <c r="Z10" s="242">
        <v>34.000000000000007</v>
      </c>
      <c r="AA10" s="242">
        <v>30.200000000000031</v>
      </c>
      <c r="AB10" s="242">
        <v>20.899999999999839</v>
      </c>
      <c r="AC10" s="242">
        <v>114.9999999999999</v>
      </c>
      <c r="AD10" s="242">
        <v>36.400000000000027</v>
      </c>
      <c r="AE10" s="242">
        <v>29.300000000000026</v>
      </c>
      <c r="AF10" s="242">
        <v>35.899999999999963</v>
      </c>
      <c r="AG10" s="242">
        <v>29.299999999999855</v>
      </c>
      <c r="AH10" s="242">
        <v>130.89999999999986</v>
      </c>
      <c r="AI10" s="242">
        <v>39.900000000000006</v>
      </c>
      <c r="AJ10" s="242">
        <v>29.700000000000028</v>
      </c>
      <c r="AK10" s="242">
        <v>19.600000000000019</v>
      </c>
      <c r="AL10" s="242">
        <v>14.500000000000011</v>
      </c>
      <c r="AM10" s="242">
        <v>103.70000000000007</v>
      </c>
      <c r="AN10" s="242">
        <v>23.799999999999997</v>
      </c>
      <c r="AO10" s="242">
        <v>40.500000000000028</v>
      </c>
      <c r="AP10" s="242">
        <v>34.5</v>
      </c>
      <c r="AQ10" s="242">
        <v>30.999999999999911</v>
      </c>
      <c r="AR10" s="242">
        <v>129.79999999999993</v>
      </c>
      <c r="AS10" s="242">
        <v>47.200000000000031</v>
      </c>
      <c r="AT10" s="242">
        <v>49.4</v>
      </c>
      <c r="AU10" s="242">
        <v>46</v>
      </c>
      <c r="AV10" s="242">
        <v>49.40000000000002</v>
      </c>
      <c r="AW10" s="242">
        <v>192.00000000000006</v>
      </c>
      <c r="AX10" s="242">
        <v>60.600000000000037</v>
      </c>
      <c r="AY10" s="242">
        <v>73.900000000000006</v>
      </c>
      <c r="AZ10" s="242">
        <v>60.00000000000005</v>
      </c>
      <c r="BA10" s="242">
        <v>54.300000000000026</v>
      </c>
      <c r="BB10" s="242">
        <v>248.80000000000013</v>
      </c>
      <c r="BC10" s="242">
        <v>63</v>
      </c>
      <c r="BD10" s="242">
        <v>71.90000000000002</v>
      </c>
      <c r="BE10" s="242">
        <v>69.000000000000014</v>
      </c>
      <c r="BF10" s="242">
        <v>67.000000000000014</v>
      </c>
      <c r="BG10" s="242">
        <v>270.90000000000003</v>
      </c>
      <c r="BH10" s="242">
        <v>74.599999999999994</v>
      </c>
      <c r="BI10" s="242">
        <v>75.100000000000023</v>
      </c>
      <c r="BJ10" s="242">
        <v>79</v>
      </c>
      <c r="BK10" s="242">
        <v>77.100000000000009</v>
      </c>
      <c r="BL10" s="242">
        <v>305.8</v>
      </c>
      <c r="BM10" s="242">
        <v>82.600000000000009</v>
      </c>
      <c r="BN10" s="242">
        <v>90.599999999999966</v>
      </c>
      <c r="BO10" s="242">
        <v>78.000000000000028</v>
      </c>
      <c r="BP10" s="242">
        <v>81.19999999999996</v>
      </c>
      <c r="BQ10">
        <v>332.4</v>
      </c>
      <c r="BR10">
        <v>83.899999999999991</v>
      </c>
      <c r="BS10">
        <v>100.10000000000002</v>
      </c>
      <c r="BT10">
        <v>89.1</v>
      </c>
      <c r="BU10">
        <v>87.000000000000028</v>
      </c>
      <c r="BV10">
        <v>360.1</v>
      </c>
      <c r="BW10">
        <v>78.600000000000023</v>
      </c>
      <c r="BX10">
        <v>89.700000000000045</v>
      </c>
      <c r="BY10">
        <v>89.100000000000023</v>
      </c>
      <c r="BZ10">
        <v>93.199999999999989</v>
      </c>
      <c r="CA10">
        <v>350.60000000000008</v>
      </c>
      <c r="CB10">
        <v>82.40000000000002</v>
      </c>
      <c r="CC10">
        <v>96.500000000000014</v>
      </c>
      <c r="CD10">
        <v>96.5</v>
      </c>
      <c r="CE10">
        <v>95.799999999999969</v>
      </c>
      <c r="CF10">
        <v>371.2</v>
      </c>
      <c r="CG10">
        <v>102.79999999999998</v>
      </c>
      <c r="CH10">
        <v>115.10000000000001</v>
      </c>
      <c r="CI10">
        <v>109.89999999999998</v>
      </c>
      <c r="CJ10">
        <v>97.399999999999935</v>
      </c>
      <c r="CK10">
        <v>425.19999999999987</v>
      </c>
      <c r="CM10" s="242" t="s">
        <v>82</v>
      </c>
      <c r="CN10" s="244">
        <v>332.4</v>
      </c>
    </row>
    <row r="11" spans="2:96">
      <c r="B11" s="242" t="s">
        <v>83</v>
      </c>
      <c r="C11" s="242">
        <v>-25.704999999999998</v>
      </c>
      <c r="D11" s="242">
        <v>-38.674999999999997</v>
      </c>
      <c r="E11" s="242">
        <v>-73.900000000000006</v>
      </c>
      <c r="F11" s="242">
        <v>-68.7</v>
      </c>
      <c r="G11" s="242">
        <v>-64.8</v>
      </c>
      <c r="H11" s="242">
        <v>-62.8</v>
      </c>
      <c r="I11" s="242">
        <v>-53.6</v>
      </c>
      <c r="J11" s="242">
        <v>-12.4</v>
      </c>
      <c r="K11" s="242">
        <v>-11.9</v>
      </c>
      <c r="L11" s="242">
        <v>-12</v>
      </c>
      <c r="M11" s="242">
        <v>-11.400000000000006</v>
      </c>
      <c r="N11" s="242">
        <v>-47.7</v>
      </c>
      <c r="O11" s="242">
        <v>-11.9</v>
      </c>
      <c r="P11" s="242">
        <v>-7.4</v>
      </c>
      <c r="Q11" s="242">
        <v>-7.4</v>
      </c>
      <c r="R11" s="242">
        <v>-7.1999999999999957</v>
      </c>
      <c r="S11" s="242">
        <v>-33.9</v>
      </c>
      <c r="T11" s="242">
        <v>-7.8</v>
      </c>
      <c r="U11" s="242">
        <v>-7.1</v>
      </c>
      <c r="V11" s="242">
        <v>-6.8</v>
      </c>
      <c r="W11" s="242">
        <v>-6.3000000000000007</v>
      </c>
      <c r="X11" s="242">
        <v>-28</v>
      </c>
      <c r="Y11" s="242">
        <v>-5.7</v>
      </c>
      <c r="Z11" s="242">
        <v>-6</v>
      </c>
      <c r="AA11" s="242">
        <v>-5.3</v>
      </c>
      <c r="AB11" s="242">
        <v>-4.3999999999999986</v>
      </c>
      <c r="AC11" s="242">
        <v>-21.4</v>
      </c>
      <c r="AD11" s="242">
        <v>-5</v>
      </c>
      <c r="AE11" s="242">
        <v>-5.9</v>
      </c>
      <c r="AF11" s="242">
        <v>-4.5999999999999996</v>
      </c>
      <c r="AG11" s="242">
        <v>-4.6999999999999993</v>
      </c>
      <c r="AH11" s="242">
        <v>-20.2</v>
      </c>
      <c r="AI11" s="242">
        <v>-5.4</v>
      </c>
      <c r="AJ11" s="242">
        <v>-7.5</v>
      </c>
      <c r="AK11" s="242">
        <v>-6.9</v>
      </c>
      <c r="AL11" s="242">
        <v>-6.3</v>
      </c>
      <c r="AM11" s="242">
        <v>-26.1</v>
      </c>
      <c r="AN11" s="242">
        <v>-6.6</v>
      </c>
      <c r="AO11" s="242">
        <v>-7.1</v>
      </c>
      <c r="AP11" s="242">
        <v>-5.3</v>
      </c>
      <c r="AQ11" s="242">
        <v>-4.1999999999999993</v>
      </c>
      <c r="AR11" s="242">
        <v>-23.2</v>
      </c>
      <c r="AS11" s="242">
        <v>-4.2</v>
      </c>
      <c r="AT11" s="242">
        <v>-2.9</v>
      </c>
      <c r="AU11" s="242">
        <v>-2.2000000000000002</v>
      </c>
      <c r="AV11" s="242">
        <v>-2.2999999999999998</v>
      </c>
      <c r="AW11" s="242">
        <v>-11.600000000000001</v>
      </c>
      <c r="AX11" s="242">
        <v>-3</v>
      </c>
      <c r="AY11" s="242">
        <v>-3</v>
      </c>
      <c r="AZ11" s="242">
        <v>-2.2000000000000002</v>
      </c>
      <c r="BA11" s="242">
        <v>-1.8</v>
      </c>
      <c r="BB11" s="242">
        <v>-10</v>
      </c>
      <c r="BC11" s="242">
        <v>-1.7</v>
      </c>
      <c r="BD11" s="242">
        <v>-2.1</v>
      </c>
      <c r="BE11" s="242">
        <v>-1.9</v>
      </c>
      <c r="BF11" s="242">
        <v>-1.6</v>
      </c>
      <c r="BG11" s="242">
        <v>-7.2999999999999989</v>
      </c>
      <c r="BH11" s="242">
        <v>-1.8</v>
      </c>
      <c r="BI11" s="242">
        <v>-2</v>
      </c>
      <c r="BJ11" s="242">
        <v>-2.1</v>
      </c>
      <c r="BK11" s="242">
        <v>-2.1</v>
      </c>
      <c r="BL11" s="242">
        <v>-8</v>
      </c>
      <c r="BM11" s="242">
        <v>-1.9</v>
      </c>
      <c r="BN11" s="242">
        <v>-2.5</v>
      </c>
      <c r="BO11" s="242">
        <v>-4.5999999999999996</v>
      </c>
      <c r="BP11" s="242">
        <v>-5.2</v>
      </c>
      <c r="BQ11">
        <v>-14.2</v>
      </c>
      <c r="BR11">
        <v>-5.6</v>
      </c>
      <c r="BS11">
        <v>-5.7</v>
      </c>
      <c r="BT11">
        <v>-5.5</v>
      </c>
      <c r="BU11">
        <v>-5.3</v>
      </c>
      <c r="BV11">
        <v>-22.1</v>
      </c>
      <c r="BW11">
        <v>-6.2</v>
      </c>
      <c r="BX11">
        <v>-6.8</v>
      </c>
      <c r="BY11">
        <v>-7</v>
      </c>
      <c r="BZ11">
        <v>-7.4</v>
      </c>
      <c r="CA11">
        <v>-27.4</v>
      </c>
      <c r="CB11">
        <v>-8</v>
      </c>
      <c r="CC11">
        <v>-8.6999999999999993</v>
      </c>
      <c r="CD11">
        <v>-10.6</v>
      </c>
      <c r="CE11">
        <v>-10.4</v>
      </c>
      <c r="CF11">
        <v>-37.699999999999996</v>
      </c>
      <c r="CG11">
        <v>-12</v>
      </c>
      <c r="CH11">
        <v>-11.9</v>
      </c>
      <c r="CI11">
        <v>-11</v>
      </c>
      <c r="CJ11">
        <v>-10.6</v>
      </c>
      <c r="CK11">
        <v>-45.5</v>
      </c>
      <c r="CM11" s="242" t="s">
        <v>83</v>
      </c>
      <c r="CN11" s="244">
        <v>-14.2</v>
      </c>
    </row>
    <row r="12" spans="2:96">
      <c r="B12" s="242" t="s">
        <v>84</v>
      </c>
      <c r="C12" s="242">
        <v>0</v>
      </c>
      <c r="D12" s="242">
        <v>0.51700000000000002</v>
      </c>
      <c r="E12" s="242">
        <v>-20</v>
      </c>
      <c r="F12" s="242">
        <v>68.3</v>
      </c>
      <c r="G12" s="242">
        <v>0</v>
      </c>
      <c r="H12" s="242">
        <v>10.3</v>
      </c>
      <c r="I12" s="242">
        <v>-0.4</v>
      </c>
      <c r="J12" s="242">
        <v>-0.1</v>
      </c>
      <c r="K12" s="242">
        <v>-0.5</v>
      </c>
      <c r="L12" s="242">
        <v>0</v>
      </c>
      <c r="M12" s="242">
        <v>-1.6</v>
      </c>
      <c r="N12" s="242">
        <v>-2.2000000000000002</v>
      </c>
      <c r="O12" s="242">
        <v>-40.299999999999997</v>
      </c>
      <c r="P12" s="242">
        <v>-0.6</v>
      </c>
      <c r="Q12" s="242">
        <v>0</v>
      </c>
      <c r="R12" s="242">
        <v>0</v>
      </c>
      <c r="S12" s="242">
        <v>-40.9</v>
      </c>
      <c r="T12" s="242">
        <v>0</v>
      </c>
      <c r="U12" s="242">
        <v>0</v>
      </c>
      <c r="V12" s="242">
        <v>0</v>
      </c>
      <c r="W12" s="242">
        <v>15.7</v>
      </c>
      <c r="X12" s="242">
        <v>15.7</v>
      </c>
      <c r="Y12" s="242">
        <v>-0.4</v>
      </c>
      <c r="Z12" s="242">
        <v>0</v>
      </c>
      <c r="AA12" s="242">
        <v>-0.5</v>
      </c>
      <c r="AB12" s="242">
        <v>-0.20000000000000007</v>
      </c>
      <c r="AC12" s="242">
        <v>-1.1000000000000001</v>
      </c>
      <c r="AD12" s="242">
        <v>0</v>
      </c>
      <c r="AE12" s="242">
        <v>0</v>
      </c>
      <c r="AF12" s="242">
        <v>0</v>
      </c>
      <c r="AG12" s="242">
        <v>0</v>
      </c>
      <c r="AH12" s="242">
        <v>0</v>
      </c>
      <c r="AI12" s="242">
        <v>0</v>
      </c>
      <c r="AJ12" s="242">
        <v>0</v>
      </c>
      <c r="AK12" s="242">
        <v>0</v>
      </c>
      <c r="AL12" s="242">
        <v>0</v>
      </c>
      <c r="AM12" s="242">
        <v>0</v>
      </c>
      <c r="AN12" s="242">
        <v>0</v>
      </c>
      <c r="AO12" s="242">
        <v>0</v>
      </c>
      <c r="AP12" s="242">
        <v>-6.8</v>
      </c>
      <c r="AQ12" s="242">
        <v>0</v>
      </c>
      <c r="AR12" s="242">
        <v>-6.8</v>
      </c>
      <c r="AS12" s="242">
        <v>-4.9000000000000004</v>
      </c>
      <c r="AT12" s="242">
        <v>0</v>
      </c>
      <c r="AU12" s="242">
        <v>0</v>
      </c>
      <c r="AV12" s="242">
        <v>0</v>
      </c>
      <c r="AW12" s="242">
        <v>-4.9000000000000004</v>
      </c>
      <c r="AX12" s="242">
        <v>0</v>
      </c>
      <c r="AY12" s="242">
        <v>-1.1000000000000001</v>
      </c>
      <c r="AZ12" s="242">
        <v>0</v>
      </c>
      <c r="BA12" s="242">
        <v>0</v>
      </c>
      <c r="BB12" s="242">
        <v>-1.1000000000000001</v>
      </c>
      <c r="BC12" s="242">
        <v>0</v>
      </c>
      <c r="BD12" s="242">
        <v>-1</v>
      </c>
      <c r="BE12" s="242">
        <v>0</v>
      </c>
      <c r="BF12" s="242">
        <v>0</v>
      </c>
      <c r="BG12" s="242">
        <v>-1</v>
      </c>
      <c r="BH12" s="242">
        <v>0</v>
      </c>
      <c r="BI12" s="242">
        <v>0</v>
      </c>
      <c r="BJ12" s="242">
        <v>-0.5</v>
      </c>
      <c r="BK12" s="242">
        <v>0</v>
      </c>
      <c r="BL12" s="242">
        <v>-0.5</v>
      </c>
      <c r="BM12" s="242">
        <v>0</v>
      </c>
      <c r="BN12" s="242">
        <v>0</v>
      </c>
      <c r="BO12" s="242">
        <v>0</v>
      </c>
      <c r="BP12" s="242">
        <v>0</v>
      </c>
      <c r="BQ12">
        <v>0</v>
      </c>
      <c r="BR12">
        <v>0</v>
      </c>
      <c r="BS12">
        <v>-0.4</v>
      </c>
      <c r="BT12">
        <v>0</v>
      </c>
      <c r="BU12">
        <v>0</v>
      </c>
      <c r="BV12">
        <v>-0.4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M12" s="242" t="s">
        <v>84</v>
      </c>
      <c r="CN12" s="244">
        <v>0</v>
      </c>
    </row>
    <row r="13" spans="2:96">
      <c r="B13" s="242" t="s">
        <v>85</v>
      </c>
      <c r="C13" s="242">
        <v>50.752000000000066</v>
      </c>
      <c r="D13" s="242">
        <v>78.881000000000142</v>
      </c>
      <c r="E13" s="242">
        <v>-25</v>
      </c>
      <c r="F13" s="242">
        <v>75.000000000000071</v>
      </c>
      <c r="G13" s="242">
        <v>-381.00000000000006</v>
      </c>
      <c r="H13" s="242">
        <v>7.6999999999999496</v>
      </c>
      <c r="I13" s="242">
        <v>3.7999999999999958</v>
      </c>
      <c r="J13" s="242">
        <v>11.200000000000024</v>
      </c>
      <c r="K13" s="242">
        <v>13.499999999999998</v>
      </c>
      <c r="L13" s="242">
        <v>6.6000000000000334</v>
      </c>
      <c r="M13" s="242">
        <v>7.5999999999999037</v>
      </c>
      <c r="N13" s="242">
        <v>38.899999999999963</v>
      </c>
      <c r="O13" s="242">
        <v>-19.29999999999999</v>
      </c>
      <c r="P13" s="242">
        <v>28.90000000000002</v>
      </c>
      <c r="Q13" s="242">
        <v>1.3000000000000345</v>
      </c>
      <c r="R13" s="242">
        <v>18.499999999999979</v>
      </c>
      <c r="S13" s="242">
        <v>29.400000000000041</v>
      </c>
      <c r="T13" s="242">
        <v>21.999999999999989</v>
      </c>
      <c r="U13" s="242">
        <v>27.199999999999989</v>
      </c>
      <c r="V13" s="242">
        <v>18.900000000000027</v>
      </c>
      <c r="W13" s="242">
        <v>25.999999999999989</v>
      </c>
      <c r="X13" s="242">
        <v>94.09999999999998</v>
      </c>
      <c r="Y13" s="242">
        <v>23.800000000000029</v>
      </c>
      <c r="Z13" s="242">
        <v>28.000000000000007</v>
      </c>
      <c r="AA13" s="242">
        <v>24.400000000000031</v>
      </c>
      <c r="AB13" s="242">
        <v>16.299999999999841</v>
      </c>
      <c r="AC13" s="242">
        <v>92.499999999999915</v>
      </c>
      <c r="AD13" s="242">
        <v>31.400000000000027</v>
      </c>
      <c r="AE13" s="242">
        <v>23.400000000000027</v>
      </c>
      <c r="AF13" s="242">
        <v>31.299999999999962</v>
      </c>
      <c r="AG13" s="242">
        <v>24.599999999999856</v>
      </c>
      <c r="AH13" s="242">
        <v>110.69999999999987</v>
      </c>
      <c r="AI13" s="242">
        <v>34.500000000000007</v>
      </c>
      <c r="AJ13" s="242">
        <v>22.200000000000028</v>
      </c>
      <c r="AK13" s="242">
        <v>12.700000000000019</v>
      </c>
      <c r="AL13" s="242">
        <v>8.2000000000000099</v>
      </c>
      <c r="AM13" s="242">
        <v>77.600000000000051</v>
      </c>
      <c r="AN13" s="242">
        <v>17.199999999999996</v>
      </c>
      <c r="AO13" s="242">
        <v>33.400000000000027</v>
      </c>
      <c r="AP13" s="242">
        <v>22.4</v>
      </c>
      <c r="AQ13" s="242">
        <v>26.799999999999912</v>
      </c>
      <c r="AR13" s="242">
        <v>99.79999999999994</v>
      </c>
      <c r="AS13" s="242">
        <v>38.10000000000003</v>
      </c>
      <c r="AT13" s="242">
        <v>46.5</v>
      </c>
      <c r="AU13" s="242">
        <v>43.8</v>
      </c>
      <c r="AV13" s="242">
        <v>47.100000000000023</v>
      </c>
      <c r="AW13" s="242">
        <v>175.50000000000006</v>
      </c>
      <c r="AX13" s="242">
        <v>57.600000000000037</v>
      </c>
      <c r="AY13" s="242">
        <v>69.800000000000011</v>
      </c>
      <c r="AZ13" s="242">
        <v>57.800000000000047</v>
      </c>
      <c r="BA13" s="242">
        <v>52.500000000000028</v>
      </c>
      <c r="BB13" s="242">
        <v>237.70000000000013</v>
      </c>
      <c r="BC13" s="242">
        <v>61.3</v>
      </c>
      <c r="BD13" s="242">
        <v>68.800000000000026</v>
      </c>
      <c r="BE13" s="242">
        <v>67.100000000000009</v>
      </c>
      <c r="BF13" s="242">
        <v>65.40000000000002</v>
      </c>
      <c r="BG13" s="242">
        <v>262.60000000000008</v>
      </c>
      <c r="BH13" s="242">
        <v>72.8</v>
      </c>
      <c r="BI13" s="242">
        <v>73.100000000000023</v>
      </c>
      <c r="BJ13" s="242">
        <v>76.400000000000006</v>
      </c>
      <c r="BK13" s="242">
        <v>75.000000000000014</v>
      </c>
      <c r="BL13" s="242">
        <v>297.30000000000007</v>
      </c>
      <c r="BM13" s="242">
        <v>80.7</v>
      </c>
      <c r="BN13" s="242">
        <v>88.099999999999966</v>
      </c>
      <c r="BO13" s="242">
        <v>73.400000000000034</v>
      </c>
      <c r="BP13" s="242">
        <v>75.999999999999957</v>
      </c>
      <c r="BQ13">
        <v>318.19999999999993</v>
      </c>
      <c r="BR13">
        <v>78.3</v>
      </c>
      <c r="BS13">
        <v>94.000000000000014</v>
      </c>
      <c r="BT13">
        <v>83.6</v>
      </c>
      <c r="BU13">
        <v>81.700000000000031</v>
      </c>
      <c r="BV13">
        <v>337.6</v>
      </c>
      <c r="BW13">
        <v>72.40000000000002</v>
      </c>
      <c r="BX13">
        <v>82.900000000000048</v>
      </c>
      <c r="BY13">
        <v>82.100000000000023</v>
      </c>
      <c r="BZ13">
        <v>85.799999999999983</v>
      </c>
      <c r="CA13">
        <v>323.20000000000005</v>
      </c>
      <c r="CB13">
        <v>74.40000000000002</v>
      </c>
      <c r="CC13">
        <v>87.800000000000011</v>
      </c>
      <c r="CD13">
        <v>85.9</v>
      </c>
      <c r="CE13">
        <v>85.399999999999963</v>
      </c>
      <c r="CF13">
        <v>333.5</v>
      </c>
      <c r="CG13">
        <v>90.799999999999983</v>
      </c>
      <c r="CH13">
        <v>103.2</v>
      </c>
      <c r="CI13">
        <v>98.899999999999977</v>
      </c>
      <c r="CJ13">
        <v>86.79999999999994</v>
      </c>
      <c r="CK13">
        <v>379.69999999999993</v>
      </c>
      <c r="CM13" s="242" t="s">
        <v>85</v>
      </c>
      <c r="CN13" s="244">
        <v>318.19999999999993</v>
      </c>
    </row>
    <row r="14" spans="2:96">
      <c r="B14" s="242" t="s">
        <v>25</v>
      </c>
      <c r="C14" s="242">
        <v>22.878</v>
      </c>
      <c r="D14" s="242">
        <v>-28.442</v>
      </c>
      <c r="E14" s="242">
        <v>1.7</v>
      </c>
      <c r="F14" s="242">
        <v>-26.3</v>
      </c>
      <c r="G14" s="242">
        <v>-40.5</v>
      </c>
      <c r="H14" s="242">
        <v>-11.3</v>
      </c>
      <c r="I14" s="242">
        <v>-13.5</v>
      </c>
      <c r="J14" s="242">
        <v>-3.4</v>
      </c>
      <c r="K14" s="242">
        <v>-5.2</v>
      </c>
      <c r="L14" s="242">
        <v>-2.2999999999999998</v>
      </c>
      <c r="M14" s="242">
        <v>-0.30000000000000071</v>
      </c>
      <c r="N14" s="242">
        <v>-11.2</v>
      </c>
      <c r="O14" s="242">
        <v>-3.6</v>
      </c>
      <c r="P14" s="242">
        <v>-3.6</v>
      </c>
      <c r="Q14" s="242">
        <v>-1.4</v>
      </c>
      <c r="R14" s="242">
        <v>115.3</v>
      </c>
      <c r="S14" s="242">
        <v>106.7</v>
      </c>
      <c r="T14" s="242">
        <v>-8.6</v>
      </c>
      <c r="U14" s="242">
        <v>-10.7</v>
      </c>
      <c r="V14" s="242">
        <v>-4.2</v>
      </c>
      <c r="W14" s="242">
        <v>-10.600000000000005</v>
      </c>
      <c r="X14" s="242">
        <v>-34.1</v>
      </c>
      <c r="Y14" s="242">
        <v>-10</v>
      </c>
      <c r="Z14" s="242">
        <v>-11.9</v>
      </c>
      <c r="AA14" s="242">
        <v>-7.2</v>
      </c>
      <c r="AB14" s="242">
        <v>-4.3000000000000007</v>
      </c>
      <c r="AC14" s="242">
        <v>-33.4</v>
      </c>
      <c r="AD14" s="242">
        <v>-9.6</v>
      </c>
      <c r="AE14" s="242">
        <v>2</v>
      </c>
      <c r="AF14" s="242">
        <v>-11.3</v>
      </c>
      <c r="AG14" s="242">
        <v>3.2999999999999989</v>
      </c>
      <c r="AH14" s="242">
        <v>-15.6</v>
      </c>
      <c r="AI14" s="242">
        <v>-11.2</v>
      </c>
      <c r="AJ14" s="242">
        <v>-5.7</v>
      </c>
      <c r="AK14" s="242">
        <v>-2.5</v>
      </c>
      <c r="AL14" s="242">
        <v>-2.6</v>
      </c>
      <c r="AM14" s="242">
        <v>-22</v>
      </c>
      <c r="AN14" s="242">
        <v>-1.5</v>
      </c>
      <c r="AO14" s="242">
        <v>-10.6</v>
      </c>
      <c r="AP14" s="242">
        <v>-6.8</v>
      </c>
      <c r="AQ14" s="242">
        <v>-4</v>
      </c>
      <c r="AR14" s="242">
        <v>-22.9</v>
      </c>
      <c r="AS14" s="242">
        <v>-12.2</v>
      </c>
      <c r="AT14" s="242">
        <v>-9.3000000000000007</v>
      </c>
      <c r="AU14" s="242">
        <v>-12</v>
      </c>
      <c r="AV14" s="242">
        <v>-8.1</v>
      </c>
      <c r="AW14" s="242">
        <v>-41.6</v>
      </c>
      <c r="AX14" s="242">
        <v>-18.399999999999999</v>
      </c>
      <c r="AY14" s="242">
        <v>-22.1</v>
      </c>
      <c r="AZ14" s="242">
        <v>-18</v>
      </c>
      <c r="BA14" s="242">
        <v>-15.6</v>
      </c>
      <c r="BB14" s="242">
        <v>-74.099999999999994</v>
      </c>
      <c r="BC14" s="242">
        <v>-17.899999999999999</v>
      </c>
      <c r="BD14" s="242">
        <v>-20.6</v>
      </c>
      <c r="BE14" s="242">
        <v>-18.7</v>
      </c>
      <c r="BF14" s="242">
        <v>-18.8</v>
      </c>
      <c r="BG14" s="242">
        <v>-76</v>
      </c>
      <c r="BH14" s="242">
        <v>-22.8</v>
      </c>
      <c r="BI14" s="242">
        <v>-22.9</v>
      </c>
      <c r="BJ14" s="242">
        <v>-21.2</v>
      </c>
      <c r="BK14" s="242">
        <v>-22.4</v>
      </c>
      <c r="BL14" s="242">
        <v>-89.300000000000011</v>
      </c>
      <c r="BM14" s="242">
        <v>-12.9</v>
      </c>
      <c r="BN14" s="242">
        <v>-27</v>
      </c>
      <c r="BO14" s="242">
        <v>-20.7</v>
      </c>
      <c r="BP14" s="242">
        <v>-22.4</v>
      </c>
      <c r="BQ14">
        <v>-83</v>
      </c>
      <c r="BR14">
        <v>-22.7</v>
      </c>
      <c r="BS14">
        <v>-28.7</v>
      </c>
      <c r="BT14">
        <v>-16.100000000000001</v>
      </c>
      <c r="BU14">
        <v>-22.8</v>
      </c>
      <c r="BV14">
        <v>-90.3</v>
      </c>
      <c r="BW14">
        <v>-8.6</v>
      </c>
      <c r="BX14">
        <v>-22.1</v>
      </c>
      <c r="BY14">
        <v>-13.6</v>
      </c>
      <c r="BZ14">
        <v>1.8</v>
      </c>
      <c r="CA14">
        <v>-42.500000000000007</v>
      </c>
      <c r="CB14">
        <v>-14.1</v>
      </c>
      <c r="CC14">
        <v>-20</v>
      </c>
      <c r="CD14">
        <v>-7.8</v>
      </c>
      <c r="CE14">
        <v>-20.6</v>
      </c>
      <c r="CF14">
        <v>-62.5</v>
      </c>
      <c r="CG14">
        <v>-20.6</v>
      </c>
      <c r="CH14">
        <v>-23.6</v>
      </c>
      <c r="CI14">
        <v>-18.2</v>
      </c>
      <c r="CJ14">
        <v>-14.4</v>
      </c>
      <c r="CK14">
        <v>-76.800000000000011</v>
      </c>
      <c r="CM14" s="242" t="s">
        <v>25</v>
      </c>
      <c r="CN14" s="244">
        <v>-83</v>
      </c>
    </row>
    <row r="15" spans="2:96">
      <c r="B15" s="242" t="s">
        <v>101</v>
      </c>
      <c r="C15" s="242">
        <v>0</v>
      </c>
      <c r="D15" s="242">
        <v>0</v>
      </c>
      <c r="E15" s="242">
        <v>0</v>
      </c>
      <c r="F15" s="242">
        <v>5.5</v>
      </c>
      <c r="G15" s="242">
        <v>-9.5</v>
      </c>
      <c r="H15" s="242">
        <v>-10</v>
      </c>
      <c r="I15" s="242">
        <v>-1.4</v>
      </c>
      <c r="J15" s="242">
        <v>0.3</v>
      </c>
      <c r="K15" s="242">
        <v>0.5</v>
      </c>
      <c r="L15" s="242">
        <v>0</v>
      </c>
      <c r="M15" s="242">
        <v>0.30000000000000004</v>
      </c>
      <c r="N15" s="242">
        <v>1.1000000000000001</v>
      </c>
      <c r="O15" s="242">
        <v>0.5</v>
      </c>
      <c r="P15" s="242">
        <v>0.9</v>
      </c>
      <c r="Q15" s="242">
        <v>1.2</v>
      </c>
      <c r="R15" s="242">
        <v>1.0000000000000004</v>
      </c>
      <c r="S15" s="242">
        <v>3.6</v>
      </c>
      <c r="T15" s="242">
        <v>1.1000000000000001</v>
      </c>
      <c r="U15" s="242">
        <v>1.1000000000000001</v>
      </c>
      <c r="V15" s="242">
        <v>1</v>
      </c>
      <c r="W15" s="242">
        <v>0.89999999999999947</v>
      </c>
      <c r="X15" s="242">
        <v>4.0999999999999996</v>
      </c>
      <c r="Y15" s="242">
        <v>1</v>
      </c>
      <c r="Z15" s="242">
        <v>1.4</v>
      </c>
      <c r="AA15" s="242">
        <v>0.9</v>
      </c>
      <c r="AB15" s="242">
        <v>1</v>
      </c>
      <c r="AC15" s="242">
        <v>4.3</v>
      </c>
      <c r="AD15" s="242">
        <v>1.4</v>
      </c>
      <c r="AE15" s="242">
        <v>1.3</v>
      </c>
      <c r="AF15" s="242">
        <v>13</v>
      </c>
      <c r="AG15" s="242">
        <v>0.40000000000000213</v>
      </c>
      <c r="AH15" s="242">
        <v>16.100000000000001</v>
      </c>
      <c r="AI15" s="242">
        <v>0.1</v>
      </c>
      <c r="AJ15" s="242">
        <v>0.3</v>
      </c>
      <c r="AK15" s="242">
        <v>0.2</v>
      </c>
      <c r="AL15" s="242">
        <v>0.1</v>
      </c>
      <c r="AM15" s="242">
        <v>0.70000000000000007</v>
      </c>
      <c r="AN15" s="242">
        <v>0.1</v>
      </c>
      <c r="AO15" s="242">
        <v>0.3</v>
      </c>
      <c r="AP15" s="242">
        <v>0</v>
      </c>
      <c r="AQ15" s="242">
        <v>9.9999999999999978E-2</v>
      </c>
      <c r="AR15" s="242">
        <v>0.5</v>
      </c>
      <c r="AS15" s="242">
        <v>0</v>
      </c>
      <c r="AT15" s="242">
        <v>0.2</v>
      </c>
      <c r="AU15" s="242">
        <v>0.4</v>
      </c>
      <c r="AV15" s="242">
        <v>0.5</v>
      </c>
      <c r="AW15" s="242">
        <v>1.1000000000000001</v>
      </c>
      <c r="AX15" s="242">
        <v>0.4</v>
      </c>
      <c r="AY15" s="242">
        <v>0</v>
      </c>
      <c r="AZ15" s="242">
        <v>0</v>
      </c>
      <c r="BA15" s="242">
        <v>0</v>
      </c>
      <c r="BB15" s="242">
        <v>0.4</v>
      </c>
      <c r="BC15" s="242">
        <v>0.2</v>
      </c>
      <c r="BD15" s="242">
        <v>0.3</v>
      </c>
      <c r="BE15" s="242">
        <v>0.3</v>
      </c>
      <c r="BF15" s="242">
        <v>0.5</v>
      </c>
      <c r="BG15" s="242">
        <v>1.3</v>
      </c>
      <c r="BH15" s="242">
        <v>0.1</v>
      </c>
      <c r="BI15" s="242">
        <v>0.4</v>
      </c>
      <c r="BJ15" s="242">
        <v>0.6</v>
      </c>
      <c r="BK15" s="242">
        <v>0.3</v>
      </c>
      <c r="BL15" s="242">
        <v>1.4000000000000001</v>
      </c>
      <c r="BM15" s="242">
        <v>0.3</v>
      </c>
      <c r="BN15" s="242">
        <v>0.6</v>
      </c>
      <c r="BO15" s="242">
        <v>0.8</v>
      </c>
      <c r="BP15" s="242">
        <v>0.3</v>
      </c>
      <c r="BQ15">
        <v>2</v>
      </c>
      <c r="BR15">
        <v>0.4</v>
      </c>
      <c r="BS15">
        <v>0.8</v>
      </c>
      <c r="BT15">
        <v>0.7</v>
      </c>
      <c r="BU15">
        <v>0.6</v>
      </c>
      <c r="BV15">
        <v>2.5</v>
      </c>
      <c r="BW15">
        <v>0.8</v>
      </c>
      <c r="BX15">
        <v>0.8</v>
      </c>
      <c r="BY15">
        <v>1.2</v>
      </c>
      <c r="BZ15">
        <v>0.5</v>
      </c>
      <c r="CA15">
        <v>3.3</v>
      </c>
      <c r="CB15">
        <v>1.3</v>
      </c>
      <c r="CC15">
        <v>1</v>
      </c>
      <c r="CD15">
        <v>2</v>
      </c>
      <c r="CE15">
        <v>1.3</v>
      </c>
      <c r="CF15">
        <v>5.6</v>
      </c>
      <c r="CG15">
        <v>2</v>
      </c>
      <c r="CH15">
        <v>1.3</v>
      </c>
      <c r="CI15">
        <v>-0.4</v>
      </c>
      <c r="CJ15">
        <v>0.8</v>
      </c>
      <c r="CK15">
        <v>3.7</v>
      </c>
      <c r="CM15" s="242" t="s">
        <v>101</v>
      </c>
      <c r="CN15" s="244">
        <v>2</v>
      </c>
    </row>
    <row r="16" spans="2:96">
      <c r="B16" s="242" t="s">
        <v>26</v>
      </c>
      <c r="C16" s="242">
        <v>73.630000000000067</v>
      </c>
      <c r="D16" s="242">
        <v>50.439000000000142</v>
      </c>
      <c r="E16" s="242">
        <v>-23.3</v>
      </c>
      <c r="F16" s="242">
        <v>54.200000000000074</v>
      </c>
      <c r="G16" s="242">
        <v>-431.00000000000006</v>
      </c>
      <c r="H16" s="242">
        <v>-13.600000000000051</v>
      </c>
      <c r="I16" s="242">
        <v>-11.100000000000005</v>
      </c>
      <c r="J16" s="242">
        <v>8.1000000000000245</v>
      </c>
      <c r="K16" s="242">
        <v>8.7999999999999972</v>
      </c>
      <c r="L16" s="242">
        <v>4.3000000000000336</v>
      </c>
      <c r="M16" s="242">
        <v>7.5999999999999028</v>
      </c>
      <c r="N16" s="242">
        <v>28.799999999999955</v>
      </c>
      <c r="O16" s="242">
        <v>-22.399999999999991</v>
      </c>
      <c r="P16" s="242">
        <v>26.200000000000017</v>
      </c>
      <c r="Q16" s="242">
        <v>1.1000000000000345</v>
      </c>
      <c r="R16" s="242">
        <v>134.79999999999998</v>
      </c>
      <c r="S16" s="242">
        <v>139.70000000000005</v>
      </c>
      <c r="T16" s="242">
        <v>14.499999999999989</v>
      </c>
      <c r="U16" s="242">
        <v>17.599999999999991</v>
      </c>
      <c r="V16" s="242">
        <v>15.700000000000028</v>
      </c>
      <c r="W16" s="242">
        <v>16.299999999999983</v>
      </c>
      <c r="X16" s="242">
        <v>64.099999999999994</v>
      </c>
      <c r="Y16" s="242">
        <v>14.800000000000029</v>
      </c>
      <c r="Z16" s="242">
        <v>17.500000000000007</v>
      </c>
      <c r="AA16" s="242">
        <v>18.10000000000003</v>
      </c>
      <c r="AB16" s="242">
        <v>12.99999999999984</v>
      </c>
      <c r="AC16" s="242">
        <v>63.399999999999906</v>
      </c>
      <c r="AD16" s="242">
        <v>23.200000000000024</v>
      </c>
      <c r="AE16" s="242">
        <v>26.700000000000028</v>
      </c>
      <c r="AF16" s="242">
        <v>32.999999999999957</v>
      </c>
      <c r="AG16" s="242">
        <v>28.299999999999859</v>
      </c>
      <c r="AH16" s="242">
        <v>111.19999999999986</v>
      </c>
      <c r="AI16" s="242">
        <v>23.400000000000009</v>
      </c>
      <c r="AJ16" s="242">
        <v>16.800000000000029</v>
      </c>
      <c r="AK16" s="242">
        <v>10.400000000000018</v>
      </c>
      <c r="AL16" s="242">
        <v>5.7000000000000099</v>
      </c>
      <c r="AM16" s="242">
        <v>56.300000000000068</v>
      </c>
      <c r="AN16" s="242">
        <v>15.799999999999995</v>
      </c>
      <c r="AO16" s="242">
        <v>23.100000000000026</v>
      </c>
      <c r="AP16" s="242">
        <v>15.599999999999998</v>
      </c>
      <c r="AQ16" s="242">
        <v>22.899999999999913</v>
      </c>
      <c r="AR16" s="242">
        <v>77.39999999999992</v>
      </c>
      <c r="AS16" s="242">
        <v>25.900000000000031</v>
      </c>
      <c r="AT16" s="242">
        <v>37.400000000000006</v>
      </c>
      <c r="AU16" s="242">
        <v>32.199999999999996</v>
      </c>
      <c r="AV16" s="242">
        <v>39.500000000000021</v>
      </c>
      <c r="AW16" s="242">
        <v>135.00000000000006</v>
      </c>
      <c r="AX16" s="242">
        <v>39.600000000000037</v>
      </c>
      <c r="AY16" s="242">
        <v>47.70000000000001</v>
      </c>
      <c r="AZ16" s="242">
        <v>39.800000000000047</v>
      </c>
      <c r="BA16" s="242">
        <v>36.900000000000027</v>
      </c>
      <c r="BB16" s="242">
        <v>164.00000000000011</v>
      </c>
      <c r="BC16" s="242">
        <v>43.6</v>
      </c>
      <c r="BD16" s="242">
        <v>48.500000000000021</v>
      </c>
      <c r="BE16" s="242">
        <v>48.7</v>
      </c>
      <c r="BF16" s="242">
        <v>47.100000000000023</v>
      </c>
      <c r="BG16" s="242">
        <v>187.90000000000003</v>
      </c>
      <c r="BH16" s="242">
        <v>50.1</v>
      </c>
      <c r="BI16" s="242">
        <v>50.600000000000023</v>
      </c>
      <c r="BJ16" s="242">
        <v>55.800000000000004</v>
      </c>
      <c r="BK16" s="242">
        <v>52.900000000000013</v>
      </c>
      <c r="BL16" s="242">
        <v>209.40000000000003</v>
      </c>
      <c r="BM16" s="242">
        <v>68.099999999999994</v>
      </c>
      <c r="BN16" s="242">
        <v>61.699999999999967</v>
      </c>
      <c r="BO16" s="242">
        <v>53.500000000000028</v>
      </c>
      <c r="BP16" s="242">
        <v>53.899999999999956</v>
      </c>
      <c r="BQ16">
        <v>237.19999999999993</v>
      </c>
      <c r="BR16">
        <v>55.999999999999993</v>
      </c>
      <c r="BS16">
        <v>66.100000000000009</v>
      </c>
      <c r="BT16">
        <v>68.2</v>
      </c>
      <c r="BU16">
        <v>59.500000000000036</v>
      </c>
      <c r="BV16">
        <v>249.80000000000004</v>
      </c>
      <c r="BW16">
        <v>64.600000000000023</v>
      </c>
      <c r="BX16">
        <v>61.600000000000044</v>
      </c>
      <c r="BY16">
        <v>69.700000000000031</v>
      </c>
      <c r="BZ16">
        <v>88.09999999999998</v>
      </c>
      <c r="CA16">
        <v>284.00000000000006</v>
      </c>
      <c r="CB16">
        <v>61.600000000000016</v>
      </c>
      <c r="CC16">
        <v>68.800000000000011</v>
      </c>
      <c r="CD16">
        <v>80.100000000000009</v>
      </c>
      <c r="CE16">
        <v>66.099999999999952</v>
      </c>
      <c r="CF16">
        <v>276.60000000000002</v>
      </c>
      <c r="CG16">
        <v>72.199999999999989</v>
      </c>
      <c r="CH16">
        <v>80.899999999999991</v>
      </c>
      <c r="CI16">
        <v>80.299999999999969</v>
      </c>
      <c r="CJ16">
        <v>73.199999999999932</v>
      </c>
      <c r="CK16">
        <v>306.59999999999985</v>
      </c>
      <c r="CM16" s="242" t="s">
        <v>26</v>
      </c>
      <c r="CN16" s="244">
        <v>237.19999999999993</v>
      </c>
    </row>
    <row r="17" spans="2:92">
      <c r="B17" s="242" t="s">
        <v>27</v>
      </c>
      <c r="C17" s="242">
        <v>0</v>
      </c>
      <c r="D17" s="242">
        <v>0</v>
      </c>
      <c r="E17" s="242">
        <v>0</v>
      </c>
      <c r="F17" s="242">
        <v>0</v>
      </c>
      <c r="G17" s="242">
        <v>-2.7</v>
      </c>
      <c r="H17" s="242">
        <v>0</v>
      </c>
      <c r="I17" s="242">
        <v>-9.6</v>
      </c>
      <c r="J17" s="242">
        <v>-3.1</v>
      </c>
      <c r="K17" s="242">
        <v>-3.1</v>
      </c>
      <c r="L17" s="242">
        <v>-3.2</v>
      </c>
      <c r="M17" s="242">
        <v>-15.999999999999998</v>
      </c>
      <c r="N17" s="242">
        <v>-25.4</v>
      </c>
      <c r="O17" s="242">
        <v>-2.2999999999999998</v>
      </c>
      <c r="P17" s="242">
        <v>-2.2999999999999998</v>
      </c>
      <c r="Q17" s="242">
        <v>-11.8</v>
      </c>
      <c r="R17" s="242">
        <v>-14.400000000000002</v>
      </c>
      <c r="S17" s="242">
        <v>-30.8</v>
      </c>
      <c r="T17" s="242">
        <v>0</v>
      </c>
      <c r="U17" s="242">
        <v>0</v>
      </c>
      <c r="V17" s="242">
        <v>0</v>
      </c>
      <c r="W17" s="242">
        <v>1.8</v>
      </c>
      <c r="X17" s="242">
        <v>1.8</v>
      </c>
      <c r="Y17" s="242">
        <v>8.6999999999999993</v>
      </c>
      <c r="Z17" s="242">
        <v>-8.6999999999999993</v>
      </c>
      <c r="AA17" s="242">
        <v>-0.79999999999999982</v>
      </c>
      <c r="AB17" s="242">
        <v>-4.3</v>
      </c>
      <c r="AC17" s="242">
        <v>-5.0999999999999996</v>
      </c>
      <c r="AD17" s="242">
        <v>0</v>
      </c>
      <c r="AE17" s="242">
        <v>0</v>
      </c>
      <c r="AF17" s="242">
        <v>0</v>
      </c>
      <c r="AG17" s="242">
        <v>0</v>
      </c>
      <c r="AH17" s="242">
        <v>0</v>
      </c>
      <c r="AI17" s="242">
        <v>0</v>
      </c>
      <c r="AJ17" s="242">
        <v>0</v>
      </c>
      <c r="AK17" s="242">
        <v>0</v>
      </c>
      <c r="AL17" s="242">
        <v>0</v>
      </c>
      <c r="AM17" s="242">
        <v>0</v>
      </c>
      <c r="AN17" s="242">
        <v>0</v>
      </c>
      <c r="AO17" s="242">
        <v>0</v>
      </c>
      <c r="AP17" s="242">
        <v>0</v>
      </c>
      <c r="AQ17" s="242">
        <v>0</v>
      </c>
      <c r="AR17" s="242">
        <v>0</v>
      </c>
      <c r="AS17" s="242">
        <v>0.5</v>
      </c>
      <c r="AT17" s="242">
        <v>0</v>
      </c>
      <c r="AU17" s="242">
        <v>0</v>
      </c>
      <c r="AV17" s="242">
        <v>0</v>
      </c>
      <c r="AW17" s="242">
        <v>0.5</v>
      </c>
      <c r="AX17" s="242">
        <v>0</v>
      </c>
      <c r="AY17" s="242">
        <v>0.3</v>
      </c>
      <c r="AZ17" s="242">
        <v>0</v>
      </c>
      <c r="BA17" s="242">
        <v>0</v>
      </c>
      <c r="BB17" s="242">
        <v>0.3</v>
      </c>
      <c r="BC17" s="242">
        <v>0</v>
      </c>
      <c r="BD17" s="242">
        <v>0</v>
      </c>
      <c r="BE17" s="242">
        <v>0</v>
      </c>
      <c r="BF17" s="242">
        <v>0</v>
      </c>
      <c r="BG17" s="242">
        <v>0</v>
      </c>
      <c r="BH17" s="242">
        <v>0</v>
      </c>
      <c r="BI17" s="242">
        <v>0</v>
      </c>
      <c r="BJ17" s="242">
        <v>0</v>
      </c>
      <c r="BK17" s="242">
        <v>0</v>
      </c>
      <c r="BL17" s="242">
        <v>0</v>
      </c>
      <c r="BM17" s="242">
        <v>0</v>
      </c>
      <c r="BN17" s="242">
        <v>0</v>
      </c>
      <c r="BO17" s="242">
        <v>0</v>
      </c>
      <c r="BP17" s="242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M17" s="242" t="s">
        <v>27</v>
      </c>
      <c r="CN17" s="244">
        <v>0</v>
      </c>
    </row>
    <row r="18" spans="2:92">
      <c r="B18" s="242" t="s">
        <v>28</v>
      </c>
      <c r="C18" s="242">
        <v>73.630000000000067</v>
      </c>
      <c r="D18" s="242">
        <v>50.439000000000142</v>
      </c>
      <c r="E18" s="242">
        <v>-23.3</v>
      </c>
      <c r="F18" s="242">
        <v>54.200000000000074</v>
      </c>
      <c r="G18" s="242">
        <v>-433.70000000000005</v>
      </c>
      <c r="H18" s="242">
        <v>-13.600000000000051</v>
      </c>
      <c r="I18" s="242">
        <v>-20.700000000000003</v>
      </c>
      <c r="J18" s="242">
        <v>5.0000000000000249</v>
      </c>
      <c r="K18" s="242">
        <v>5.6999999999999975</v>
      </c>
      <c r="L18" s="242">
        <v>1.1000000000000334</v>
      </c>
      <c r="M18" s="242">
        <v>-8.4000000000000945</v>
      </c>
      <c r="N18" s="242">
        <v>3.3999999999999613</v>
      </c>
      <c r="O18" s="242">
        <v>-24.699999999999992</v>
      </c>
      <c r="P18" s="242">
        <v>23.900000000000016</v>
      </c>
      <c r="Q18" s="242">
        <v>-10.699999999999966</v>
      </c>
      <c r="R18" s="242">
        <v>120.39999999999998</v>
      </c>
      <c r="S18" s="242">
        <v>108.90000000000003</v>
      </c>
      <c r="T18" s="242">
        <v>14.499999999999989</v>
      </c>
      <c r="U18" s="242">
        <v>17.599999999999991</v>
      </c>
      <c r="V18" s="242">
        <v>15.700000000000028</v>
      </c>
      <c r="W18" s="242">
        <v>18.099999999999984</v>
      </c>
      <c r="X18" s="242">
        <v>65.899999999999991</v>
      </c>
      <c r="Y18" s="242">
        <v>23.500000000000028</v>
      </c>
      <c r="Z18" s="242">
        <v>8.8000000000000078</v>
      </c>
      <c r="AA18" s="242">
        <v>17.300000000000029</v>
      </c>
      <c r="AB18" s="242">
        <v>8.6999999999998394</v>
      </c>
      <c r="AC18" s="242">
        <v>58.299999999999905</v>
      </c>
      <c r="AD18" s="242">
        <v>23.200000000000024</v>
      </c>
      <c r="AE18" s="242">
        <v>26.700000000000028</v>
      </c>
      <c r="AF18" s="242">
        <v>32.999999999999957</v>
      </c>
      <c r="AG18" s="242">
        <v>28.299999999999859</v>
      </c>
      <c r="AH18" s="242">
        <v>111.19999999999986</v>
      </c>
      <c r="AI18" s="242">
        <v>23.400000000000009</v>
      </c>
      <c r="AJ18" s="242">
        <v>16.800000000000029</v>
      </c>
      <c r="AK18" s="242">
        <v>10.400000000000018</v>
      </c>
      <c r="AL18" s="242">
        <v>5.7000000000000099</v>
      </c>
      <c r="AM18" s="242">
        <v>56.300000000000068</v>
      </c>
      <c r="AN18" s="242">
        <v>15.799999999999995</v>
      </c>
      <c r="AO18" s="242">
        <v>23.100000000000026</v>
      </c>
      <c r="AP18" s="242">
        <v>15.599999999999998</v>
      </c>
      <c r="AQ18" s="242">
        <v>22.899999999999913</v>
      </c>
      <c r="AR18" s="242">
        <v>77.39999999999992</v>
      </c>
      <c r="AS18" s="242">
        <v>26.400000000000031</v>
      </c>
      <c r="AT18" s="242">
        <v>37.400000000000006</v>
      </c>
      <c r="AU18" s="242">
        <v>32.199999999999996</v>
      </c>
      <c r="AV18" s="242">
        <v>39.500000000000021</v>
      </c>
      <c r="AW18" s="242">
        <v>135.50000000000006</v>
      </c>
      <c r="AX18" s="242">
        <v>39.600000000000037</v>
      </c>
      <c r="AY18" s="242">
        <v>48.000000000000007</v>
      </c>
      <c r="AZ18" s="242">
        <v>39.800000000000047</v>
      </c>
      <c r="BA18" s="242">
        <v>36.900000000000027</v>
      </c>
      <c r="BB18" s="242">
        <v>164.30000000000013</v>
      </c>
      <c r="BC18" s="242">
        <v>43.6</v>
      </c>
      <c r="BD18" s="242">
        <v>48.500000000000021</v>
      </c>
      <c r="BE18" s="242">
        <v>48.7</v>
      </c>
      <c r="BF18" s="242">
        <v>47.100000000000023</v>
      </c>
      <c r="BG18" s="242">
        <v>187.90000000000003</v>
      </c>
      <c r="BH18" s="242">
        <v>50.1</v>
      </c>
      <c r="BI18" s="242">
        <v>50.600000000000023</v>
      </c>
      <c r="BJ18" s="242">
        <v>55.800000000000004</v>
      </c>
      <c r="BK18" s="242">
        <v>52.900000000000013</v>
      </c>
      <c r="BL18" s="242">
        <v>209.40000000000003</v>
      </c>
      <c r="BM18" s="242">
        <v>68.099999999999994</v>
      </c>
      <c r="BN18" s="242">
        <v>61.699999999999967</v>
      </c>
      <c r="BO18" s="242">
        <v>53.500000000000028</v>
      </c>
      <c r="BP18" s="242">
        <v>53.899999999999956</v>
      </c>
      <c r="BQ18">
        <v>237.19999999999993</v>
      </c>
      <c r="BR18">
        <v>55.999999999999993</v>
      </c>
      <c r="BS18">
        <v>66.100000000000009</v>
      </c>
      <c r="BT18">
        <v>68.2</v>
      </c>
      <c r="BU18">
        <v>59.500000000000036</v>
      </c>
      <c r="BV18">
        <v>249.80000000000004</v>
      </c>
      <c r="BW18">
        <v>64.600000000000023</v>
      </c>
      <c r="BX18">
        <v>61.600000000000044</v>
      </c>
      <c r="BY18">
        <v>69.700000000000031</v>
      </c>
      <c r="BZ18">
        <v>88.09999999999998</v>
      </c>
      <c r="CA18">
        <v>284.00000000000006</v>
      </c>
      <c r="CB18">
        <v>61.600000000000016</v>
      </c>
      <c r="CC18">
        <v>68.800000000000011</v>
      </c>
      <c r="CD18">
        <v>80.100000000000009</v>
      </c>
      <c r="CE18">
        <v>66.099999999999952</v>
      </c>
      <c r="CF18">
        <v>276.60000000000002</v>
      </c>
      <c r="CG18">
        <v>72.199999999999989</v>
      </c>
      <c r="CH18">
        <v>80.899999999999991</v>
      </c>
      <c r="CI18">
        <v>80.299999999999969</v>
      </c>
      <c r="CJ18">
        <v>73.199999999999932</v>
      </c>
      <c r="CK18">
        <v>306.59999999999985</v>
      </c>
      <c r="CM18" s="242" t="s">
        <v>28</v>
      </c>
      <c r="CN18" s="244">
        <v>237.19999999999993</v>
      </c>
    </row>
    <row r="19" spans="2:92">
      <c r="CN19" s="244"/>
    </row>
    <row r="20" spans="2:92">
      <c r="B20" s="242" t="s">
        <v>29</v>
      </c>
      <c r="C20" s="242">
        <v>2.0036464569500398</v>
      </c>
      <c r="D20" s="242">
        <v>1.3752965235173864</v>
      </c>
      <c r="E20" s="242">
        <v>-0.64010989010989017</v>
      </c>
      <c r="F20" s="242">
        <v>1.4728260869565239</v>
      </c>
      <c r="G20" s="242">
        <v>-11.462765957446809</v>
      </c>
      <c r="H20" s="242">
        <v>-0.35416666666666802</v>
      </c>
      <c r="I20" s="242">
        <v>-0.28756476683937837</v>
      </c>
      <c r="J20" s="242">
        <v>0.20822622107969216</v>
      </c>
      <c r="K20" s="242">
        <v>0.22448979591836726</v>
      </c>
      <c r="L20" s="242">
        <v>0.10913705583756431</v>
      </c>
      <c r="M20" s="242">
        <v>0.18269230769230535</v>
      </c>
      <c r="N20" s="242">
        <v>0.72407291011942065</v>
      </c>
      <c r="O20" s="242">
        <v>-0.41558441558441545</v>
      </c>
      <c r="P20" s="242">
        <v>0.48073394495412874</v>
      </c>
      <c r="Q20" s="242">
        <v>1.7628205128205683E-2</v>
      </c>
      <c r="R20" s="242">
        <v>1.9536231884057969</v>
      </c>
      <c r="S20" s="242">
        <v>2.328333333333334</v>
      </c>
      <c r="T20" s="242">
        <v>0.15608180839612473</v>
      </c>
      <c r="U20" s="242">
        <v>0.18843683083511767</v>
      </c>
      <c r="V20" s="242">
        <v>0.16755602988260435</v>
      </c>
      <c r="W20" s="242">
        <v>0.17414529914529892</v>
      </c>
      <c r="X20" s="242">
        <v>0.68629550321199129</v>
      </c>
      <c r="Y20" s="242">
        <v>0.15744680851063861</v>
      </c>
      <c r="Z20" s="242">
        <v>0.18538135593220345</v>
      </c>
      <c r="AA20" s="242">
        <v>0.19072708113804035</v>
      </c>
      <c r="AB20" s="242">
        <v>0.13612565445026015</v>
      </c>
      <c r="AC20" s="242">
        <v>0.66948257655754928</v>
      </c>
      <c r="AD20" s="242">
        <v>0.24141519250780463</v>
      </c>
      <c r="AE20" s="242">
        <v>0.27754677754677781</v>
      </c>
      <c r="AF20" s="242">
        <v>0.341968911917098</v>
      </c>
      <c r="AG20" s="242">
        <v>0.29235537190082489</v>
      </c>
      <c r="AH20" s="242">
        <v>1.1535269709543554</v>
      </c>
      <c r="AI20" s="242">
        <v>0.24173553719008276</v>
      </c>
      <c r="AJ20" s="242">
        <v>0.17337461300309626</v>
      </c>
      <c r="AK20" s="242">
        <v>0.10732714138286911</v>
      </c>
      <c r="AL20" s="242">
        <v>5.8823529411764802E-2</v>
      </c>
      <c r="AM20" s="242">
        <v>0.58116129032258135</v>
      </c>
      <c r="AN20" s="242">
        <v>0.16238437821171631</v>
      </c>
      <c r="AO20" s="242">
        <v>0.23692307692307718</v>
      </c>
      <c r="AP20" s="242">
        <v>0.15967246673490273</v>
      </c>
      <c r="AQ20" s="242">
        <v>0.23391215526046899</v>
      </c>
      <c r="AR20" s="242">
        <v>0.79303278688524514</v>
      </c>
      <c r="AS20" s="242">
        <v>0.26374745417515305</v>
      </c>
      <c r="AT20" s="242">
        <v>0.3793103448275863</v>
      </c>
      <c r="AU20" s="242">
        <v>0.32525252525252518</v>
      </c>
      <c r="AV20" s="242">
        <v>0.39818548387096797</v>
      </c>
      <c r="AW20" s="242">
        <v>1.3670886075949373</v>
      </c>
      <c r="AX20" s="242">
        <v>0.39679358717434909</v>
      </c>
      <c r="AY20" s="242">
        <v>0.47604790419161686</v>
      </c>
      <c r="AZ20" s="242">
        <v>0.39680957128614203</v>
      </c>
      <c r="BA20" s="242">
        <v>0.36752988047808788</v>
      </c>
      <c r="BB20" s="242">
        <v>1.6371350137259806</v>
      </c>
      <c r="BC20" s="242">
        <v>0.43426294820717132</v>
      </c>
      <c r="BD20" s="242">
        <v>0.48500000000000021</v>
      </c>
      <c r="BE20" s="242">
        <v>0.48846539618856571</v>
      </c>
      <c r="BF20" s="242">
        <v>0.472417251755266</v>
      </c>
      <c r="BG20" s="242">
        <v>1.8799399699849928</v>
      </c>
      <c r="BH20" s="242">
        <v>0.50862944162436552</v>
      </c>
      <c r="BI20" s="242">
        <v>0.52004110996916775</v>
      </c>
      <c r="BJ20" s="242">
        <v>0.58246346555323592</v>
      </c>
      <c r="BK20" s="242">
        <v>0.55334728033472824</v>
      </c>
      <c r="BL20" s="242">
        <v>2.1632231404958677</v>
      </c>
      <c r="BM20" s="242">
        <v>0.7079002079002078</v>
      </c>
      <c r="BN20" s="242">
        <v>0.6387163561076602</v>
      </c>
      <c r="BO20" s="242">
        <v>0.55845511482254728</v>
      </c>
      <c r="BP20" s="242">
        <v>0.57097457627118597</v>
      </c>
      <c r="BQ20">
        <v>2.4772845953002602</v>
      </c>
      <c r="BR20">
        <v>0.5995717344753746</v>
      </c>
      <c r="BS20">
        <v>0.70998925886143949</v>
      </c>
      <c r="BT20">
        <v>0.7357065803667745</v>
      </c>
      <c r="BU20">
        <v>0.64814814814814858</v>
      </c>
      <c r="BV20">
        <v>2.6932614555256067</v>
      </c>
      <c r="BW20">
        <v>0.70678336980306367</v>
      </c>
      <c r="BX20">
        <v>0.6791620727673654</v>
      </c>
      <c r="BY20">
        <v>0.77358490566037774</v>
      </c>
      <c r="BZ20">
        <v>0.9788888888888887</v>
      </c>
      <c r="CA20">
        <v>3.1363887355052458</v>
      </c>
      <c r="CB20">
        <v>0.68444444444444463</v>
      </c>
      <c r="CC20">
        <v>0.77477477477477497</v>
      </c>
      <c r="CD20">
        <v>0.92068965517241386</v>
      </c>
      <c r="CE20">
        <v>0.76949941792782239</v>
      </c>
      <c r="CF20">
        <v>3.1467576791808876</v>
      </c>
      <c r="CG20">
        <v>0.8494117647058822</v>
      </c>
      <c r="CH20">
        <v>0.94953051643192476</v>
      </c>
      <c r="CI20">
        <v>0.94359576968272585</v>
      </c>
      <c r="CJ20">
        <v>0.86729857819905132</v>
      </c>
      <c r="CK20">
        <v>3.6113074204946978</v>
      </c>
      <c r="CM20" s="242" t="s">
        <v>29</v>
      </c>
      <c r="CN20" s="244">
        <v>2.4772845953002602</v>
      </c>
    </row>
    <row r="21" spans="2:92">
      <c r="B21" s="242" t="s">
        <v>27</v>
      </c>
      <c r="C21" s="242">
        <v>0</v>
      </c>
      <c r="D21" s="242">
        <v>0</v>
      </c>
      <c r="E21" s="242">
        <v>0</v>
      </c>
      <c r="F21" s="242">
        <v>0</v>
      </c>
      <c r="G21" s="242">
        <v>-7.1808510638297879E-2</v>
      </c>
      <c r="H21" s="242">
        <v>0</v>
      </c>
      <c r="I21" s="242">
        <v>-0.24870466321243523</v>
      </c>
      <c r="J21" s="242">
        <v>-7.9691516709511578E-2</v>
      </c>
      <c r="K21" s="242">
        <v>-7.9081632653061215E-2</v>
      </c>
      <c r="L21" s="242">
        <v>-8.1218274111675134E-2</v>
      </c>
      <c r="M21" s="242">
        <v>-0.38461538461538458</v>
      </c>
      <c r="N21" s="242">
        <v>-0.63859208045254556</v>
      </c>
      <c r="O21" s="242">
        <v>-4.2671614100185523E-2</v>
      </c>
      <c r="P21" s="242">
        <v>-4.2201834862385317E-2</v>
      </c>
      <c r="Q21" s="242">
        <v>-0.18910256410256412</v>
      </c>
      <c r="R21" s="242">
        <v>-0.20869565217391309</v>
      </c>
      <c r="S21" s="242">
        <v>-0.51333333333333331</v>
      </c>
      <c r="T21" s="242">
        <v>0</v>
      </c>
      <c r="U21" s="242">
        <v>0</v>
      </c>
      <c r="V21" s="242">
        <v>0</v>
      </c>
      <c r="W21" s="242">
        <v>1.9230769230769225E-2</v>
      </c>
      <c r="X21" s="242">
        <v>1.9271948608137045E-2</v>
      </c>
      <c r="Y21" s="242">
        <v>9.2553191489361697E-2</v>
      </c>
      <c r="Z21" s="242">
        <v>-9.2161016949152533E-2</v>
      </c>
      <c r="AA21" s="242">
        <v>-8.4299262381454139E-3</v>
      </c>
      <c r="AB21" s="242">
        <v>-4.5026178010471214E-2</v>
      </c>
      <c r="AC21" s="242">
        <v>-5.385427666314678E-2</v>
      </c>
      <c r="AD21" s="242">
        <v>0</v>
      </c>
      <c r="AE21" s="242">
        <v>0</v>
      </c>
      <c r="AF21" s="242">
        <v>0</v>
      </c>
      <c r="AG21" s="242">
        <v>0</v>
      </c>
      <c r="AH21" s="242">
        <v>0</v>
      </c>
      <c r="AI21" s="242">
        <v>0</v>
      </c>
      <c r="AJ21" s="242">
        <v>0</v>
      </c>
      <c r="AK21" s="242">
        <v>0</v>
      </c>
      <c r="AL21" s="242">
        <v>0</v>
      </c>
      <c r="AM21" s="242">
        <v>0</v>
      </c>
      <c r="AN21" s="242">
        <v>0</v>
      </c>
      <c r="AO21" s="242">
        <v>0</v>
      </c>
      <c r="AP21" s="242">
        <v>0</v>
      </c>
      <c r="AQ21" s="242">
        <v>0</v>
      </c>
      <c r="AR21" s="242">
        <v>0</v>
      </c>
      <c r="AS21" s="242">
        <v>5.0916496945010185E-3</v>
      </c>
      <c r="AT21" s="242">
        <v>0</v>
      </c>
      <c r="AU21" s="242">
        <v>0</v>
      </c>
      <c r="AV21" s="242">
        <v>0</v>
      </c>
      <c r="AW21" s="242">
        <v>5.0632911392405064E-3</v>
      </c>
      <c r="AX21" s="242">
        <v>0</v>
      </c>
      <c r="AY21" s="242">
        <v>2.9940119760479039E-3</v>
      </c>
      <c r="AZ21" s="242">
        <v>0</v>
      </c>
      <c r="BA21" s="242">
        <v>0</v>
      </c>
      <c r="BB21" s="242">
        <v>2.9947591714499619E-3</v>
      </c>
      <c r="BC21" s="242">
        <v>0</v>
      </c>
      <c r="BD21" s="242">
        <v>0</v>
      </c>
      <c r="BE21" s="242">
        <v>0</v>
      </c>
      <c r="BF21" s="242">
        <v>0</v>
      </c>
      <c r="BG21" s="242">
        <v>0</v>
      </c>
      <c r="BH21" s="242">
        <v>0</v>
      </c>
      <c r="BI21" s="242">
        <v>0</v>
      </c>
      <c r="BJ21" s="242">
        <v>0</v>
      </c>
      <c r="BK21" s="242">
        <v>0</v>
      </c>
      <c r="BL21" s="242">
        <v>0</v>
      </c>
      <c r="BM21" s="242">
        <v>0</v>
      </c>
      <c r="BN21" s="242">
        <v>0</v>
      </c>
      <c r="BO21" s="242">
        <v>0</v>
      </c>
      <c r="BP21" s="242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M21" s="242" t="s">
        <v>27</v>
      </c>
      <c r="CN21" s="244">
        <v>0</v>
      </c>
    </row>
    <row r="22" spans="2:92">
      <c r="B22" s="242" t="s">
        <v>30</v>
      </c>
      <c r="C22" s="242">
        <v>2.0036464569500398</v>
      </c>
      <c r="D22" s="242">
        <v>1.3752965235173864</v>
      </c>
      <c r="E22" s="242">
        <v>-0.64010989010989017</v>
      </c>
      <c r="F22" s="242">
        <v>1.4728260869565239</v>
      </c>
      <c r="G22" s="242">
        <v>-11.534574468085108</v>
      </c>
      <c r="H22" s="242">
        <v>-0.35416666666666802</v>
      </c>
      <c r="I22" s="242">
        <v>-0.53626943005181349</v>
      </c>
      <c r="J22" s="242">
        <v>0.12853470437018058</v>
      </c>
      <c r="K22" s="242">
        <v>0.14540816326530606</v>
      </c>
      <c r="L22" s="242">
        <v>2.7918781725889172E-2</v>
      </c>
      <c r="M22" s="242">
        <v>-0.20192307692307918</v>
      </c>
      <c r="N22" s="242">
        <v>8.5480829666875202E-2</v>
      </c>
      <c r="O22" s="242">
        <v>-0.458256029684601</v>
      </c>
      <c r="P22" s="242">
        <v>0.43853211009174342</v>
      </c>
      <c r="Q22" s="242">
        <v>-0.17147435897435842</v>
      </c>
      <c r="R22" s="242">
        <v>1.7449275362318837</v>
      </c>
      <c r="S22" s="242">
        <v>1.8150000000000006</v>
      </c>
      <c r="T22" s="242">
        <v>0.15608180839612473</v>
      </c>
      <c r="U22" s="242">
        <v>0.18843683083511767</v>
      </c>
      <c r="V22" s="242">
        <v>0.16755602988260435</v>
      </c>
      <c r="W22" s="242">
        <v>0.19337606837606816</v>
      </c>
      <c r="X22" s="242">
        <v>0.70556745182012837</v>
      </c>
      <c r="Y22" s="242">
        <v>0.25000000000000028</v>
      </c>
      <c r="Z22" s="242">
        <v>9.3220338983050918E-2</v>
      </c>
      <c r="AA22" s="242">
        <v>0.18229715489989493</v>
      </c>
      <c r="AB22" s="242">
        <v>9.1099476439788926E-2</v>
      </c>
      <c r="AC22" s="242">
        <v>0.61562829989440249</v>
      </c>
      <c r="AD22" s="242">
        <v>0.24141519250780463</v>
      </c>
      <c r="AE22" s="242">
        <v>0.27754677754677781</v>
      </c>
      <c r="AF22" s="242">
        <v>0.341968911917098</v>
      </c>
      <c r="AG22" s="242">
        <v>0.29235537190082489</v>
      </c>
      <c r="AH22" s="242">
        <v>1.1535269709543554</v>
      </c>
      <c r="AI22" s="242">
        <v>0.24173553719008276</v>
      </c>
      <c r="AJ22" s="242">
        <v>0.17337461300309626</v>
      </c>
      <c r="AK22" s="242">
        <v>0.10732714138286911</v>
      </c>
      <c r="AL22" s="242">
        <v>5.8823529411764802E-2</v>
      </c>
      <c r="AM22" s="242">
        <v>0.58116129032258135</v>
      </c>
      <c r="AN22" s="242">
        <v>0.16238437821171631</v>
      </c>
      <c r="AO22" s="242">
        <v>0.23692307692307718</v>
      </c>
      <c r="AP22" s="242">
        <v>0.15967246673490273</v>
      </c>
      <c r="AQ22" s="242">
        <v>0.23391215526046899</v>
      </c>
      <c r="AR22" s="242">
        <v>0.79303278688524514</v>
      </c>
      <c r="AS22" s="242">
        <v>0.26883910386965409</v>
      </c>
      <c r="AT22" s="242">
        <v>0.3793103448275863</v>
      </c>
      <c r="AU22" s="242">
        <v>0.32525252525252518</v>
      </c>
      <c r="AV22" s="242">
        <v>0.39818548387096797</v>
      </c>
      <c r="AW22" s="242">
        <v>1.3721518987341779</v>
      </c>
      <c r="AX22" s="242">
        <v>0.39679358717434909</v>
      </c>
      <c r="AY22" s="242">
        <v>0.47904191616766473</v>
      </c>
      <c r="AZ22" s="242">
        <v>0.39680957128614203</v>
      </c>
      <c r="BA22" s="242">
        <v>0.36752988047808788</v>
      </c>
      <c r="BB22" s="242">
        <v>1.6401297728974307</v>
      </c>
      <c r="BC22" s="242">
        <v>0.43426294820717132</v>
      </c>
      <c r="BD22" s="242">
        <v>0.48500000000000021</v>
      </c>
      <c r="BE22" s="242">
        <v>0.48846539618856571</v>
      </c>
      <c r="BF22" s="242">
        <v>0.472417251755266</v>
      </c>
      <c r="BG22" s="242">
        <v>1.8799399699849928</v>
      </c>
      <c r="BH22" s="242">
        <v>0.50862944162436552</v>
      </c>
      <c r="BI22" s="242">
        <v>0.52004110996916775</v>
      </c>
      <c r="BJ22" s="242">
        <v>0.58246346555323592</v>
      </c>
      <c r="BK22" s="242">
        <v>0.55334728033472824</v>
      </c>
      <c r="BL22" s="242">
        <v>2.1632231404958677</v>
      </c>
      <c r="BM22" s="242">
        <v>0.7079002079002078</v>
      </c>
      <c r="BN22" s="242">
        <v>0.6387163561076602</v>
      </c>
      <c r="BO22" s="242">
        <v>0.55845511482254728</v>
      </c>
      <c r="BP22" s="242">
        <v>0.57097457627118597</v>
      </c>
      <c r="BQ22">
        <v>2.4772845953002602</v>
      </c>
      <c r="BR22">
        <v>0.5995717344753746</v>
      </c>
      <c r="BS22">
        <v>0.70998925886143949</v>
      </c>
      <c r="BT22">
        <v>0.7357065803667745</v>
      </c>
      <c r="BU22">
        <v>0.64814814814814858</v>
      </c>
      <c r="BV22">
        <v>2.6932614555256067</v>
      </c>
      <c r="BW22">
        <v>0.70678336980306367</v>
      </c>
      <c r="BX22">
        <v>0.6791620727673654</v>
      </c>
      <c r="BY22">
        <v>0.77358490566037774</v>
      </c>
      <c r="BZ22">
        <v>0.9788888888888887</v>
      </c>
      <c r="CA22">
        <v>3.1363887355052458</v>
      </c>
      <c r="CB22">
        <v>0.68444444444444463</v>
      </c>
      <c r="CC22">
        <v>0.77477477477477497</v>
      </c>
      <c r="CD22">
        <v>0.92068965517241386</v>
      </c>
      <c r="CE22">
        <v>0.76949941792782239</v>
      </c>
      <c r="CF22">
        <v>3.1467576791808876</v>
      </c>
      <c r="CG22">
        <v>0.8494117647058822</v>
      </c>
      <c r="CH22">
        <v>0.94953051643192476</v>
      </c>
      <c r="CI22">
        <v>0.94359576968272585</v>
      </c>
      <c r="CJ22">
        <v>0.86729857819905132</v>
      </c>
      <c r="CK22">
        <v>3.6113074204946978</v>
      </c>
      <c r="CM22" s="242" t="s">
        <v>30</v>
      </c>
      <c r="CN22" s="244">
        <v>2.4772845953002602</v>
      </c>
    </row>
    <row r="23" spans="2:92">
      <c r="CN23" s="244"/>
    </row>
    <row r="24" spans="2:92">
      <c r="B24" s="242" t="s">
        <v>86</v>
      </c>
      <c r="C24" s="242">
        <v>1.6007565710807241</v>
      </c>
      <c r="D24" s="242">
        <v>1.104398852663619</v>
      </c>
      <c r="E24" s="242">
        <v>-0.64010989010989017</v>
      </c>
      <c r="F24" s="242">
        <v>1.1859956236323868</v>
      </c>
      <c r="G24" s="242">
        <v>-11.462765957446809</v>
      </c>
      <c r="H24" s="242">
        <v>-0.35416666666666802</v>
      </c>
      <c r="I24" s="242">
        <v>-0.28756476683937837</v>
      </c>
      <c r="J24" s="242">
        <v>8.9108910891089368E-2</v>
      </c>
      <c r="K24" s="242">
        <v>9.6385542168674676E-2</v>
      </c>
      <c r="L24" s="242">
        <v>4.6994535519126052E-2</v>
      </c>
      <c r="M24" s="242">
        <v>8.3060109289616421E-2</v>
      </c>
      <c r="N24" s="242">
        <v>0.31544359255202581</v>
      </c>
      <c r="O24" s="242">
        <v>-0.23728813559322023</v>
      </c>
      <c r="P24" s="242">
        <v>0.27608008429926256</v>
      </c>
      <c r="Q24" s="242">
        <v>1.1591148577450311E-2</v>
      </c>
      <c r="R24" s="242">
        <v>1.4204425711275024</v>
      </c>
      <c r="S24" s="242">
        <v>1.4909284951974391</v>
      </c>
      <c r="T24" s="242">
        <v>0.15247108307045204</v>
      </c>
      <c r="U24" s="242">
        <v>0.1842931937172774</v>
      </c>
      <c r="V24" s="242">
        <v>0.1649159663865549</v>
      </c>
      <c r="W24" s="242">
        <v>0.16943866943866923</v>
      </c>
      <c r="X24" s="242">
        <v>0.67120418848167529</v>
      </c>
      <c r="Y24" s="242">
        <v>0.15400624349635827</v>
      </c>
      <c r="Z24" s="242">
        <v>0.18172377985462104</v>
      </c>
      <c r="AA24" s="242">
        <v>0.18717683557394033</v>
      </c>
      <c r="AB24" s="242">
        <v>0.13415892672858451</v>
      </c>
      <c r="AC24" s="242">
        <v>0.65699481865284881</v>
      </c>
      <c r="AD24" s="242">
        <v>0.23746161719549666</v>
      </c>
      <c r="AE24" s="242">
        <v>0.27300613496932546</v>
      </c>
      <c r="AF24" s="242">
        <v>0.33742331288343513</v>
      </c>
      <c r="AG24" s="242">
        <v>0.29145211122553938</v>
      </c>
      <c r="AH24" s="242">
        <v>1.1393442622950807</v>
      </c>
      <c r="AI24" s="242">
        <v>0.24074074074074084</v>
      </c>
      <c r="AJ24" s="242">
        <v>0.17177914110429479</v>
      </c>
      <c r="AK24" s="242">
        <v>0.10601427115188602</v>
      </c>
      <c r="AL24" s="242">
        <v>5.7868020304568626E-2</v>
      </c>
      <c r="AM24" s="242">
        <v>0.57507660878447464</v>
      </c>
      <c r="AN24" s="242">
        <v>0.15959595959595954</v>
      </c>
      <c r="AO24" s="242">
        <v>0.23169508525576757</v>
      </c>
      <c r="AP24" s="242">
        <v>0.15599999999999997</v>
      </c>
      <c r="AQ24" s="242">
        <v>0.22695738354806647</v>
      </c>
      <c r="AR24" s="242">
        <v>0.77477477477477397</v>
      </c>
      <c r="AS24" s="242">
        <v>0.25796812749004011</v>
      </c>
      <c r="AT24" s="242">
        <v>0.37140019860973195</v>
      </c>
      <c r="AU24" s="242">
        <v>0.31849653808110778</v>
      </c>
      <c r="AV24" s="242">
        <v>0.3899308983218166</v>
      </c>
      <c r="AW24" s="242">
        <v>1.3406156901688189</v>
      </c>
      <c r="AX24" s="242">
        <v>0.38938053097345166</v>
      </c>
      <c r="AY24" s="242">
        <v>0.46764705882352953</v>
      </c>
      <c r="AZ24" s="242">
        <v>0.3898139079333991</v>
      </c>
      <c r="BA24" s="242">
        <v>0.3610567514677106</v>
      </c>
      <c r="BB24" s="242">
        <v>1.6078431372549034</v>
      </c>
      <c r="BC24" s="242">
        <v>0.42703232125367291</v>
      </c>
      <c r="BD24" s="242">
        <v>0.476424361493124</v>
      </c>
      <c r="BE24" s="242">
        <v>0.47885939036381514</v>
      </c>
      <c r="BF24" s="242">
        <v>0.46221786064769399</v>
      </c>
      <c r="BG24" s="242">
        <v>1.8444171779141108</v>
      </c>
      <c r="BH24" s="242">
        <v>0.49801192842942349</v>
      </c>
      <c r="BI24" s="242">
        <v>0.51008064516129059</v>
      </c>
      <c r="BJ24" s="242">
        <v>0.57113613101330607</v>
      </c>
      <c r="BK24" s="242">
        <v>0.5425641025641027</v>
      </c>
      <c r="BL24" s="242">
        <v>2.1205063291139243</v>
      </c>
      <c r="BM24" s="242">
        <v>0.69560776302349325</v>
      </c>
      <c r="BN24" s="242">
        <v>0.62830957230142526</v>
      </c>
      <c r="BO24" s="242">
        <v>0.54984583761562211</v>
      </c>
      <c r="BP24" s="242">
        <v>0.56263048016701422</v>
      </c>
      <c r="BQ24">
        <v>2.4378211716341203</v>
      </c>
      <c r="BR24">
        <v>0.59071729957805896</v>
      </c>
      <c r="BS24">
        <v>0.69873150105708259</v>
      </c>
      <c r="BT24">
        <v>0.7247608926673752</v>
      </c>
      <c r="BU24">
        <v>0.63772775991425545</v>
      </c>
      <c r="BV24">
        <v>2.6518046709129517</v>
      </c>
      <c r="BW24">
        <v>0.69537136706135649</v>
      </c>
      <c r="BX24">
        <v>0.66956521739130481</v>
      </c>
      <c r="BY24">
        <v>0.76258205689277925</v>
      </c>
      <c r="BZ24">
        <v>0.96284153005464457</v>
      </c>
      <c r="CA24">
        <v>3.0886351277868411</v>
      </c>
      <c r="CB24">
        <v>0.67543859649122817</v>
      </c>
      <c r="CC24">
        <v>0.76495441405381381</v>
      </c>
      <c r="CD24">
        <v>0.90919409761634518</v>
      </c>
      <c r="CE24">
        <v>0.76064441887226641</v>
      </c>
      <c r="CF24">
        <v>3.1078651685393259</v>
      </c>
      <c r="CG24">
        <v>0.8395348837209301</v>
      </c>
      <c r="CH24">
        <v>0.9385150812064964</v>
      </c>
      <c r="CI24">
        <v>0.93263646922183474</v>
      </c>
      <c r="CJ24">
        <v>0.85915492957746398</v>
      </c>
      <c r="CK24">
        <v>3.573426573426572</v>
      </c>
      <c r="CM24" s="242" t="s">
        <v>86</v>
      </c>
      <c r="CN24" s="244">
        <v>2.4378211716341203</v>
      </c>
    </row>
    <row r="25" spans="2:92">
      <c r="B25" s="242" t="s">
        <v>27</v>
      </c>
      <c r="C25" s="242">
        <v>0</v>
      </c>
      <c r="D25" s="242">
        <v>0</v>
      </c>
      <c r="E25" s="242">
        <v>0</v>
      </c>
      <c r="F25" s="242">
        <v>0</v>
      </c>
      <c r="G25" s="242">
        <v>-7.1808510638297879E-2</v>
      </c>
      <c r="H25" s="242">
        <v>0</v>
      </c>
      <c r="I25" s="242">
        <v>-0.24870466321243523</v>
      </c>
      <c r="J25" s="242">
        <v>-3.4103410341034104E-2</v>
      </c>
      <c r="K25" s="242">
        <v>-3.3953997809419496E-2</v>
      </c>
      <c r="L25" s="242">
        <v>-3.4972677595628415E-2</v>
      </c>
      <c r="M25" s="242">
        <v>-0.17486338797814205</v>
      </c>
      <c r="N25" s="242">
        <v>-0.2782037239868565</v>
      </c>
      <c r="O25" s="242">
        <v>-2.4364406779661014E-2</v>
      </c>
      <c r="P25" s="242">
        <v>-2.4236037934668067E-2</v>
      </c>
      <c r="Q25" s="242">
        <v>-0.12434141201264488</v>
      </c>
      <c r="R25" s="242">
        <v>-0.1517386722866175</v>
      </c>
      <c r="S25" s="242">
        <v>-0.3287086446104589</v>
      </c>
      <c r="T25" s="242">
        <v>0</v>
      </c>
      <c r="U25" s="242">
        <v>0</v>
      </c>
      <c r="V25" s="242">
        <v>0</v>
      </c>
      <c r="W25" s="242">
        <v>1.8711018711018709E-2</v>
      </c>
      <c r="X25" s="242">
        <v>1.8848167539267015E-2</v>
      </c>
      <c r="Y25" s="242">
        <v>9.053069719042664E-2</v>
      </c>
      <c r="Z25" s="242">
        <v>-9.0342679127725853E-2</v>
      </c>
      <c r="AA25" s="242">
        <v>-8.2730093071354677E-3</v>
      </c>
      <c r="AB25" s="242">
        <v>-4.4375644994840036E-2</v>
      </c>
      <c r="AC25" s="242">
        <v>-5.2849740932642483E-2</v>
      </c>
      <c r="AD25" s="242">
        <v>0</v>
      </c>
      <c r="AE25" s="242">
        <v>0</v>
      </c>
      <c r="AF25" s="242">
        <v>0</v>
      </c>
      <c r="AG25" s="242">
        <v>0</v>
      </c>
      <c r="AH25" s="242">
        <v>0</v>
      </c>
      <c r="AI25" s="242">
        <v>0</v>
      </c>
      <c r="AJ25" s="242">
        <v>0</v>
      </c>
      <c r="AK25" s="242">
        <v>0</v>
      </c>
      <c r="AL25" s="242">
        <v>0</v>
      </c>
      <c r="AM25" s="242">
        <v>0</v>
      </c>
      <c r="AN25" s="242">
        <v>0</v>
      </c>
      <c r="AO25" s="242">
        <v>0</v>
      </c>
      <c r="AP25" s="242">
        <v>0</v>
      </c>
      <c r="AQ25" s="242">
        <v>0</v>
      </c>
      <c r="AR25" s="242">
        <v>0</v>
      </c>
      <c r="AS25" s="242">
        <v>4.9800796812749003E-3</v>
      </c>
      <c r="AT25" s="242">
        <v>0</v>
      </c>
      <c r="AU25" s="242">
        <v>0</v>
      </c>
      <c r="AV25" s="242">
        <v>0</v>
      </c>
      <c r="AW25" s="242">
        <v>4.9652432969215492E-3</v>
      </c>
      <c r="AX25" s="242">
        <v>0</v>
      </c>
      <c r="AY25" s="242">
        <v>2.9411764705882353E-3</v>
      </c>
      <c r="AZ25" s="242">
        <v>0</v>
      </c>
      <c r="BA25" s="242">
        <v>0</v>
      </c>
      <c r="BB25" s="242">
        <v>2.9411764705882357E-3</v>
      </c>
      <c r="BC25" s="242">
        <v>0</v>
      </c>
      <c r="BD25" s="242">
        <v>0</v>
      </c>
      <c r="BE25" s="242">
        <v>0</v>
      </c>
      <c r="BF25" s="242">
        <v>0</v>
      </c>
      <c r="BG25" s="242">
        <v>0</v>
      </c>
      <c r="BH25" s="242">
        <v>0</v>
      </c>
      <c r="BI25" s="242">
        <v>0</v>
      </c>
      <c r="BJ25" s="242">
        <v>0</v>
      </c>
      <c r="BK25" s="242">
        <v>0</v>
      </c>
      <c r="BL25" s="242">
        <v>0</v>
      </c>
      <c r="BM25" s="242">
        <v>0</v>
      </c>
      <c r="BN25" s="242">
        <v>0</v>
      </c>
      <c r="BO25" s="242">
        <v>0</v>
      </c>
      <c r="BP25" s="242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M25" s="242" t="s">
        <v>27</v>
      </c>
      <c r="CN25" s="244">
        <v>0</v>
      </c>
    </row>
    <row r="26" spans="2:92">
      <c r="B26" s="242" t="s">
        <v>31</v>
      </c>
      <c r="C26" s="242">
        <v>1.6007565710807241</v>
      </c>
      <c r="D26" s="242">
        <v>1.104398852663619</v>
      </c>
      <c r="E26" s="242">
        <v>-0.64010989010989017</v>
      </c>
      <c r="F26" s="242">
        <v>1.1859956236323868</v>
      </c>
      <c r="G26" s="242">
        <v>-11.534574468085108</v>
      </c>
      <c r="H26" s="242">
        <v>-0.35416666666666802</v>
      </c>
      <c r="I26" s="242">
        <v>-0.53626943005181349</v>
      </c>
      <c r="J26" s="242">
        <v>5.5005500550055278E-2</v>
      </c>
      <c r="K26" s="242">
        <v>6.243154435925518E-2</v>
      </c>
      <c r="L26" s="242">
        <v>1.2021857923497633E-2</v>
      </c>
      <c r="M26" s="242">
        <v>-9.1803278688525627E-2</v>
      </c>
      <c r="N26" s="242">
        <v>3.7239868565169344E-2</v>
      </c>
      <c r="O26" s="242">
        <v>-0.26165254237288127</v>
      </c>
      <c r="P26" s="242">
        <v>0.25184404636459445</v>
      </c>
      <c r="Q26" s="242">
        <v>-0.11275026343519458</v>
      </c>
      <c r="R26" s="242">
        <v>1.2687038988408847</v>
      </c>
      <c r="S26" s="242">
        <v>1.1622198505869801</v>
      </c>
      <c r="T26" s="242">
        <v>0.15247108307045204</v>
      </c>
      <c r="U26" s="242">
        <v>0.1842931937172774</v>
      </c>
      <c r="V26" s="242">
        <v>0.1649159663865549</v>
      </c>
      <c r="W26" s="242">
        <v>0.18814968814968794</v>
      </c>
      <c r="X26" s="242">
        <v>0.69005235602094228</v>
      </c>
      <c r="Y26" s="242">
        <v>0.24453694068678491</v>
      </c>
      <c r="Z26" s="242">
        <v>9.1381100726895204E-2</v>
      </c>
      <c r="AA26" s="242">
        <v>0.17890382626680484</v>
      </c>
      <c r="AB26" s="242">
        <v>8.9783281733744474E-2</v>
      </c>
      <c r="AC26" s="242">
        <v>0.60414507772020631</v>
      </c>
      <c r="AD26" s="242">
        <v>0.23746161719549666</v>
      </c>
      <c r="AE26" s="242">
        <v>0.27300613496932546</v>
      </c>
      <c r="AF26" s="242">
        <v>0.33742331288343513</v>
      </c>
      <c r="AG26" s="242">
        <v>0.29145211122553938</v>
      </c>
      <c r="AH26" s="242">
        <v>1.1393442622950807</v>
      </c>
      <c r="AI26" s="242">
        <v>0.24074074074074084</v>
      </c>
      <c r="AJ26" s="242">
        <v>0.17177914110429479</v>
      </c>
      <c r="AK26" s="242">
        <v>0.10601427115188602</v>
      </c>
      <c r="AL26" s="242">
        <v>5.7868020304568626E-2</v>
      </c>
      <c r="AM26" s="242">
        <v>0.57507660878447464</v>
      </c>
      <c r="AN26" s="242">
        <v>0.15959595959595954</v>
      </c>
      <c r="AO26" s="242">
        <v>0.23169508525576757</v>
      </c>
      <c r="AP26" s="242">
        <v>0.15599999999999997</v>
      </c>
      <c r="AQ26" s="242">
        <v>0.22695738354806647</v>
      </c>
      <c r="AR26" s="242">
        <v>0.77477477477477397</v>
      </c>
      <c r="AS26" s="242">
        <v>0.26294820717131501</v>
      </c>
      <c r="AT26" s="242">
        <v>0.37140019860973195</v>
      </c>
      <c r="AU26" s="242">
        <v>0.31849653808110778</v>
      </c>
      <c r="AV26" s="242">
        <v>0.3899308983218166</v>
      </c>
      <c r="AW26" s="242">
        <v>1.3455809334657403</v>
      </c>
      <c r="AX26" s="242">
        <v>0.38938053097345166</v>
      </c>
      <c r="AY26" s="242">
        <v>0.4705882352941177</v>
      </c>
      <c r="AZ26" s="242">
        <v>0.3898139079333991</v>
      </c>
      <c r="BA26" s="242">
        <v>0.3610567514677106</v>
      </c>
      <c r="BB26" s="242">
        <v>1.6107843137254916</v>
      </c>
      <c r="BC26" s="242">
        <v>0.42703232125367291</v>
      </c>
      <c r="BD26" s="242">
        <v>0.476424361493124</v>
      </c>
      <c r="BE26" s="242">
        <v>0.47885939036381514</v>
      </c>
      <c r="BF26" s="242">
        <v>0.46221786064769399</v>
      </c>
      <c r="BG26" s="242">
        <v>1.8444171779141108</v>
      </c>
      <c r="BH26" s="242">
        <v>0.49801192842942349</v>
      </c>
      <c r="BI26" s="242">
        <v>0.51008064516129059</v>
      </c>
      <c r="BJ26" s="242">
        <v>0.57113613101330607</v>
      </c>
      <c r="BK26" s="242">
        <v>0.5425641025641027</v>
      </c>
      <c r="BL26" s="242">
        <v>2.1205063291139243</v>
      </c>
      <c r="BM26" s="242">
        <v>0.69560776302349325</v>
      </c>
      <c r="BN26" s="242">
        <v>0.62830957230142526</v>
      </c>
      <c r="BO26" s="242">
        <v>0.54984583761562211</v>
      </c>
      <c r="BP26" s="242">
        <v>0.56263048016701422</v>
      </c>
      <c r="BQ26">
        <v>2.4378211716341203</v>
      </c>
      <c r="BR26">
        <v>0.59071729957805896</v>
      </c>
      <c r="BS26">
        <v>0.69873150105708259</v>
      </c>
      <c r="BT26">
        <v>0.7247608926673752</v>
      </c>
      <c r="BU26">
        <v>0.63772775991425545</v>
      </c>
      <c r="BV26">
        <v>2.6518046709129517</v>
      </c>
      <c r="BW26">
        <v>0.69537136706135649</v>
      </c>
      <c r="BX26">
        <v>0.66956521739130481</v>
      </c>
      <c r="BY26">
        <v>0.76258205689277925</v>
      </c>
      <c r="BZ26">
        <v>0.96284153005464457</v>
      </c>
      <c r="CA26">
        <v>3.0886351277868411</v>
      </c>
      <c r="CB26">
        <v>0.67543859649122817</v>
      </c>
      <c r="CC26">
        <v>0.76495441405381381</v>
      </c>
      <c r="CD26">
        <v>0.90919409761634518</v>
      </c>
      <c r="CE26">
        <v>0.76064441887226641</v>
      </c>
      <c r="CF26">
        <v>3.1078651685393259</v>
      </c>
      <c r="CG26">
        <v>0.8395348837209301</v>
      </c>
      <c r="CH26">
        <v>0.9385150812064964</v>
      </c>
      <c r="CI26">
        <v>0.93263646922183474</v>
      </c>
      <c r="CJ26">
        <v>0.85915492957746398</v>
      </c>
      <c r="CK26">
        <v>3.573426573426572</v>
      </c>
      <c r="CM26" s="242" t="s">
        <v>31</v>
      </c>
      <c r="CN26" s="244">
        <v>2.4378211716341203</v>
      </c>
    </row>
    <row r="27" spans="2:92">
      <c r="CN27" s="244"/>
    </row>
    <row r="28" spans="2:92">
      <c r="B28" s="242" t="s">
        <v>562</v>
      </c>
      <c r="BL28" s="242">
        <v>4.2</v>
      </c>
      <c r="BQ28">
        <v>-11.6</v>
      </c>
      <c r="BR28">
        <v>0</v>
      </c>
      <c r="BS28">
        <v>0.3</v>
      </c>
      <c r="BT28">
        <v>-6.6</v>
      </c>
      <c r="BU28">
        <v>0</v>
      </c>
      <c r="BV28">
        <v>-6.3</v>
      </c>
      <c r="BW28">
        <v>-9.1</v>
      </c>
      <c r="BX28">
        <v>0</v>
      </c>
      <c r="BY28">
        <v>-4.2</v>
      </c>
      <c r="BZ28">
        <v>-24.400000000000002</v>
      </c>
      <c r="CA28">
        <v>-37.700000000000003</v>
      </c>
      <c r="CB28">
        <v>0</v>
      </c>
      <c r="CC28">
        <v>-1.3</v>
      </c>
      <c r="CD28">
        <v>-9.6</v>
      </c>
      <c r="CE28">
        <v>5.4</v>
      </c>
      <c r="CF28">
        <v>-5.5</v>
      </c>
      <c r="CG28">
        <v>0</v>
      </c>
      <c r="CH28">
        <v>0</v>
      </c>
      <c r="CI28">
        <v>-3</v>
      </c>
      <c r="CJ28">
        <v>0</v>
      </c>
      <c r="CK28">
        <v>-3</v>
      </c>
      <c r="CM28" s="242" t="s">
        <v>562</v>
      </c>
      <c r="CN28" s="244">
        <v>-11.6</v>
      </c>
    </row>
    <row r="29" spans="2:92">
      <c r="B29" s="242" t="s">
        <v>561</v>
      </c>
      <c r="BL29" s="242">
        <v>2.1630379746835446</v>
      </c>
      <c r="BQ29">
        <v>2.3186022610483032</v>
      </c>
      <c r="BR29">
        <v>0.59071729957805896</v>
      </c>
      <c r="BS29">
        <v>0.70190274841437639</v>
      </c>
      <c r="BT29">
        <v>0.65462274176408086</v>
      </c>
      <c r="BU29">
        <v>0.63772775991425545</v>
      </c>
      <c r="BV29">
        <v>2.5849256900212318</v>
      </c>
      <c r="BW29">
        <v>0.59741657696447814</v>
      </c>
      <c r="BX29">
        <v>0.66956521739130481</v>
      </c>
      <c r="BY29">
        <v>0.71663019693654295</v>
      </c>
      <c r="BZ29">
        <v>0.69617486338797785</v>
      </c>
      <c r="CA29">
        <v>2.6786296900489401</v>
      </c>
      <c r="CB29">
        <v>0.67543859649122817</v>
      </c>
      <c r="CC29">
        <v>0.750500333555704</v>
      </c>
      <c r="CD29">
        <v>0.80022701475595936</v>
      </c>
      <c r="CE29">
        <v>0.82278481012658178</v>
      </c>
      <c r="CF29">
        <v>3.0460674157303371</v>
      </c>
      <c r="CG29">
        <v>0.8395348837209301</v>
      </c>
      <c r="CH29">
        <v>0.9385150812064964</v>
      </c>
      <c r="CI29">
        <v>0.89779326364692191</v>
      </c>
      <c r="CJ29">
        <v>0.85915492957746398</v>
      </c>
      <c r="CK29">
        <v>3.538461538461537</v>
      </c>
      <c r="CM29" s="242" t="s">
        <v>561</v>
      </c>
      <c r="CN29" s="244">
        <v>2.3186022610483032</v>
      </c>
    </row>
    <row r="30" spans="2:92">
      <c r="CN30" s="244"/>
    </row>
    <row r="31" spans="2:92">
      <c r="B31" s="242" t="s">
        <v>238</v>
      </c>
      <c r="CM31" s="242" t="s">
        <v>238</v>
      </c>
      <c r="CN31" s="244"/>
    </row>
    <row r="32" spans="2:92">
      <c r="B32" s="242" t="s">
        <v>32</v>
      </c>
      <c r="C32" s="242">
        <v>36.747999999999998</v>
      </c>
      <c r="D32" s="242">
        <v>36.674999999999997</v>
      </c>
      <c r="E32" s="242">
        <v>36.4</v>
      </c>
      <c r="F32" s="242">
        <v>36.799999999999997</v>
      </c>
      <c r="G32" s="242">
        <v>37.6</v>
      </c>
      <c r="H32" s="242">
        <v>38.4</v>
      </c>
      <c r="I32" s="242">
        <v>38.6</v>
      </c>
      <c r="J32" s="242">
        <v>38.9</v>
      </c>
      <c r="K32" s="242">
        <v>39.200000000000003</v>
      </c>
      <c r="L32" s="242">
        <v>39.4</v>
      </c>
      <c r="M32" s="242">
        <v>41.6</v>
      </c>
      <c r="N32" s="242">
        <v>39.774999999999999</v>
      </c>
      <c r="O32" s="242">
        <v>53.9</v>
      </c>
      <c r="P32" s="242">
        <v>54.5</v>
      </c>
      <c r="Q32" s="242">
        <v>62.4</v>
      </c>
      <c r="R32" s="242">
        <v>69</v>
      </c>
      <c r="S32" s="242">
        <v>60</v>
      </c>
      <c r="T32" s="242">
        <v>92.9</v>
      </c>
      <c r="U32" s="242">
        <v>93.4</v>
      </c>
      <c r="V32" s="242">
        <v>93.7</v>
      </c>
      <c r="W32" s="242">
        <v>93.600000000000023</v>
      </c>
      <c r="X32" s="242">
        <v>93.4</v>
      </c>
      <c r="Y32" s="242">
        <v>94</v>
      </c>
      <c r="Z32" s="242">
        <v>94.4</v>
      </c>
      <c r="AA32" s="242">
        <v>94.9</v>
      </c>
      <c r="AB32" s="242">
        <v>95.499999999999972</v>
      </c>
      <c r="AC32" s="242">
        <v>94.699999999999989</v>
      </c>
      <c r="AD32" s="242">
        <v>96.1</v>
      </c>
      <c r="AE32" s="242">
        <v>96.2</v>
      </c>
      <c r="AF32" s="242">
        <v>96.5</v>
      </c>
      <c r="AG32" s="242">
        <v>96.80000000000004</v>
      </c>
      <c r="AH32" s="242">
        <v>96.4</v>
      </c>
      <c r="AI32" s="242">
        <v>96.8</v>
      </c>
      <c r="AJ32" s="242">
        <v>96.9</v>
      </c>
      <c r="AK32" s="242">
        <v>96.9</v>
      </c>
      <c r="AL32" s="242">
        <v>96.9</v>
      </c>
      <c r="AM32" s="242">
        <v>96.875</v>
      </c>
      <c r="AN32" s="242">
        <v>97.3</v>
      </c>
      <c r="AO32" s="242">
        <v>97.5</v>
      </c>
      <c r="AP32" s="242">
        <v>97.7</v>
      </c>
      <c r="AQ32" s="242">
        <v>97.899999999999991</v>
      </c>
      <c r="AR32" s="242">
        <v>97.6</v>
      </c>
      <c r="AS32" s="242">
        <v>98.2</v>
      </c>
      <c r="AT32" s="242">
        <v>98.6</v>
      </c>
      <c r="AU32" s="242">
        <v>99</v>
      </c>
      <c r="AV32" s="242">
        <v>99.2</v>
      </c>
      <c r="AW32" s="242">
        <v>98.75</v>
      </c>
      <c r="AX32" s="242">
        <v>99.8</v>
      </c>
      <c r="AY32" s="242">
        <v>100.2</v>
      </c>
      <c r="AZ32" s="242">
        <v>100.3</v>
      </c>
      <c r="BA32" s="242">
        <v>100.4</v>
      </c>
      <c r="BB32" s="242">
        <v>100.17500000000001</v>
      </c>
      <c r="BC32" s="242">
        <v>100.4</v>
      </c>
      <c r="BD32" s="242">
        <v>100</v>
      </c>
      <c r="BE32" s="242">
        <v>99.7</v>
      </c>
      <c r="BF32" s="242">
        <v>99.7</v>
      </c>
      <c r="BG32" s="242">
        <v>99.95</v>
      </c>
      <c r="BH32" s="242">
        <v>98.5</v>
      </c>
      <c r="BI32" s="242">
        <v>97.3</v>
      </c>
      <c r="BJ32" s="242">
        <v>95.8</v>
      </c>
      <c r="BK32" s="242">
        <v>95.6</v>
      </c>
      <c r="BL32" s="242">
        <v>96.800000000000011</v>
      </c>
      <c r="BM32" s="242">
        <v>96.2</v>
      </c>
      <c r="BN32" s="242">
        <v>96.6</v>
      </c>
      <c r="BO32" s="242">
        <v>95.8</v>
      </c>
      <c r="BP32" s="242">
        <v>94.4</v>
      </c>
      <c r="BQ32">
        <v>95.75</v>
      </c>
      <c r="BR32">
        <v>93.4</v>
      </c>
      <c r="BS32">
        <v>93.1</v>
      </c>
      <c r="BT32">
        <v>92.7</v>
      </c>
      <c r="BU32">
        <v>91.8</v>
      </c>
      <c r="BV32">
        <v>92.75</v>
      </c>
      <c r="BW32">
        <v>91.4</v>
      </c>
      <c r="BX32">
        <v>90.7</v>
      </c>
      <c r="BY32">
        <v>90.1</v>
      </c>
      <c r="BZ32">
        <v>90</v>
      </c>
      <c r="CA32">
        <v>90.550000000000011</v>
      </c>
      <c r="CB32">
        <v>90</v>
      </c>
      <c r="CC32">
        <v>88.8</v>
      </c>
      <c r="CD32">
        <v>87</v>
      </c>
      <c r="CE32">
        <v>85.9</v>
      </c>
      <c r="CF32">
        <v>87.9</v>
      </c>
      <c r="CG32">
        <v>85</v>
      </c>
      <c r="CH32">
        <v>85.2</v>
      </c>
      <c r="CI32">
        <v>85.1</v>
      </c>
      <c r="CJ32">
        <v>84.4</v>
      </c>
      <c r="CK32">
        <v>84.9</v>
      </c>
      <c r="CM32" s="242" t="s">
        <v>32</v>
      </c>
      <c r="CN32" s="244">
        <v>95.75</v>
      </c>
    </row>
    <row r="33" spans="2:92">
      <c r="B33" s="242" t="s">
        <v>33</v>
      </c>
      <c r="C33" s="242">
        <v>45.997</v>
      </c>
      <c r="D33" s="242">
        <v>45.670999999999999</v>
      </c>
      <c r="E33" s="242">
        <v>36.4</v>
      </c>
      <c r="F33" s="242">
        <v>45.7</v>
      </c>
      <c r="G33" s="242">
        <v>37.6</v>
      </c>
      <c r="H33" s="242">
        <v>38.4</v>
      </c>
      <c r="I33" s="242">
        <v>38.6</v>
      </c>
      <c r="J33" s="242">
        <v>90.9</v>
      </c>
      <c r="K33" s="242">
        <v>91.3</v>
      </c>
      <c r="L33" s="242">
        <v>91.5</v>
      </c>
      <c r="M33" s="242">
        <v>91.5</v>
      </c>
      <c r="N33" s="242">
        <v>91.3</v>
      </c>
      <c r="O33" s="242">
        <v>94.4</v>
      </c>
      <c r="P33" s="242">
        <v>94.9</v>
      </c>
      <c r="Q33" s="242">
        <v>94.9</v>
      </c>
      <c r="R33" s="242">
        <v>94.9</v>
      </c>
      <c r="S33" s="242">
        <v>93.7</v>
      </c>
      <c r="T33" s="242">
        <v>95.1</v>
      </c>
      <c r="U33" s="242">
        <v>95.5</v>
      </c>
      <c r="V33" s="242">
        <v>95.2</v>
      </c>
      <c r="W33" s="242">
        <v>96.200000000000017</v>
      </c>
      <c r="X33" s="242">
        <v>95.5</v>
      </c>
      <c r="Y33" s="242">
        <v>96.1</v>
      </c>
      <c r="Z33" s="242">
        <v>96.3</v>
      </c>
      <c r="AA33" s="242">
        <v>96.7</v>
      </c>
      <c r="AB33" s="242">
        <v>96.9</v>
      </c>
      <c r="AC33" s="242">
        <v>96.5</v>
      </c>
      <c r="AD33" s="242">
        <v>97.7</v>
      </c>
      <c r="AE33" s="242">
        <v>97.8</v>
      </c>
      <c r="AF33" s="242">
        <v>97.8</v>
      </c>
      <c r="AG33" s="242">
        <v>97.099999999999952</v>
      </c>
      <c r="AH33" s="242">
        <v>97.6</v>
      </c>
      <c r="AI33" s="242">
        <v>97.2</v>
      </c>
      <c r="AJ33" s="242">
        <v>97.8</v>
      </c>
      <c r="AK33" s="242">
        <v>98.1</v>
      </c>
      <c r="AL33" s="242">
        <v>98.5</v>
      </c>
      <c r="AM33" s="242">
        <v>97.9</v>
      </c>
      <c r="AN33" s="242">
        <v>99</v>
      </c>
      <c r="AO33" s="242">
        <v>99.7</v>
      </c>
      <c r="AP33" s="242">
        <v>100</v>
      </c>
      <c r="AQ33" s="242">
        <v>100.90000000000003</v>
      </c>
      <c r="AR33" s="242">
        <v>99.9</v>
      </c>
      <c r="AS33" s="242">
        <v>100.4</v>
      </c>
      <c r="AT33" s="242">
        <v>100.7</v>
      </c>
      <c r="AU33" s="242">
        <v>101.1</v>
      </c>
      <c r="AV33" s="242">
        <v>101.3</v>
      </c>
      <c r="AW33" s="242">
        <v>100.7</v>
      </c>
      <c r="AX33" s="242">
        <v>101.7</v>
      </c>
      <c r="AY33" s="242">
        <v>102</v>
      </c>
      <c r="AZ33" s="242">
        <v>102.1</v>
      </c>
      <c r="BA33" s="242">
        <v>102.2</v>
      </c>
      <c r="BB33" s="242">
        <v>101.99999999999999</v>
      </c>
      <c r="BC33" s="242">
        <v>102.1</v>
      </c>
      <c r="BD33" s="242">
        <v>101.8</v>
      </c>
      <c r="BE33" s="242">
        <v>101.7</v>
      </c>
      <c r="BF33" s="242">
        <v>101.9</v>
      </c>
      <c r="BG33" s="242">
        <v>101.875</v>
      </c>
      <c r="BH33" s="242">
        <v>100.6</v>
      </c>
      <c r="BI33" s="242">
        <v>99.2</v>
      </c>
      <c r="BJ33" s="242">
        <v>97.7</v>
      </c>
      <c r="BK33" s="242">
        <v>97.5</v>
      </c>
      <c r="BL33" s="242">
        <v>98.75</v>
      </c>
      <c r="BM33" s="242">
        <v>97.9</v>
      </c>
      <c r="BN33" s="242">
        <v>98.2</v>
      </c>
      <c r="BO33" s="242">
        <v>97.3</v>
      </c>
      <c r="BP33" s="242">
        <v>95.8</v>
      </c>
      <c r="BQ33">
        <v>97.300000000000011</v>
      </c>
      <c r="BR33">
        <v>94.8</v>
      </c>
      <c r="BS33">
        <v>94.6</v>
      </c>
      <c r="BT33">
        <v>94.1</v>
      </c>
      <c r="BU33">
        <v>93.3</v>
      </c>
      <c r="BV33">
        <v>94.2</v>
      </c>
      <c r="BW33">
        <v>92.9</v>
      </c>
      <c r="BX33">
        <v>92</v>
      </c>
      <c r="BY33">
        <v>91.4</v>
      </c>
      <c r="BZ33">
        <v>91.5</v>
      </c>
      <c r="CA33">
        <v>91.95</v>
      </c>
      <c r="CB33">
        <v>91.2</v>
      </c>
      <c r="CC33">
        <v>89.94</v>
      </c>
      <c r="CD33">
        <v>88.1</v>
      </c>
      <c r="CE33">
        <v>86.9</v>
      </c>
      <c r="CF33">
        <v>89</v>
      </c>
      <c r="CG33">
        <v>86</v>
      </c>
      <c r="CH33">
        <v>86.2</v>
      </c>
      <c r="CI33">
        <v>86.1</v>
      </c>
      <c r="CJ33">
        <v>85.2</v>
      </c>
      <c r="CK33">
        <v>85.8</v>
      </c>
      <c r="CM33" s="242" t="s">
        <v>33</v>
      </c>
      <c r="CN33" s="244">
        <v>97.300000000000011</v>
      </c>
    </row>
    <row r="34" spans="2:92">
      <c r="CN34" s="244"/>
    </row>
    <row r="35" spans="2:92">
      <c r="B35" s="242" t="s">
        <v>379</v>
      </c>
      <c r="BM35" s="242">
        <v>0.1</v>
      </c>
      <c r="BN35" s="242">
        <v>0.1</v>
      </c>
      <c r="BO35" s="242">
        <v>0.1</v>
      </c>
      <c r="BP35" s="242">
        <v>0.1</v>
      </c>
      <c r="BQ35">
        <v>0.4</v>
      </c>
      <c r="BR35">
        <v>0.1</v>
      </c>
      <c r="BS35">
        <v>0.11</v>
      </c>
      <c r="BT35">
        <v>0.11</v>
      </c>
      <c r="BU35">
        <v>0.11</v>
      </c>
      <c r="BV35">
        <v>0.43</v>
      </c>
      <c r="BW35">
        <v>0.11</v>
      </c>
      <c r="BX35">
        <v>0.11</v>
      </c>
      <c r="BY35">
        <v>0.125</v>
      </c>
      <c r="BZ35">
        <v>0.125</v>
      </c>
      <c r="CA35">
        <v>0.47</v>
      </c>
      <c r="CB35">
        <v>0.125</v>
      </c>
      <c r="CC35">
        <v>0.125</v>
      </c>
      <c r="CD35">
        <v>0.15</v>
      </c>
      <c r="CE35">
        <v>0.15</v>
      </c>
      <c r="CF35">
        <v>0.55000000000000004</v>
      </c>
      <c r="CG35">
        <v>0.15</v>
      </c>
      <c r="CH35">
        <v>0.15</v>
      </c>
      <c r="CI35">
        <v>0.17</v>
      </c>
      <c r="CJ35">
        <v>0.17</v>
      </c>
      <c r="CK35">
        <v>0.64</v>
      </c>
      <c r="CM35" s="242" t="s">
        <v>379</v>
      </c>
      <c r="CN35" s="244">
        <v>0.4</v>
      </c>
    </row>
    <row r="36" spans="2:92">
      <c r="B36" s="242" t="s">
        <v>380</v>
      </c>
      <c r="BM36" s="242">
        <v>0.14375917767988255</v>
      </c>
      <c r="BN36" s="242">
        <v>0.15915721231766625</v>
      </c>
      <c r="BO36" s="242">
        <v>0.18186915887850458</v>
      </c>
      <c r="BP36" s="242">
        <v>0.17773654916512072</v>
      </c>
      <c r="BQ36">
        <v>0.16408094435075893</v>
      </c>
      <c r="BR36">
        <v>0.16928571428571432</v>
      </c>
      <c r="BS36">
        <v>0.15742813918305595</v>
      </c>
      <c r="BT36">
        <v>0.15177419354838709</v>
      </c>
      <c r="BU36">
        <v>0.1724873949579831</v>
      </c>
      <c r="BV36">
        <v>0.16215372297838268</v>
      </c>
      <c r="BW36">
        <v>0.15818885448916403</v>
      </c>
      <c r="BX36">
        <v>0.16428571428571417</v>
      </c>
      <c r="BY36">
        <v>0.16391678622668573</v>
      </c>
      <c r="BZ36">
        <v>0.1298240635641317</v>
      </c>
      <c r="CA36">
        <v>0.15217077464788728</v>
      </c>
      <c r="CB36">
        <v>0.18506493506493504</v>
      </c>
      <c r="CC36">
        <v>0.16340843023255811</v>
      </c>
      <c r="CD36">
        <v>0.16498127340823968</v>
      </c>
      <c r="CE36">
        <v>0.19720121028744342</v>
      </c>
      <c r="CF36">
        <v>0.17697035430224151</v>
      </c>
      <c r="CG36">
        <v>0.17867036011080334</v>
      </c>
      <c r="CH36">
        <v>0.15982694684796045</v>
      </c>
      <c r="CI36">
        <v>0.18227895392278962</v>
      </c>
      <c r="CJ36">
        <v>0.19786885245901659</v>
      </c>
      <c r="CK36">
        <v>0.17909980430528383</v>
      </c>
      <c r="CM36" s="242" t="s">
        <v>380</v>
      </c>
      <c r="CN36" s="244">
        <v>0.16408094435075893</v>
      </c>
    </row>
    <row r="37" spans="2:92">
      <c r="CN37" s="244"/>
    </row>
    <row r="38" spans="2:92">
      <c r="B38" s="242" t="s">
        <v>217</v>
      </c>
      <c r="C38" s="242">
        <v>-3.9569999999999999</v>
      </c>
      <c r="D38" s="242">
        <v>-5.1530000000000005</v>
      </c>
      <c r="E38" s="242">
        <v>-6.3</v>
      </c>
      <c r="F38" s="242">
        <v>1.2</v>
      </c>
      <c r="G38" s="242">
        <v>-4.0999999999999996</v>
      </c>
      <c r="H38" s="242">
        <v>-6.8000000000000007</v>
      </c>
      <c r="I38" s="242">
        <v>-6.1</v>
      </c>
      <c r="J38" s="242">
        <v>-1.8</v>
      </c>
      <c r="K38" s="242">
        <v>-1.8</v>
      </c>
      <c r="L38" s="242">
        <v>-1.9</v>
      </c>
      <c r="M38" s="242">
        <v>-2</v>
      </c>
      <c r="N38" s="242">
        <v>-7.5</v>
      </c>
      <c r="O38" s="242">
        <v>-2.1</v>
      </c>
      <c r="P38" s="242">
        <v>-2</v>
      </c>
      <c r="Q38" s="242">
        <v>-2</v>
      </c>
      <c r="R38" s="242">
        <v>-1.7000000000000002</v>
      </c>
      <c r="S38" s="242">
        <v>-7.8</v>
      </c>
      <c r="T38" s="242">
        <v>-1.9</v>
      </c>
      <c r="U38" s="242">
        <v>-2.1</v>
      </c>
      <c r="V38" s="242">
        <v>-2</v>
      </c>
      <c r="W38" s="242">
        <v>-2.5</v>
      </c>
      <c r="X38" s="242">
        <v>-8.5</v>
      </c>
      <c r="Y38" s="242">
        <v>-2.1</v>
      </c>
      <c r="Z38" s="242">
        <v>-2.4</v>
      </c>
      <c r="AA38" s="242">
        <v>-2.4</v>
      </c>
      <c r="AB38" s="242">
        <v>-12.1</v>
      </c>
      <c r="AC38" s="242">
        <v>-19</v>
      </c>
      <c r="AD38" s="242">
        <v>-4.2</v>
      </c>
      <c r="AE38" s="242">
        <v>-1.4</v>
      </c>
      <c r="AF38" s="242">
        <v>-1.5</v>
      </c>
      <c r="AG38" s="242">
        <v>-1.4000000000000004</v>
      </c>
      <c r="AH38" s="242">
        <v>-8.5</v>
      </c>
      <c r="AI38" s="242">
        <v>-1.5</v>
      </c>
      <c r="AJ38" s="242">
        <v>-1.5</v>
      </c>
      <c r="AK38" s="242">
        <v>-1.3</v>
      </c>
      <c r="AL38" s="242">
        <v>-3.5000000000000009</v>
      </c>
      <c r="AM38" s="242">
        <v>-7.8000000000000007</v>
      </c>
      <c r="AN38" s="242">
        <v>-0.7</v>
      </c>
      <c r="AO38" s="242">
        <v>-2.2999999999999998</v>
      </c>
      <c r="AP38" s="242">
        <v>-2.4000000000000004</v>
      </c>
      <c r="AQ38" s="242">
        <v>-3.5999999999999996</v>
      </c>
      <c r="AR38" s="242">
        <v>-9</v>
      </c>
      <c r="AS38" s="242">
        <v>-0.8</v>
      </c>
      <c r="AT38" s="242">
        <v>-0.9</v>
      </c>
      <c r="AU38" s="242">
        <v>-1.3</v>
      </c>
      <c r="AV38" s="242">
        <v>3.3</v>
      </c>
      <c r="AW38" s="242">
        <v>0.29999999999999982</v>
      </c>
      <c r="AX38" s="242">
        <v>-1.2</v>
      </c>
      <c r="AY38" s="242">
        <v>-1.1000000000000001</v>
      </c>
      <c r="AZ38" s="242">
        <v>-1.3</v>
      </c>
      <c r="BA38" s="242">
        <v>-1.1000000000000003</v>
      </c>
      <c r="BB38" s="242">
        <v>-4.7</v>
      </c>
      <c r="BC38" s="242">
        <v>-1.6</v>
      </c>
      <c r="BD38" s="242">
        <v>-1.5</v>
      </c>
      <c r="BE38" s="242">
        <v>-1.8</v>
      </c>
      <c r="BF38" s="242">
        <v>-1.5999999999999996</v>
      </c>
      <c r="BG38" s="242">
        <v>-6.5</v>
      </c>
      <c r="BH38" s="242">
        <v>-2.7</v>
      </c>
      <c r="BI38" s="242">
        <v>-2.8</v>
      </c>
      <c r="BJ38" s="242">
        <v>-0.5</v>
      </c>
      <c r="BK38" s="242">
        <v>-0.5</v>
      </c>
      <c r="BL38" s="242">
        <v>-6.5</v>
      </c>
      <c r="BM38" s="242">
        <v>-1.2</v>
      </c>
      <c r="BN38" s="242">
        <v>-1.2</v>
      </c>
      <c r="BO38" s="242">
        <v>-0.4</v>
      </c>
      <c r="BP38" s="242">
        <v>-0.60000000000000009</v>
      </c>
      <c r="BQ38">
        <v>-3.4</v>
      </c>
      <c r="BR38">
        <v>-0.5</v>
      </c>
      <c r="BS38">
        <v>-0.6</v>
      </c>
      <c r="BT38">
        <v>-0.5</v>
      </c>
      <c r="BU38">
        <v>-0.69999999999999973</v>
      </c>
      <c r="BV38">
        <v>-2.2999999999999998</v>
      </c>
      <c r="BW38">
        <v>-0.6</v>
      </c>
      <c r="BX38">
        <v>-0.7</v>
      </c>
      <c r="BY38">
        <v>-0.6</v>
      </c>
      <c r="BZ38">
        <v>-1.1000000000000001</v>
      </c>
      <c r="CA38">
        <v>-3</v>
      </c>
      <c r="CB38">
        <v>-0.4</v>
      </c>
      <c r="CC38">
        <v>-0.5</v>
      </c>
      <c r="CD38">
        <v>-0.4</v>
      </c>
      <c r="CE38">
        <v>-0.7</v>
      </c>
      <c r="CF38">
        <v>-2</v>
      </c>
      <c r="CG38">
        <v>-0.5</v>
      </c>
      <c r="CH38">
        <v>-0.4</v>
      </c>
      <c r="CI38">
        <v>-0.5</v>
      </c>
      <c r="CJ38">
        <v>-0.5</v>
      </c>
      <c r="CK38">
        <v>-1.9</v>
      </c>
      <c r="CM38" s="242" t="s">
        <v>217</v>
      </c>
      <c r="CN38" s="244">
        <v>-3.4</v>
      </c>
    </row>
    <row r="39" spans="2:92">
      <c r="B39" s="242" t="s">
        <v>218</v>
      </c>
      <c r="C39" s="242">
        <v>-8.6027349609757151E-2</v>
      </c>
      <c r="D39" s="242">
        <v>-0.11282870968448251</v>
      </c>
      <c r="E39" s="242">
        <v>-0.17307692307692307</v>
      </c>
      <c r="F39" s="242">
        <v>2.6258205689277898E-2</v>
      </c>
      <c r="G39" s="242">
        <v>-0.10904255319148935</v>
      </c>
      <c r="H39" s="242">
        <v>-0.17708333333333337</v>
      </c>
      <c r="I39" s="242">
        <v>-0.15803108808290153</v>
      </c>
      <c r="J39" s="242">
        <v>-1.9801980198019802E-2</v>
      </c>
      <c r="K39" s="242">
        <v>-1.9715224534501644E-2</v>
      </c>
      <c r="L39" s="242">
        <v>-2.0765027322404369E-2</v>
      </c>
      <c r="M39" s="242">
        <v>-2.185792349726776E-2</v>
      </c>
      <c r="N39" s="242">
        <v>-8.2146768893756841E-2</v>
      </c>
      <c r="O39" s="242">
        <v>-2.2245762711864406E-2</v>
      </c>
      <c r="P39" s="242">
        <v>-2.107481559536354E-2</v>
      </c>
      <c r="Q39" s="242">
        <v>-2.107481559536354E-2</v>
      </c>
      <c r="R39" s="242">
        <v>-1.7913593256059009E-2</v>
      </c>
      <c r="S39" s="242">
        <v>-8.3244397011739593E-2</v>
      </c>
      <c r="T39" s="242">
        <v>-1.9978969505783387E-2</v>
      </c>
      <c r="U39" s="242">
        <v>-2.1989528795811519E-2</v>
      </c>
      <c r="V39" s="242">
        <v>-2.1008403361344536E-2</v>
      </c>
      <c r="W39" s="242">
        <v>-2.5987525987525982E-2</v>
      </c>
      <c r="X39" s="242">
        <v>-8.9005235602094238E-2</v>
      </c>
      <c r="Y39" s="242">
        <v>-2.1852237252861603E-2</v>
      </c>
      <c r="Z39" s="242">
        <v>-2.4922118380062305E-2</v>
      </c>
      <c r="AA39" s="242">
        <v>-2.481902792140641E-2</v>
      </c>
      <c r="AB39" s="242">
        <v>-0.12487100103199174</v>
      </c>
      <c r="AC39" s="242">
        <v>-0.19689119170984457</v>
      </c>
      <c r="AD39" s="242">
        <v>-4.2988741044012284E-2</v>
      </c>
      <c r="AE39" s="242">
        <v>-1.4314928425357873E-2</v>
      </c>
      <c r="AF39" s="242">
        <v>-1.5337423312883436E-2</v>
      </c>
      <c r="AG39" s="242">
        <v>-1.4418125643666334E-2</v>
      </c>
      <c r="AH39" s="242">
        <v>-8.7090163934426229E-2</v>
      </c>
      <c r="AI39" s="242">
        <v>-1.5432098765432098E-2</v>
      </c>
      <c r="AJ39" s="242">
        <v>-1.5337423312883436E-2</v>
      </c>
      <c r="AK39" s="242">
        <v>-1.3251783893985731E-2</v>
      </c>
      <c r="AL39" s="242">
        <v>-3.5532994923857877E-2</v>
      </c>
      <c r="AM39" s="242">
        <v>-7.9673135852911137E-2</v>
      </c>
      <c r="AN39" s="242">
        <v>-7.0707070707070703E-3</v>
      </c>
      <c r="AO39" s="242">
        <v>-2.3069207622868602E-2</v>
      </c>
      <c r="AP39" s="242">
        <v>-2.4000000000000004E-2</v>
      </c>
      <c r="AQ39" s="242">
        <v>-3.5678889990089183E-2</v>
      </c>
      <c r="AR39" s="242">
        <v>-9.0090090090090086E-2</v>
      </c>
      <c r="AS39" s="242">
        <v>-7.9681274900398405E-3</v>
      </c>
      <c r="AT39" s="242">
        <v>-8.9374379344587876E-3</v>
      </c>
      <c r="AU39" s="242">
        <v>-1.2858555885262118E-2</v>
      </c>
      <c r="AV39" s="242">
        <v>3.257650542941757E-2</v>
      </c>
      <c r="AW39" s="242">
        <v>2.9791459781529275E-3</v>
      </c>
      <c r="AX39" s="242">
        <v>-1.1799410029498525E-2</v>
      </c>
      <c r="AY39" s="242">
        <v>-1.0784313725490198E-2</v>
      </c>
      <c r="AZ39" s="242">
        <v>-1.2732615083251715E-2</v>
      </c>
      <c r="BA39" s="242">
        <v>-1.0763209393346383E-2</v>
      </c>
      <c r="BB39" s="242">
        <v>-4.6078431372549029E-2</v>
      </c>
      <c r="BC39" s="242">
        <v>-1.5670910871694418E-2</v>
      </c>
      <c r="BD39" s="242">
        <v>-1.4734774066797643E-2</v>
      </c>
      <c r="BE39" s="242">
        <v>-1.7699115044247787E-2</v>
      </c>
      <c r="BF39" s="242">
        <v>-1.570166830225711E-2</v>
      </c>
      <c r="BG39" s="242">
        <v>-6.3803680981595098E-2</v>
      </c>
      <c r="BH39" s="242">
        <v>-2.6838966202783303E-2</v>
      </c>
      <c r="BI39" s="242">
        <v>-2.8225806451612899E-2</v>
      </c>
      <c r="BJ39" s="242">
        <v>-5.1177072671443188E-3</v>
      </c>
      <c r="BK39" s="242">
        <v>-5.1282051282051282E-3</v>
      </c>
      <c r="BL39" s="242">
        <v>-6.5822784810126586E-2</v>
      </c>
      <c r="BM39" s="242">
        <v>-1.2257405515832482E-2</v>
      </c>
      <c r="BN39" s="242">
        <v>-1.2219959266802444E-2</v>
      </c>
      <c r="BO39" s="242">
        <v>-4.1109969167523125E-3</v>
      </c>
      <c r="BP39" s="242">
        <v>-6.2630480167014625E-3</v>
      </c>
      <c r="BQ39">
        <v>-3.4943473792394653E-2</v>
      </c>
      <c r="BR39">
        <v>-5.2742616033755272E-3</v>
      </c>
      <c r="BS39">
        <v>-6.3424947145877377E-3</v>
      </c>
      <c r="BT39">
        <v>-5.3134962805526037E-3</v>
      </c>
      <c r="BU39">
        <v>-7.5026795284029984E-3</v>
      </c>
      <c r="BV39">
        <v>-2.4416135881104032E-2</v>
      </c>
      <c r="BW39">
        <v>-6.4585575888051663E-3</v>
      </c>
      <c r="BX39">
        <v>-7.6086956521739125E-3</v>
      </c>
      <c r="BY39">
        <v>-6.5645514223194746E-3</v>
      </c>
      <c r="BZ39">
        <v>-1.2021857923497269E-2</v>
      </c>
      <c r="CA39">
        <v>-3.2626427406199018E-2</v>
      </c>
      <c r="CB39">
        <v>-4.3859649122807015E-3</v>
      </c>
      <c r="CC39">
        <v>-5.5592617300422508E-3</v>
      </c>
      <c r="CD39">
        <v>-4.5402951191827476E-3</v>
      </c>
      <c r="CE39">
        <v>-8.0552359033371681E-3</v>
      </c>
      <c r="CF39">
        <v>-2.247191011235955E-2</v>
      </c>
      <c r="CG39">
        <v>-5.8139534883720929E-3</v>
      </c>
      <c r="CH39">
        <v>-4.6403712296983757E-3</v>
      </c>
      <c r="CI39">
        <v>-5.8072009291521487E-3</v>
      </c>
      <c r="CJ39">
        <v>-5.8685446009389668E-3</v>
      </c>
      <c r="CK39">
        <v>-2.2144522144522144E-2</v>
      </c>
      <c r="CM39" s="242" t="s">
        <v>218</v>
      </c>
      <c r="CN39" s="244">
        <v>-3.4943473792394653E-2</v>
      </c>
    </row>
    <row r="40" spans="2:92">
      <c r="CN40" s="244"/>
    </row>
    <row r="41" spans="2:92">
      <c r="CN41" s="244"/>
    </row>
    <row r="42" spans="2:92">
      <c r="CN42" s="244"/>
    </row>
    <row r="43" spans="2:92">
      <c r="B43" s="242" t="s">
        <v>127</v>
      </c>
      <c r="CM43" s="242" t="s">
        <v>127</v>
      </c>
      <c r="CN43" s="244"/>
    </row>
    <row r="44" spans="2:92">
      <c r="B44" s="242" t="s">
        <v>82</v>
      </c>
      <c r="C44" s="242">
        <v>76.457000000000065</v>
      </c>
      <c r="D44" s="242">
        <v>117.03900000000014</v>
      </c>
      <c r="E44" s="242">
        <v>68.900000000000006</v>
      </c>
      <c r="F44" s="242">
        <v>75.400000000000077</v>
      </c>
      <c r="G44" s="242">
        <v>-316.20000000000005</v>
      </c>
      <c r="H44" s="242">
        <v>60.199999999999946</v>
      </c>
      <c r="I44" s="242">
        <v>57.8</v>
      </c>
      <c r="J44" s="242">
        <v>23.700000000000024</v>
      </c>
      <c r="K44" s="242">
        <v>25.9</v>
      </c>
      <c r="L44" s="242">
        <v>18.600000000000033</v>
      </c>
      <c r="M44" s="242">
        <v>20.599999999999909</v>
      </c>
      <c r="N44" s="242">
        <v>88.799999999999969</v>
      </c>
      <c r="O44" s="242">
        <v>32.900000000000006</v>
      </c>
      <c r="P44" s="242">
        <v>36.90000000000002</v>
      </c>
      <c r="Q44" s="242">
        <v>8.7000000000000348</v>
      </c>
      <c r="R44" s="242">
        <v>25.699999999999974</v>
      </c>
      <c r="S44" s="242">
        <v>104.20000000000003</v>
      </c>
      <c r="T44" s="242">
        <v>29.79999999999999</v>
      </c>
      <c r="U44" s="242">
        <v>34.29999999999999</v>
      </c>
      <c r="V44" s="242">
        <v>25.700000000000028</v>
      </c>
      <c r="W44" s="242">
        <v>16.599999999999991</v>
      </c>
      <c r="X44" s="242">
        <v>106.4</v>
      </c>
      <c r="Y44" s="242">
        <v>29.900000000000027</v>
      </c>
      <c r="Z44" s="242">
        <v>34.000000000000007</v>
      </c>
      <c r="AA44" s="242">
        <v>30.200000000000031</v>
      </c>
      <c r="AB44" s="242">
        <v>20.899999999999839</v>
      </c>
      <c r="AC44" s="242">
        <v>114.9999999999999</v>
      </c>
      <c r="AD44" s="242">
        <v>36.400000000000027</v>
      </c>
      <c r="AE44" s="242">
        <v>29.300000000000026</v>
      </c>
      <c r="AF44" s="242">
        <v>35.899999999999963</v>
      </c>
      <c r="AG44" s="242">
        <v>29.299999999999855</v>
      </c>
      <c r="AH44" s="242">
        <v>130.89999999999986</v>
      </c>
      <c r="AI44" s="242">
        <v>39.900000000000006</v>
      </c>
      <c r="AJ44" s="242">
        <v>29.700000000000028</v>
      </c>
      <c r="AK44" s="242">
        <v>19.600000000000019</v>
      </c>
      <c r="AL44" s="242">
        <v>14.500000000000011</v>
      </c>
      <c r="AM44" s="242">
        <v>103.70000000000007</v>
      </c>
      <c r="AN44" s="242">
        <v>23.799999999999997</v>
      </c>
      <c r="AO44" s="242">
        <v>40.500000000000028</v>
      </c>
      <c r="AP44" s="242">
        <v>34.5</v>
      </c>
      <c r="AQ44" s="242">
        <v>30.999999999999911</v>
      </c>
      <c r="AR44" s="242">
        <v>129.79999999999993</v>
      </c>
      <c r="AS44" s="242">
        <v>47.200000000000031</v>
      </c>
      <c r="AT44" s="242">
        <v>49.4</v>
      </c>
      <c r="AU44" s="242">
        <v>46</v>
      </c>
      <c r="AV44" s="242">
        <v>49.40000000000002</v>
      </c>
      <c r="AW44" s="242">
        <v>192.00000000000006</v>
      </c>
      <c r="AX44" s="242">
        <v>60.600000000000037</v>
      </c>
      <c r="AY44" s="242">
        <v>73.900000000000006</v>
      </c>
      <c r="AZ44" s="242">
        <v>60.00000000000005</v>
      </c>
      <c r="BA44" s="242">
        <v>54.300000000000026</v>
      </c>
      <c r="BB44" s="242">
        <v>248.80000000000013</v>
      </c>
      <c r="BC44" s="242">
        <v>63</v>
      </c>
      <c r="BD44" s="242">
        <v>71.90000000000002</v>
      </c>
      <c r="BE44" s="242">
        <v>69.000000000000014</v>
      </c>
      <c r="BF44" s="242">
        <v>67.000000000000014</v>
      </c>
      <c r="BG44" s="242">
        <v>270.90000000000003</v>
      </c>
      <c r="BH44" s="242">
        <v>74.599999999999994</v>
      </c>
      <c r="BI44" s="242">
        <v>75.100000000000023</v>
      </c>
      <c r="BJ44" s="242">
        <v>79</v>
      </c>
      <c r="BK44" s="242">
        <v>77.100000000000009</v>
      </c>
      <c r="BL44" s="242">
        <v>305.8</v>
      </c>
      <c r="BM44" s="242">
        <v>82.600000000000009</v>
      </c>
      <c r="BN44" s="242">
        <v>90.599999999999966</v>
      </c>
      <c r="BO44" s="242">
        <v>78.000000000000028</v>
      </c>
      <c r="BP44" s="242">
        <v>81.19999999999996</v>
      </c>
      <c r="BQ44">
        <v>332.4</v>
      </c>
      <c r="BR44">
        <v>83.899999999999991</v>
      </c>
      <c r="BS44">
        <v>100.10000000000002</v>
      </c>
      <c r="BT44">
        <v>89.1</v>
      </c>
      <c r="BU44">
        <v>87.000000000000028</v>
      </c>
      <c r="BV44">
        <v>360.1</v>
      </c>
      <c r="BW44">
        <v>78.600000000000023</v>
      </c>
      <c r="BX44">
        <v>89.700000000000045</v>
      </c>
      <c r="BY44">
        <v>89.100000000000023</v>
      </c>
      <c r="BZ44">
        <v>93.199999999999989</v>
      </c>
      <c r="CA44">
        <v>350.60000000000008</v>
      </c>
      <c r="CB44">
        <v>82.40000000000002</v>
      </c>
      <c r="CC44">
        <v>96.500000000000014</v>
      </c>
      <c r="CD44">
        <v>96.5</v>
      </c>
      <c r="CE44">
        <v>95.799999999999969</v>
      </c>
      <c r="CF44">
        <v>371.2</v>
      </c>
      <c r="CG44">
        <v>102.79999999999998</v>
      </c>
      <c r="CH44">
        <v>115.10000000000001</v>
      </c>
      <c r="CI44">
        <v>109.89999999999998</v>
      </c>
      <c r="CJ44">
        <v>97.399999999999935</v>
      </c>
      <c r="CK44">
        <v>425.19999999999987</v>
      </c>
      <c r="CM44" s="242" t="s">
        <v>82</v>
      </c>
      <c r="CN44" s="244">
        <v>332.4</v>
      </c>
    </row>
    <row r="45" spans="2:92">
      <c r="B45" s="242" t="s">
        <v>128</v>
      </c>
      <c r="C45" s="242">
        <v>35.796999999999997</v>
      </c>
      <c r="D45" s="242">
        <v>37.442</v>
      </c>
      <c r="E45" s="242">
        <v>47.9</v>
      </c>
      <c r="F45" s="242">
        <v>45.6</v>
      </c>
      <c r="G45" s="242">
        <v>50.7</v>
      </c>
      <c r="H45" s="242">
        <v>47.2</v>
      </c>
      <c r="I45" s="242">
        <v>52.2</v>
      </c>
      <c r="J45" s="242">
        <v>13.3</v>
      </c>
      <c r="K45" s="242">
        <v>13.2</v>
      </c>
      <c r="L45" s="242">
        <v>12.399999999999999</v>
      </c>
      <c r="M45" s="242">
        <v>13.100000000000001</v>
      </c>
      <c r="N45" s="242">
        <v>52</v>
      </c>
      <c r="O45" s="242">
        <v>12.3</v>
      </c>
      <c r="P45" s="242">
        <v>11.8</v>
      </c>
      <c r="Q45" s="242">
        <v>11.399999999999999</v>
      </c>
      <c r="R45" s="242">
        <v>11.799999999999997</v>
      </c>
      <c r="S45" s="242">
        <v>47.3</v>
      </c>
      <c r="T45" s="242">
        <v>11.6</v>
      </c>
      <c r="U45" s="242">
        <v>11.799999999999999</v>
      </c>
      <c r="V45" s="242">
        <v>10.300000000000006</v>
      </c>
      <c r="W45" s="242">
        <v>9.6999999999999975</v>
      </c>
      <c r="X45" s="242">
        <v>43.4</v>
      </c>
      <c r="Y45" s="242">
        <v>9.6999999999999993</v>
      </c>
      <c r="Z45" s="242">
        <v>9.9000000000000021</v>
      </c>
      <c r="AA45" s="242">
        <v>10.199999999999999</v>
      </c>
      <c r="AB45" s="242">
        <v>9.9999999999999964</v>
      </c>
      <c r="AC45" s="242">
        <v>39.799999999999997</v>
      </c>
      <c r="AD45" s="242">
        <v>11</v>
      </c>
      <c r="AE45" s="242">
        <v>11.399999999999999</v>
      </c>
      <c r="AF45" s="242">
        <v>10.800000000000004</v>
      </c>
      <c r="AG45" s="242">
        <v>10.699999999999996</v>
      </c>
      <c r="AH45" s="242">
        <v>43.9</v>
      </c>
      <c r="AI45" s="242">
        <v>10.9</v>
      </c>
      <c r="AJ45" s="242">
        <v>11.6</v>
      </c>
      <c r="AK45" s="242">
        <v>11.999999999999998</v>
      </c>
      <c r="AL45" s="242">
        <v>12.1</v>
      </c>
      <c r="AM45" s="242">
        <v>46.6</v>
      </c>
      <c r="AN45" s="242">
        <v>12</v>
      </c>
      <c r="AO45" s="242">
        <v>13.600000000000001</v>
      </c>
      <c r="AP45" s="242">
        <v>13.699999999999996</v>
      </c>
      <c r="AQ45" s="242">
        <v>13.900000000000006</v>
      </c>
      <c r="AR45" s="242">
        <v>53.2</v>
      </c>
      <c r="AS45" s="242">
        <v>14.1</v>
      </c>
      <c r="AT45" s="242">
        <v>13.799999999999999</v>
      </c>
      <c r="AU45" s="242">
        <v>13.700000000000005</v>
      </c>
      <c r="AV45" s="242">
        <v>13.699999999999998</v>
      </c>
      <c r="AW45" s="242">
        <v>55.3</v>
      </c>
      <c r="AX45" s="242">
        <v>14</v>
      </c>
      <c r="AY45" s="242">
        <v>14.3</v>
      </c>
      <c r="AZ45" s="242">
        <v>14.7</v>
      </c>
      <c r="BA45" s="242">
        <v>14.2</v>
      </c>
      <c r="BB45" s="242">
        <v>57.2</v>
      </c>
      <c r="BC45" s="242">
        <v>14.3</v>
      </c>
      <c r="BD45" s="242">
        <v>13.8</v>
      </c>
      <c r="BE45" s="242">
        <v>14.699999999999996</v>
      </c>
      <c r="BF45" s="242">
        <v>16.5</v>
      </c>
      <c r="BG45" s="242">
        <v>59.3</v>
      </c>
      <c r="BH45" s="242">
        <v>17.100000000000001</v>
      </c>
      <c r="BI45" s="242">
        <v>17.699999999999996</v>
      </c>
      <c r="BJ45" s="242">
        <v>17.800000000000004</v>
      </c>
      <c r="BK45" s="242">
        <v>18.600000000000001</v>
      </c>
      <c r="BL45" s="242">
        <v>71.2</v>
      </c>
      <c r="BM45" s="242">
        <v>18.3</v>
      </c>
      <c r="BN45" s="242">
        <v>18.900000000000002</v>
      </c>
      <c r="BO45" s="242">
        <v>19.299999999999994</v>
      </c>
      <c r="BP45" s="242">
        <v>19.900000000000002</v>
      </c>
      <c r="BQ45">
        <v>76.400000000000006</v>
      </c>
      <c r="BR45">
        <v>22.2</v>
      </c>
      <c r="BS45">
        <v>23.3</v>
      </c>
      <c r="BT45">
        <v>23.500000000000004</v>
      </c>
      <c r="BU45">
        <v>24.3</v>
      </c>
      <c r="BV45">
        <v>93.3</v>
      </c>
      <c r="BW45">
        <v>24.4</v>
      </c>
      <c r="BX45">
        <v>25.1</v>
      </c>
      <c r="BY45">
        <v>26.799999999999997</v>
      </c>
      <c r="BZ45">
        <v>28.200000000000003</v>
      </c>
      <c r="CA45">
        <v>104.5</v>
      </c>
      <c r="CB45">
        <v>29.8</v>
      </c>
      <c r="CC45">
        <v>29.8</v>
      </c>
      <c r="CD45">
        <v>31.2</v>
      </c>
      <c r="CE45">
        <v>32.299999999999997</v>
      </c>
      <c r="CF45">
        <v>123.1</v>
      </c>
      <c r="CG45">
        <v>38.700000000000003</v>
      </c>
      <c r="CH45">
        <v>34</v>
      </c>
      <c r="CI45">
        <v>34.399999999999991</v>
      </c>
      <c r="CJ45">
        <v>34.599999999999994</v>
      </c>
      <c r="CK45">
        <v>141.69999999999999</v>
      </c>
      <c r="CM45" s="242" t="s">
        <v>128</v>
      </c>
      <c r="CN45" s="244">
        <v>76.400000000000006</v>
      </c>
    </row>
    <row r="46" spans="2:92">
      <c r="B46" s="242" t="s">
        <v>129</v>
      </c>
      <c r="C46" s="242">
        <v>112.25400000000006</v>
      </c>
      <c r="D46" s="242">
        <v>154.48100000000014</v>
      </c>
      <c r="E46" s="242">
        <v>116.80000000000001</v>
      </c>
      <c r="F46" s="242">
        <v>121.00000000000009</v>
      </c>
      <c r="G46" s="242">
        <v>-265.50000000000006</v>
      </c>
      <c r="H46" s="242">
        <v>107.39999999999995</v>
      </c>
      <c r="I46" s="242">
        <v>110</v>
      </c>
      <c r="J46" s="242">
        <v>37.000000000000028</v>
      </c>
      <c r="K46" s="242">
        <v>39.099999999999994</v>
      </c>
      <c r="L46" s="242">
        <v>31.000000000000032</v>
      </c>
      <c r="M46" s="242">
        <v>33.69999999999991</v>
      </c>
      <c r="N46" s="242">
        <v>140.79999999999995</v>
      </c>
      <c r="O46" s="242">
        <v>45.2</v>
      </c>
      <c r="P46" s="242">
        <v>48.700000000000017</v>
      </c>
      <c r="Q46" s="242">
        <v>20.100000000000033</v>
      </c>
      <c r="R46" s="242">
        <v>37.499999999999972</v>
      </c>
      <c r="S46" s="242">
        <v>151.50000000000003</v>
      </c>
      <c r="T46" s="242">
        <v>41.399999999999991</v>
      </c>
      <c r="U46" s="242">
        <v>46.099999999999987</v>
      </c>
      <c r="V46" s="242">
        <v>36.000000000000036</v>
      </c>
      <c r="W46" s="242">
        <v>26.29999999999999</v>
      </c>
      <c r="X46" s="242">
        <v>149.79999999999998</v>
      </c>
      <c r="Y46" s="242">
        <v>39.600000000000023</v>
      </c>
      <c r="Z46" s="242">
        <v>43.900000000000006</v>
      </c>
      <c r="AA46" s="242">
        <v>40.400000000000034</v>
      </c>
      <c r="AB46" s="242">
        <v>30.899999999999835</v>
      </c>
      <c r="AC46" s="242">
        <v>154.7999999999999</v>
      </c>
      <c r="AD46" s="242">
        <v>47.400000000000027</v>
      </c>
      <c r="AE46" s="242">
        <v>40.700000000000024</v>
      </c>
      <c r="AF46" s="242">
        <v>46.699999999999967</v>
      </c>
      <c r="AG46" s="242">
        <v>39.999999999999851</v>
      </c>
      <c r="AH46" s="242">
        <v>174.79999999999987</v>
      </c>
      <c r="AI46" s="242">
        <v>50.800000000000004</v>
      </c>
      <c r="AJ46" s="242">
        <v>41.300000000000026</v>
      </c>
      <c r="AK46" s="242">
        <v>31.600000000000016</v>
      </c>
      <c r="AL46" s="242">
        <v>26.600000000000009</v>
      </c>
      <c r="AM46" s="242">
        <v>150.30000000000007</v>
      </c>
      <c r="AN46" s="242">
        <v>35.799999999999997</v>
      </c>
      <c r="AO46" s="242">
        <v>54.10000000000003</v>
      </c>
      <c r="AP46" s="242">
        <v>48.199999999999996</v>
      </c>
      <c r="AQ46" s="242">
        <v>44.89999999999992</v>
      </c>
      <c r="AR46" s="242">
        <v>182.99999999999994</v>
      </c>
      <c r="AS46" s="242">
        <v>61.300000000000033</v>
      </c>
      <c r="AT46" s="242">
        <v>63.199999999999996</v>
      </c>
      <c r="AU46" s="242">
        <v>59.7</v>
      </c>
      <c r="AV46" s="242">
        <v>63.100000000000016</v>
      </c>
      <c r="AW46" s="242">
        <v>247.30000000000007</v>
      </c>
      <c r="AX46" s="242">
        <v>74.600000000000037</v>
      </c>
      <c r="AY46" s="242">
        <v>88.2</v>
      </c>
      <c r="AZ46" s="242">
        <v>74.700000000000045</v>
      </c>
      <c r="BA46" s="242">
        <v>68.500000000000028</v>
      </c>
      <c r="BB46" s="242">
        <v>306.00000000000011</v>
      </c>
      <c r="BC46" s="242">
        <v>77.3</v>
      </c>
      <c r="BD46" s="242">
        <v>85.700000000000017</v>
      </c>
      <c r="BE46" s="242">
        <v>83.700000000000017</v>
      </c>
      <c r="BF46" s="242">
        <v>83.500000000000014</v>
      </c>
      <c r="BG46" s="242">
        <v>330.20000000000005</v>
      </c>
      <c r="BH46" s="242">
        <v>91.699999999999989</v>
      </c>
      <c r="BI46" s="242">
        <v>92.800000000000011</v>
      </c>
      <c r="BJ46" s="242">
        <v>96.800000000000011</v>
      </c>
      <c r="BK46" s="242">
        <v>95.700000000000017</v>
      </c>
      <c r="BL46" s="242">
        <v>377</v>
      </c>
      <c r="BM46" s="242">
        <v>100.9</v>
      </c>
      <c r="BN46" s="242">
        <v>109.49999999999997</v>
      </c>
      <c r="BO46" s="242">
        <v>97.300000000000026</v>
      </c>
      <c r="BP46" s="242">
        <v>101.09999999999997</v>
      </c>
      <c r="BQ46">
        <v>408.79999999999995</v>
      </c>
      <c r="BR46">
        <v>106.1</v>
      </c>
      <c r="BS46">
        <v>123.40000000000002</v>
      </c>
      <c r="BT46">
        <v>112.6</v>
      </c>
      <c r="BU46">
        <v>111.30000000000003</v>
      </c>
      <c r="BV46">
        <v>453.40000000000003</v>
      </c>
      <c r="BW46">
        <v>103.00000000000003</v>
      </c>
      <c r="BX46">
        <v>114.80000000000004</v>
      </c>
      <c r="BY46">
        <v>115.90000000000002</v>
      </c>
      <c r="BZ46">
        <v>121.39999999999999</v>
      </c>
      <c r="CA46">
        <v>455.10000000000008</v>
      </c>
      <c r="CB46">
        <v>112.20000000000002</v>
      </c>
      <c r="CC46">
        <v>126.30000000000001</v>
      </c>
      <c r="CD46">
        <v>127.7</v>
      </c>
      <c r="CE46">
        <v>128.09999999999997</v>
      </c>
      <c r="CF46">
        <v>494.29999999999995</v>
      </c>
      <c r="CG46">
        <v>141.5</v>
      </c>
      <c r="CH46">
        <v>149.10000000000002</v>
      </c>
      <c r="CI46">
        <v>144.29999999999995</v>
      </c>
      <c r="CJ46">
        <v>131.99999999999994</v>
      </c>
      <c r="CK46">
        <v>566.89999999999986</v>
      </c>
      <c r="CM46" s="242" t="s">
        <v>129</v>
      </c>
      <c r="CN46" s="244">
        <v>408.79999999999995</v>
      </c>
    </row>
    <row r="47" spans="2:92">
      <c r="CN47" s="244"/>
    </row>
    <row r="48" spans="2:92">
      <c r="B48" s="242" t="s">
        <v>130</v>
      </c>
      <c r="CM48" s="242" t="s">
        <v>130</v>
      </c>
      <c r="CN48" s="244"/>
    </row>
    <row r="49" spans="2:92">
      <c r="B49" s="242" t="s">
        <v>131</v>
      </c>
      <c r="C49" s="242">
        <v>0.23763762802141214</v>
      </c>
      <c r="D49" s="242">
        <v>0.24907992698183004</v>
      </c>
      <c r="E49" s="242">
        <v>0.2105948762483717</v>
      </c>
      <c r="F49" s="242">
        <v>0.21919105806573844</v>
      </c>
      <c r="G49" s="242">
        <v>0.1890231820883693</v>
      </c>
      <c r="H49" s="242">
        <v>0.18958627174424067</v>
      </c>
      <c r="I49" s="242">
        <v>0.19455903668190433</v>
      </c>
      <c r="J49" s="242">
        <v>0.20776255707762564</v>
      </c>
      <c r="K49" s="242">
        <v>0.22593681116825864</v>
      </c>
      <c r="L49" s="242">
        <v>0.20866590649942998</v>
      </c>
      <c r="M49" s="242">
        <v>0.21020260492040491</v>
      </c>
      <c r="N49" s="242">
        <v>0.2132154490460679</v>
      </c>
      <c r="O49" s="242">
        <v>0.22642807983482452</v>
      </c>
      <c r="P49" s="242">
        <v>0.22679087696755548</v>
      </c>
      <c r="Q49" s="242">
        <v>0.21113521330441082</v>
      </c>
      <c r="R49" s="242">
        <v>0.20996818663838807</v>
      </c>
      <c r="S49" s="242">
        <v>0.21887377303254696</v>
      </c>
      <c r="T49" s="242">
        <v>0.23159609120521171</v>
      </c>
      <c r="U49" s="242">
        <v>0.22689873417721515</v>
      </c>
      <c r="V49" s="242">
        <v>0.20754064337599454</v>
      </c>
      <c r="W49" s="242">
        <v>0.22064056939501789</v>
      </c>
      <c r="X49" s="242">
        <v>0.22194283798508091</v>
      </c>
      <c r="Y49" s="242">
        <v>0.2530077848549187</v>
      </c>
      <c r="Z49" s="242">
        <v>0.24292615596963424</v>
      </c>
      <c r="AA49" s="242">
        <v>0.23799359658484534</v>
      </c>
      <c r="AB49" s="242">
        <v>0.23394206549118352</v>
      </c>
      <c r="AC49" s="242">
        <v>0.24173853641875154</v>
      </c>
      <c r="AD49" s="242">
        <v>0.23251088534107409</v>
      </c>
      <c r="AE49" s="242">
        <v>0.21168289290681508</v>
      </c>
      <c r="AF49" s="242">
        <v>0.21454435727217855</v>
      </c>
      <c r="AG49" s="242">
        <v>0.21381692573402372</v>
      </c>
      <c r="AH49" s="242">
        <v>0.21828062495282652</v>
      </c>
      <c r="AI49" s="242">
        <v>0.25056947608200453</v>
      </c>
      <c r="AJ49" s="242">
        <v>0.22755138838802749</v>
      </c>
      <c r="AK49" s="242">
        <v>0.20264488525865429</v>
      </c>
      <c r="AL49" s="242">
        <v>0.21117779444861218</v>
      </c>
      <c r="AM49" s="242">
        <v>0.22421726969232159</v>
      </c>
      <c r="AN49" s="242">
        <v>0.25133079847908746</v>
      </c>
      <c r="AO49" s="242">
        <v>0.25696492953130129</v>
      </c>
      <c r="AP49" s="242">
        <v>0.23938879456706283</v>
      </c>
      <c r="AQ49" s="242">
        <v>0.21736334405144672</v>
      </c>
      <c r="AR49" s="242">
        <v>0.24079754601226988</v>
      </c>
      <c r="AS49" s="242">
        <v>0.25030156815440296</v>
      </c>
      <c r="AT49" s="242">
        <v>0.24597116200169636</v>
      </c>
      <c r="AU49" s="242">
        <v>0.2458783399658897</v>
      </c>
      <c r="AV49" s="242">
        <v>0.24092316352378276</v>
      </c>
      <c r="AW49" s="242">
        <v>0.24569089342143066</v>
      </c>
      <c r="AX49" s="242">
        <v>0.26593351662084486</v>
      </c>
      <c r="AY49" s="242">
        <v>0.26427855711422849</v>
      </c>
      <c r="AZ49" s="242">
        <v>0.25331971399387138</v>
      </c>
      <c r="BA49" s="242">
        <v>0.24683707720113612</v>
      </c>
      <c r="BB49" s="242">
        <v>0.2576986440248385</v>
      </c>
      <c r="BC49" s="242">
        <v>0.26890756302521007</v>
      </c>
      <c r="BD49" s="242">
        <v>0.27638428774254614</v>
      </c>
      <c r="BE49" s="242">
        <v>0.27188940092165903</v>
      </c>
      <c r="BF49" s="242">
        <v>0.26499531396438619</v>
      </c>
      <c r="BG49" s="242">
        <v>0.27052794660946256</v>
      </c>
      <c r="BH49" s="242">
        <v>0.27983539094650206</v>
      </c>
      <c r="BI49" s="242">
        <v>0.27462242076154014</v>
      </c>
      <c r="BJ49" s="242">
        <v>0.26997123257357825</v>
      </c>
      <c r="BK49" s="242">
        <v>0.27236116998728271</v>
      </c>
      <c r="BL49" s="242">
        <v>0.27421180274858531</v>
      </c>
      <c r="BM49" s="242">
        <v>0.30055108096651123</v>
      </c>
      <c r="BN49" s="242">
        <v>0.29241118351902451</v>
      </c>
      <c r="BO49" s="242">
        <v>0.27651515151515155</v>
      </c>
      <c r="BP49" s="242">
        <v>0.27489782748978264</v>
      </c>
      <c r="BQ49">
        <v>0.28626692456479691</v>
      </c>
      <c r="BR49">
        <v>0.28732167972674305</v>
      </c>
      <c r="BS49">
        <v>0.28760045924225031</v>
      </c>
      <c r="BT49">
        <v>0.27112887112887113</v>
      </c>
      <c r="BU49">
        <v>0.2804550155118925</v>
      </c>
      <c r="BV49">
        <v>0.28169435713216584</v>
      </c>
      <c r="BW49">
        <v>0.28007518796992487</v>
      </c>
      <c r="BX49">
        <v>0.28475473234276416</v>
      </c>
      <c r="BY49">
        <v>0.27589013224821979</v>
      </c>
      <c r="BZ49">
        <v>0.27789720539378543</v>
      </c>
      <c r="CA49">
        <v>0.27963310191050528</v>
      </c>
      <c r="CB49">
        <v>0.26402518052212559</v>
      </c>
      <c r="CC49">
        <v>0.26447488584474887</v>
      </c>
      <c r="CD49">
        <v>0.26456984273820539</v>
      </c>
      <c r="CE49">
        <v>0.26809269162210336</v>
      </c>
      <c r="CF49">
        <v>0.265314512813485</v>
      </c>
      <c r="CG49">
        <v>0.27414330218068533</v>
      </c>
      <c r="CH49">
        <v>0.27717569786535307</v>
      </c>
      <c r="CI49">
        <v>0.27580786026200871</v>
      </c>
      <c r="CJ49">
        <v>0.25961368066631219</v>
      </c>
      <c r="CK49">
        <v>0.27185125440421104</v>
      </c>
      <c r="CM49" s="242" t="s">
        <v>131</v>
      </c>
      <c r="CN49" s="244">
        <v>0.28626692456479691</v>
      </c>
    </row>
    <row r="50" spans="2:92">
      <c r="B50" s="242" t="s">
        <v>132</v>
      </c>
      <c r="C50" s="242">
        <v>1.9622033292238394E-2</v>
      </c>
      <c r="D50" s="242">
        <v>2.1692420140967672E-2</v>
      </c>
      <c r="E50" s="242">
        <v>2.1537125488493271E-2</v>
      </c>
      <c r="F50" s="242">
        <v>2.0081462536705501E-2</v>
      </c>
      <c r="G50" s="242">
        <v>1.8426788191004559E-2</v>
      </c>
      <c r="H50" s="242">
        <v>1.7277856135401976E-2</v>
      </c>
      <c r="I50" s="242">
        <v>1.9734641543092873E-2</v>
      </c>
      <c r="J50" s="242">
        <v>1.8645357686453576E-2</v>
      </c>
      <c r="K50" s="242">
        <v>1.8368846436443792E-2</v>
      </c>
      <c r="L50" s="242">
        <v>2.0144431774990496E-2</v>
      </c>
      <c r="M50" s="242">
        <v>2.2069464544138936E-2</v>
      </c>
      <c r="N50" s="242">
        <v>1.9823173569101907E-2</v>
      </c>
      <c r="O50" s="242">
        <v>1.9614590502408807E-2</v>
      </c>
      <c r="P50" s="242">
        <v>1.9274012206874396E-2</v>
      </c>
      <c r="Q50" s="242">
        <v>2.1691973969631236E-2</v>
      </c>
      <c r="R50" s="242">
        <v>2.7218098267939202E-2</v>
      </c>
      <c r="S50" s="242">
        <v>2.1870156707422074E-2</v>
      </c>
      <c r="T50" s="242">
        <v>2.4755700325732898E-2</v>
      </c>
      <c r="U50" s="242">
        <v>2.3734177215189875E-2</v>
      </c>
      <c r="V50" s="242">
        <v>2.1791767554479417E-2</v>
      </c>
      <c r="W50" s="242">
        <v>3.2028469750889695E-2</v>
      </c>
      <c r="X50" s="242">
        <v>2.5479842427290254E-2</v>
      </c>
      <c r="Y50" s="242">
        <v>3.3616418966737435E-2</v>
      </c>
      <c r="Z50" s="242">
        <v>2.9330572808833676E-2</v>
      </c>
      <c r="AA50" s="242">
        <v>2.7392387050871575E-2</v>
      </c>
      <c r="AB50" s="242">
        <v>2.6763224181360231E-2</v>
      </c>
      <c r="AC50" s="242">
        <v>2.920331312441295E-2</v>
      </c>
      <c r="AD50" s="242">
        <v>2.4673439767779391E-2</v>
      </c>
      <c r="AE50" s="242">
        <v>2.2253129346314324E-2</v>
      </c>
      <c r="AF50" s="242">
        <v>2.2933011466505733E-2</v>
      </c>
      <c r="AG50" s="242">
        <v>2.5215889464594118E-2</v>
      </c>
      <c r="AH50" s="242">
        <v>2.3699901879387121E-2</v>
      </c>
      <c r="AI50" s="242">
        <v>2.5382362512203056E-2</v>
      </c>
      <c r="AJ50" s="242">
        <v>2.3079697078975839E-2</v>
      </c>
      <c r="AK50" s="242">
        <v>3.2672112018669777E-2</v>
      </c>
      <c r="AL50" s="242">
        <v>2.8132033008252059E-2</v>
      </c>
      <c r="AM50" s="242">
        <v>2.7158711540196695E-2</v>
      </c>
      <c r="AN50" s="242">
        <v>2.8136882129277566E-2</v>
      </c>
      <c r="AO50" s="242">
        <v>2.7204195345788267E-2</v>
      </c>
      <c r="AP50" s="242">
        <v>2.4787775891341256E-2</v>
      </c>
      <c r="AQ50" s="242">
        <v>2.5080385852090045E-2</v>
      </c>
      <c r="AR50" s="242">
        <v>2.6244035446489438E-2</v>
      </c>
      <c r="AS50" s="242">
        <v>2.5934861278648972E-2</v>
      </c>
      <c r="AT50" s="242">
        <v>2.2335312411648291E-2</v>
      </c>
      <c r="AU50" s="242">
        <v>2.2455940875497443E-2</v>
      </c>
      <c r="AV50" s="242">
        <v>2.3079088094567969E-2</v>
      </c>
      <c r="AW50" s="242">
        <v>2.3412812410226944E-2</v>
      </c>
      <c r="AX50" s="242">
        <v>2.2994251437140713E-2</v>
      </c>
      <c r="AY50" s="242">
        <v>2.154308617234469E-2</v>
      </c>
      <c r="AZ50" s="242">
        <v>2.2727272727272728E-2</v>
      </c>
      <c r="BA50" s="242">
        <v>2.5819777949909629E-2</v>
      </c>
      <c r="BB50" s="242">
        <v>2.3254340387783547E-2</v>
      </c>
      <c r="BC50" s="242">
        <v>2.6410564225690276E-2</v>
      </c>
      <c r="BD50" s="242">
        <v>2.389966871746332E-2</v>
      </c>
      <c r="BE50" s="242">
        <v>2.4739267523647825E-2</v>
      </c>
      <c r="BF50" s="242">
        <v>2.4367385192127462E-2</v>
      </c>
      <c r="BG50" s="242">
        <v>2.4848051483732571E-2</v>
      </c>
      <c r="BH50" s="242">
        <v>2.9456356941737059E-2</v>
      </c>
      <c r="BI50" s="242">
        <v>2.318655605190385E-2</v>
      </c>
      <c r="BJ50" s="242">
        <v>2.2350077450763443E-2</v>
      </c>
      <c r="BK50" s="242">
        <v>2.8189910979228489E-2</v>
      </c>
      <c r="BL50" s="242">
        <v>2.5815144165992999E-2</v>
      </c>
      <c r="BM50" s="242">
        <v>2.6494277236116998E-2</v>
      </c>
      <c r="BN50" s="242">
        <v>2.1862518393945766E-2</v>
      </c>
      <c r="BO50" s="242">
        <v>2.3618538324420676E-2</v>
      </c>
      <c r="BP50" s="242">
        <v>2.3230802323080234E-2</v>
      </c>
      <c r="BQ50">
        <v>2.3801848269933378E-2</v>
      </c>
      <c r="BR50">
        <v>2.3508137432188065E-2</v>
      </c>
      <c r="BS50">
        <v>2.219670876387294E-2</v>
      </c>
      <c r="BT50">
        <v>2.2977022977022976E-2</v>
      </c>
      <c r="BU50">
        <v>2.5025853154084798E-2</v>
      </c>
      <c r="BV50">
        <v>2.33996906650701E-2</v>
      </c>
      <c r="BW50">
        <v>2.6315789473684209E-2</v>
      </c>
      <c r="BX50">
        <v>2.4628536535721553E-2</v>
      </c>
      <c r="BY50">
        <v>2.4008138351983725E-2</v>
      </c>
      <c r="BZ50">
        <v>2.5210084033613446E-2</v>
      </c>
      <c r="CA50">
        <v>2.5034206658896264E-2</v>
      </c>
      <c r="CB50">
        <v>2.5550823921496019E-2</v>
      </c>
      <c r="CC50">
        <v>2.3744292237442923E-2</v>
      </c>
      <c r="CD50">
        <v>2.5716928769657726E-2</v>
      </c>
      <c r="CE50">
        <v>2.709447415329768E-2</v>
      </c>
      <c r="CF50">
        <v>2.5535608240829569E-2</v>
      </c>
      <c r="CG50">
        <v>2.4430234464666339E-2</v>
      </c>
      <c r="CH50">
        <v>2.3316912972085383E-2</v>
      </c>
      <c r="CI50">
        <v>2.4803493449781659E-2</v>
      </c>
      <c r="CJ50">
        <v>2.3391812865497078E-2</v>
      </c>
      <c r="CK50">
        <v>2.3984378316423995E-2</v>
      </c>
      <c r="CM50" s="242" t="s">
        <v>132</v>
      </c>
      <c r="CN50" s="244">
        <v>2.3801848269933378E-2</v>
      </c>
    </row>
    <row r="51" spans="2:92">
      <c r="B51" s="242" t="s">
        <v>87</v>
      </c>
      <c r="C51" s="242">
        <v>0.10935416900160644</v>
      </c>
      <c r="D51" s="242">
        <v>0.1082463151167446</v>
      </c>
      <c r="E51" s="242">
        <v>0.11176726009552757</v>
      </c>
      <c r="F51" s="242">
        <v>0.11736288718385905</v>
      </c>
      <c r="G51" s="242">
        <v>0.11977412324152963</v>
      </c>
      <c r="H51" s="242">
        <v>0.10096379877762107</v>
      </c>
      <c r="I51" s="242">
        <v>0.10592039246292786</v>
      </c>
      <c r="J51" s="242">
        <v>9.7031963470319629E-2</v>
      </c>
      <c r="K51" s="242">
        <v>0.10360029390154299</v>
      </c>
      <c r="L51" s="242">
        <v>0.10984416571645761</v>
      </c>
      <c r="M51" s="242">
        <v>0.11034732272069465</v>
      </c>
      <c r="N51" s="242">
        <v>0.10525825965565379</v>
      </c>
      <c r="O51" s="242">
        <v>9.1534755677907781E-2</v>
      </c>
      <c r="P51" s="242">
        <v>9.0587857372309663E-2</v>
      </c>
      <c r="Q51" s="242">
        <v>9.7252349963846699E-2</v>
      </c>
      <c r="R51" s="242">
        <v>8.801696712619303E-2</v>
      </c>
      <c r="S51" s="242">
        <v>9.178577578784225E-2</v>
      </c>
      <c r="T51" s="242">
        <v>9.9999999999999992E-2</v>
      </c>
      <c r="U51" s="242">
        <v>9.1139240506329114E-2</v>
      </c>
      <c r="V51" s="242">
        <v>9.2009685230024216E-2</v>
      </c>
      <c r="W51" s="242">
        <v>9.6441281138790108E-2</v>
      </c>
      <c r="X51" s="242">
        <v>9.4878886933199236E-2</v>
      </c>
      <c r="Y51" s="242">
        <v>0.10969568294409057</v>
      </c>
      <c r="Z51" s="242">
        <v>9.454796411318149E-2</v>
      </c>
      <c r="AA51" s="242">
        <v>9.3916755602988247E-2</v>
      </c>
      <c r="AB51" s="242">
        <v>9.1939546599496283E-2</v>
      </c>
      <c r="AC51" s="242">
        <v>9.7344377081376485E-2</v>
      </c>
      <c r="AD51" s="242">
        <v>9.2597968069666178E-2</v>
      </c>
      <c r="AE51" s="242">
        <v>8.3449235048678724E-2</v>
      </c>
      <c r="AF51" s="242">
        <v>8.1170790585395294E-2</v>
      </c>
      <c r="AG51" s="242">
        <v>8.3246977547495715E-2</v>
      </c>
      <c r="AH51" s="242">
        <v>8.5213978413465161E-2</v>
      </c>
      <c r="AI51" s="242">
        <v>9.5346566872762772E-2</v>
      </c>
      <c r="AJ51" s="242">
        <v>9.123692751532636E-2</v>
      </c>
      <c r="AK51" s="242">
        <v>0.10035005834305717</v>
      </c>
      <c r="AL51" s="242">
        <v>0.1005251312828207</v>
      </c>
      <c r="AM51" s="242">
        <v>9.6724713525218789E-2</v>
      </c>
      <c r="AN51" s="242">
        <v>0.11939163498098859</v>
      </c>
      <c r="AO51" s="242">
        <v>9.7017371353654541E-2</v>
      </c>
      <c r="AP51" s="242">
        <v>9.7453310696095072E-2</v>
      </c>
      <c r="AQ51" s="242">
        <v>9.2604501607717063E-2</v>
      </c>
      <c r="AR51" s="242">
        <v>0.10097137014314929</v>
      </c>
      <c r="AS51" s="242">
        <v>9.9215922798552458E-2</v>
      </c>
      <c r="AT51" s="242">
        <v>8.3969465648854963E-2</v>
      </c>
      <c r="AU51" s="242">
        <v>8.4991472427515632E-2</v>
      </c>
      <c r="AV51" s="242">
        <v>7.8806642274134531E-2</v>
      </c>
      <c r="AW51" s="242">
        <v>8.6541223786268329E-2</v>
      </c>
      <c r="AX51" s="242">
        <v>9.1477130717320665E-2</v>
      </c>
      <c r="AY51" s="242">
        <v>8.1412825651302603E-2</v>
      </c>
      <c r="AZ51" s="242">
        <v>7.7374872318692542E-2</v>
      </c>
      <c r="BA51" s="242">
        <v>8.0815904983217141E-2</v>
      </c>
      <c r="BB51" s="242">
        <v>8.2815866176656941E-2</v>
      </c>
      <c r="BC51" s="242">
        <v>9.1236494597839141E-2</v>
      </c>
      <c r="BD51" s="242">
        <v>8.2347373402744894E-2</v>
      </c>
      <c r="BE51" s="242">
        <v>7.9796264855687596E-2</v>
      </c>
      <c r="BF51" s="242">
        <v>8.3645735707591387E-2</v>
      </c>
      <c r="BG51" s="242">
        <v>8.4256941961625531E-2</v>
      </c>
      <c r="BH51" s="242">
        <v>8.8802252544942603E-2</v>
      </c>
      <c r="BI51" s="242">
        <v>7.8919378855562647E-2</v>
      </c>
      <c r="BJ51" s="242">
        <v>7.2803717636645282E-2</v>
      </c>
      <c r="BK51" s="242">
        <v>8.0754557015684611E-2</v>
      </c>
      <c r="BL51" s="242">
        <v>8.0355699272433315E-2</v>
      </c>
      <c r="BM51" s="242">
        <v>9.8982619754133111E-2</v>
      </c>
      <c r="BN51" s="242">
        <v>8.0092495270128239E-2</v>
      </c>
      <c r="BO51" s="242">
        <v>7.9099821746880572E-2</v>
      </c>
      <c r="BP51" s="242">
        <v>7.700580770058077E-2</v>
      </c>
      <c r="BQ51">
        <v>8.3870621104663673E-2</v>
      </c>
      <c r="BR51">
        <v>9.5238095238095233E-2</v>
      </c>
      <c r="BS51">
        <v>7.3861461921163413E-2</v>
      </c>
      <c r="BT51">
        <v>7.0129870129870139E-2</v>
      </c>
      <c r="BU51">
        <v>7.5491209927611172E-2</v>
      </c>
      <c r="BV51">
        <v>7.8630943471536194E-2</v>
      </c>
      <c r="BW51">
        <v>8.9598997493734331E-2</v>
      </c>
      <c r="BX51">
        <v>7.7549358843883573E-2</v>
      </c>
      <c r="BY51">
        <v>7.0600203458799596E-2</v>
      </c>
      <c r="BZ51">
        <v>7.0549149892515151E-2</v>
      </c>
      <c r="CA51">
        <v>7.6926975117822941E-2</v>
      </c>
      <c r="CB51">
        <v>8.5910016663580807E-2</v>
      </c>
      <c r="CC51">
        <v>6.447488584474885E-2</v>
      </c>
      <c r="CD51">
        <v>6.0314523589269198E-2</v>
      </c>
      <c r="CE51">
        <v>5.6506238859180033E-2</v>
      </c>
      <c r="CF51">
        <v>6.6694075190717642E-2</v>
      </c>
      <c r="CG51">
        <v>8.1160846040334481E-2</v>
      </c>
      <c r="CH51">
        <v>6.4860426929392451E-2</v>
      </c>
      <c r="CI51">
        <v>5.903930131004366E-2</v>
      </c>
      <c r="CJ51">
        <v>6.3618642566010991E-2</v>
      </c>
      <c r="CK51">
        <v>6.7368510421530761E-2</v>
      </c>
      <c r="CM51" s="242" t="s">
        <v>87</v>
      </c>
      <c r="CN51" s="244">
        <v>8.3870621104663673E-2</v>
      </c>
    </row>
    <row r="52" spans="2:92">
      <c r="B52" s="242" t="s">
        <v>133</v>
      </c>
      <c r="C52" s="242">
        <v>0.11982003618489527</v>
      </c>
      <c r="D52" s="242">
        <v>0.1418500997204889</v>
      </c>
      <c r="E52" s="242">
        <v>0.10143291359096832</v>
      </c>
      <c r="F52" s="242">
        <v>0.11461589466704564</v>
      </c>
      <c r="G52" s="242">
        <v>-0.26302754111353288</v>
      </c>
      <c r="H52" s="242">
        <v>0.12623413258110008</v>
      </c>
      <c r="I52" s="242">
        <v>0.12264466495707436</v>
      </c>
      <c r="J52" s="242">
        <v>0.14079147640791487</v>
      </c>
      <c r="K52" s="242">
        <v>0.14364437913299044</v>
      </c>
      <c r="L52" s="242">
        <v>0.11782592170277473</v>
      </c>
      <c r="M52" s="242">
        <v>0.12192474674384918</v>
      </c>
      <c r="N52" s="242">
        <v>0.13103769194974402</v>
      </c>
      <c r="O52" s="242">
        <v>0.15554026152787337</v>
      </c>
      <c r="P52" s="242">
        <v>0.15644073241246392</v>
      </c>
      <c r="Q52" s="242">
        <v>7.2668112798264753E-2</v>
      </c>
      <c r="R52" s="242">
        <v>0.1325556733828207</v>
      </c>
      <c r="S52" s="242">
        <v>0.13044601343206477</v>
      </c>
      <c r="T52" s="242">
        <v>0.13485342019543972</v>
      </c>
      <c r="U52" s="242">
        <v>0.14588607594936706</v>
      </c>
      <c r="V52" s="242">
        <v>0.12452438602559679</v>
      </c>
      <c r="W52" s="242">
        <v>9.3594306049822065E-2</v>
      </c>
      <c r="X52" s="242">
        <v>0.1255552761713184</v>
      </c>
      <c r="Y52" s="242">
        <v>0.14012738853503193</v>
      </c>
      <c r="Z52" s="242">
        <v>0.15148378191856454</v>
      </c>
      <c r="AA52" s="242">
        <v>0.14372109569548214</v>
      </c>
      <c r="AB52" s="242">
        <v>9.7292191435767811E-2</v>
      </c>
      <c r="AC52" s="242">
        <v>0.13218341729997429</v>
      </c>
      <c r="AD52" s="242">
        <v>0.13759071117561691</v>
      </c>
      <c r="AE52" s="242">
        <v>0.1132127955493742</v>
      </c>
      <c r="AF52" s="242">
        <v>0.14091732045866015</v>
      </c>
      <c r="AG52" s="242">
        <v>0.13816925734024127</v>
      </c>
      <c r="AH52" s="242">
        <v>0.13193448562155624</v>
      </c>
      <c r="AI52" s="242">
        <v>0.1653107712333225</v>
      </c>
      <c r="AJ52" s="242">
        <v>0.14893617021276603</v>
      </c>
      <c r="AK52" s="242">
        <v>0.12290937378451969</v>
      </c>
      <c r="AL52" s="242">
        <v>9.9774943735934013E-2</v>
      </c>
      <c r="AM52" s="242">
        <v>0.13561310114589917</v>
      </c>
      <c r="AN52" s="242">
        <v>0.13612167300380226</v>
      </c>
      <c r="AO52" s="242">
        <v>0.17731891183218626</v>
      </c>
      <c r="AP52" s="242">
        <v>0.16366723259762309</v>
      </c>
      <c r="AQ52" s="242">
        <v>0.14437299035369755</v>
      </c>
      <c r="AR52" s="242">
        <v>0.15593047034764823</v>
      </c>
      <c r="AS52" s="242">
        <v>0.18486127864897475</v>
      </c>
      <c r="AT52" s="242">
        <v>0.1786824992931863</v>
      </c>
      <c r="AU52" s="242">
        <v>0.16969869243888575</v>
      </c>
      <c r="AV52" s="242">
        <v>0.17759639741063893</v>
      </c>
      <c r="AW52" s="242">
        <v>0.17760700948003455</v>
      </c>
      <c r="AX52" s="242">
        <v>0.18645338665333674</v>
      </c>
      <c r="AY52" s="242">
        <v>0.2209418837675351</v>
      </c>
      <c r="AZ52" s="242">
        <v>0.1907558733401431</v>
      </c>
      <c r="BA52" s="242">
        <v>0.17686547895688104</v>
      </c>
      <c r="BB52" s="242">
        <v>0.19389177544037517</v>
      </c>
      <c r="BC52" s="242">
        <v>0.18559423769507802</v>
      </c>
      <c r="BD52" s="242">
        <v>0.20279223852342643</v>
      </c>
      <c r="BE52" s="242">
        <v>0.20300751879699253</v>
      </c>
      <c r="BF52" s="242">
        <v>0.19564198687910031</v>
      </c>
      <c r="BG52" s="242">
        <v>0.19675843165296153</v>
      </c>
      <c r="BH52" s="242">
        <v>0.19861381849685941</v>
      </c>
      <c r="BI52" s="242">
        <v>0.19740480748776856</v>
      </c>
      <c r="BJ52" s="242">
        <v>0.21420668289444572</v>
      </c>
      <c r="BK52" s="242">
        <v>0.20284018651971178</v>
      </c>
      <c r="BL52" s="242">
        <v>0.20317973592023716</v>
      </c>
      <c r="BM52" s="242">
        <v>0.21386180584993641</v>
      </c>
      <c r="BN52" s="242">
        <v>0.2301870927054866</v>
      </c>
      <c r="BO52" s="242">
        <v>0.21680035650623891</v>
      </c>
      <c r="BP52" s="242">
        <v>0.21746612174661212</v>
      </c>
      <c r="BQ52">
        <v>0.21964324091983667</v>
      </c>
      <c r="BR52">
        <v>0.21318063090214989</v>
      </c>
      <c r="BS52">
        <v>0.23612705702257944</v>
      </c>
      <c r="BT52">
        <v>0.22497502497502497</v>
      </c>
      <c r="BU52">
        <v>0.23019648397104453</v>
      </c>
      <c r="BV52">
        <v>0.22621364067255403</v>
      </c>
      <c r="BW52">
        <v>0.2151211361737678</v>
      </c>
      <c r="BX52">
        <v>0.23366578465296162</v>
      </c>
      <c r="BY52">
        <v>0.23580874872838253</v>
      </c>
      <c r="BZ52">
        <v>0.23724838772718387</v>
      </c>
      <c r="CA52">
        <v>0.23062889575837434</v>
      </c>
      <c r="CB52">
        <v>0.20773930753564157</v>
      </c>
      <c r="CC52">
        <v>0.23068493150684932</v>
      </c>
      <c r="CD52">
        <v>0.2362627197039778</v>
      </c>
      <c r="CE52">
        <v>0.22834224598930475</v>
      </c>
      <c r="CF52">
        <v>0.22580055730665569</v>
      </c>
      <c r="CG52">
        <v>0.23200524676176423</v>
      </c>
      <c r="CH52">
        <v>0.2448275862068966</v>
      </c>
      <c r="CI52">
        <v>0.25205240174672483</v>
      </c>
      <c r="CJ52">
        <v>0.23391812865497069</v>
      </c>
      <c r="CK52">
        <v>0.24065033747930548</v>
      </c>
      <c r="CM52" s="242" t="s">
        <v>133</v>
      </c>
      <c r="CN52" s="244">
        <v>0.21964324091983667</v>
      </c>
    </row>
    <row r="53" spans="2:92">
      <c r="B53" s="242" t="s">
        <v>134</v>
      </c>
      <c r="C53" s="242">
        <v>8.1610281206803678E-2</v>
      </c>
      <c r="D53" s="242">
        <v>0.10746948699960712</v>
      </c>
      <c r="E53" s="242">
        <v>5.9834997828918809E-2</v>
      </c>
      <c r="F53" s="242">
        <v>7.1421805437150779E-2</v>
      </c>
      <c r="G53" s="242">
        <v>-0.31325539924707752</v>
      </c>
      <c r="H53" s="242">
        <v>7.0756934649741365E-2</v>
      </c>
      <c r="I53" s="242">
        <v>6.4444196677444526E-2</v>
      </c>
      <c r="J53" s="242">
        <v>9.0182648401826576E-2</v>
      </c>
      <c r="K53" s="242">
        <v>9.5150624540778841E-2</v>
      </c>
      <c r="L53" s="242">
        <v>7.0695553021664886E-2</v>
      </c>
      <c r="M53" s="242">
        <v>7.4529667149059009E-2</v>
      </c>
      <c r="N53" s="242">
        <v>8.264308980921356E-2</v>
      </c>
      <c r="O53" s="242">
        <v>0.11321403991741226</v>
      </c>
      <c r="P53" s="242">
        <v>0.11853517507227761</v>
      </c>
      <c r="Q53" s="242">
        <v>3.1453362255965414E-2</v>
      </c>
      <c r="R53" s="242">
        <v>9.0844821491693095E-2</v>
      </c>
      <c r="S53" s="242">
        <v>8.9719304287928375E-2</v>
      </c>
      <c r="T53" s="242">
        <v>9.7068403908794759E-2</v>
      </c>
      <c r="U53" s="242">
        <v>0.10854430379746832</v>
      </c>
      <c r="V53" s="242">
        <v>8.8896575579384379E-2</v>
      </c>
      <c r="W53" s="242">
        <v>5.9074733096085401E-2</v>
      </c>
      <c r="X53" s="242">
        <v>8.9179448495515901E-2</v>
      </c>
      <c r="Y53" s="242">
        <v>0.10580325548478424</v>
      </c>
      <c r="Z53" s="242">
        <v>0.11732229123533473</v>
      </c>
      <c r="AA53" s="242">
        <v>0.10743507648523667</v>
      </c>
      <c r="AB53" s="242">
        <v>6.5806045340049912E-2</v>
      </c>
      <c r="AC53" s="242">
        <v>9.8198275125949891E-2</v>
      </c>
      <c r="AD53" s="242">
        <v>0.10566037735849064</v>
      </c>
      <c r="AE53" s="242">
        <v>8.1502086230876292E-2</v>
      </c>
      <c r="AF53" s="242">
        <v>0.10832830416415198</v>
      </c>
      <c r="AG53" s="242">
        <v>0.10120898100172661</v>
      </c>
      <c r="AH53" s="242">
        <v>9.8799909427126464E-2</v>
      </c>
      <c r="AI53" s="242">
        <v>0.12984054669703873</v>
      </c>
      <c r="AJ53" s="242">
        <v>0.10710421925712235</v>
      </c>
      <c r="AK53" s="242">
        <v>7.6234928043562883E-2</v>
      </c>
      <c r="AL53" s="242">
        <v>5.4388597149287357E-2</v>
      </c>
      <c r="AM53" s="242">
        <v>9.3566723811242494E-2</v>
      </c>
      <c r="AN53" s="242">
        <v>9.0494296577946762E-2</v>
      </c>
      <c r="AO53" s="242">
        <v>0.1327433628318585</v>
      </c>
      <c r="AP53" s="242">
        <v>0.11714770797962648</v>
      </c>
      <c r="AQ53" s="242">
        <v>9.9678456591639625E-2</v>
      </c>
      <c r="AR53" s="242">
        <v>0.11059986366734828</v>
      </c>
      <c r="AS53" s="242">
        <v>0.14234016887816656</v>
      </c>
      <c r="AT53" s="242">
        <v>0.1396663839411931</v>
      </c>
      <c r="AU53" s="242">
        <v>0.13075611142694712</v>
      </c>
      <c r="AV53" s="242">
        <v>0.13903743315508027</v>
      </c>
      <c r="AW53" s="242">
        <v>0.1378914105142201</v>
      </c>
      <c r="AX53" s="242">
        <v>0.15146213446638349</v>
      </c>
      <c r="AY53" s="242">
        <v>0.18512024048096196</v>
      </c>
      <c r="AZ53" s="242">
        <v>0.15321756894790614</v>
      </c>
      <c r="BA53" s="242">
        <v>0.14020139426800934</v>
      </c>
      <c r="BB53" s="242">
        <v>0.15764795336459264</v>
      </c>
      <c r="BC53" s="242">
        <v>0.15126050420168066</v>
      </c>
      <c r="BD53" s="242">
        <v>0.17013724562233795</v>
      </c>
      <c r="BE53" s="242">
        <v>0.16735386854232359</v>
      </c>
      <c r="BF53" s="242">
        <v>0.15698219306466732</v>
      </c>
      <c r="BG53" s="242">
        <v>0.1614229531641044</v>
      </c>
      <c r="BH53" s="242">
        <v>0.16157678145982238</v>
      </c>
      <c r="BI53" s="242">
        <v>0.15975324399064034</v>
      </c>
      <c r="BJ53" s="242">
        <v>0.17481743748616951</v>
      </c>
      <c r="BK53" s="242">
        <v>0.16341670199236966</v>
      </c>
      <c r="BL53" s="242">
        <v>0.16480732956076533</v>
      </c>
      <c r="BM53" s="242">
        <v>0.17507418397626115</v>
      </c>
      <c r="BN53" s="242">
        <v>0.19045616985495054</v>
      </c>
      <c r="BO53" s="242">
        <v>0.17379679144385032</v>
      </c>
      <c r="BP53" s="242">
        <v>0.17466121746612168</v>
      </c>
      <c r="BQ53">
        <v>0.17859445519019987</v>
      </c>
      <c r="BR53">
        <v>0.16857544705645972</v>
      </c>
      <c r="BS53">
        <v>0.19154228855721397</v>
      </c>
      <c r="BT53">
        <v>0.178021978021978</v>
      </c>
      <c r="BU53">
        <v>0.17993795243019653</v>
      </c>
      <c r="BV53">
        <v>0.17966372299555955</v>
      </c>
      <c r="BW53">
        <v>0.16416040100250631</v>
      </c>
      <c r="BX53">
        <v>0.18257683696315904</v>
      </c>
      <c r="BY53">
        <v>0.18128179043743647</v>
      </c>
      <c r="BZ53">
        <v>0.18213797146765681</v>
      </c>
      <c r="CA53">
        <v>0.17767192013378608</v>
      </c>
      <c r="CB53">
        <v>0.15256433993704874</v>
      </c>
      <c r="CC53">
        <v>0.17625570776255711</v>
      </c>
      <c r="CD53">
        <v>0.17853839037927843</v>
      </c>
      <c r="CE53">
        <v>0.17076648841354719</v>
      </c>
      <c r="CF53">
        <v>0.1695674021287287</v>
      </c>
      <c r="CG53">
        <v>0.16855222167568451</v>
      </c>
      <c r="CH53">
        <v>0.18899835796387521</v>
      </c>
      <c r="CI53">
        <v>0.19196506550218337</v>
      </c>
      <c r="CJ53">
        <v>0.17260322523480409</v>
      </c>
      <c r="CK53">
        <v>0.18049836566625627</v>
      </c>
      <c r="CM53" s="242" t="s">
        <v>134</v>
      </c>
      <c r="CN53" s="244">
        <v>0.17859445519019987</v>
      </c>
    </row>
    <row r="54" spans="2:92">
      <c r="B54" s="242" t="s">
        <v>135</v>
      </c>
      <c r="C54" s="242">
        <v>-0.4507802648171495</v>
      </c>
      <c r="D54" s="242">
        <v>0.36056845121131764</v>
      </c>
      <c r="E54" s="242">
        <v>6.8000000000000005E-2</v>
      </c>
      <c r="F54" s="242">
        <v>0.35066666666666635</v>
      </c>
      <c r="G54" s="242">
        <v>-0.10629921259842517</v>
      </c>
      <c r="H54" s="242">
        <v>1.4675324675324772</v>
      </c>
      <c r="I54" s="242">
        <v>3.5526315789473721</v>
      </c>
      <c r="J54" s="242">
        <v>0.30357142857142788</v>
      </c>
      <c r="K54" s="242">
        <v>0.38518518518518524</v>
      </c>
      <c r="L54" s="242">
        <v>0.34848484848484668</v>
      </c>
      <c r="M54" s="242">
        <v>3.947368421052691E-2</v>
      </c>
      <c r="N54" s="242">
        <v>0.28791773778920332</v>
      </c>
      <c r="O54" s="242">
        <v>-0.18652849740932653</v>
      </c>
      <c r="P54" s="242">
        <v>0.12456747404844283</v>
      </c>
      <c r="Q54" s="242">
        <v>1.0769230769230482</v>
      </c>
      <c r="R54" s="242">
        <v>-6.2324324324324394</v>
      </c>
      <c r="S54" s="242">
        <v>-3.6292517006802671</v>
      </c>
      <c r="T54" s="242">
        <v>0.39090909090909109</v>
      </c>
      <c r="U54" s="242">
        <v>0.39338235294117663</v>
      </c>
      <c r="V54" s="242">
        <v>0.2222222222222219</v>
      </c>
      <c r="W54" s="242">
        <v>0.40769230769230808</v>
      </c>
      <c r="X54" s="242">
        <v>0.36238044633368766</v>
      </c>
      <c r="Y54" s="242">
        <v>0.42016806722689026</v>
      </c>
      <c r="Z54" s="242">
        <v>0.42499999999999988</v>
      </c>
      <c r="AA54" s="242">
        <v>0.29508196721311442</v>
      </c>
      <c r="AB54" s="242">
        <v>0.26380368098159773</v>
      </c>
      <c r="AC54" s="242">
        <v>0.36108108108108139</v>
      </c>
      <c r="AD54" s="242">
        <v>0.30573248407643283</v>
      </c>
      <c r="AE54" s="242">
        <v>-8.5470085470085375E-2</v>
      </c>
      <c r="AF54" s="242">
        <v>0.36102236421725287</v>
      </c>
      <c r="AG54" s="242">
        <v>-0.13414634146341536</v>
      </c>
      <c r="AH54" s="242">
        <v>0.1409214092140923</v>
      </c>
      <c r="AI54" s="242">
        <v>0.32463768115942021</v>
      </c>
      <c r="AJ54" s="242">
        <v>0.25675675675675647</v>
      </c>
      <c r="AK54" s="242">
        <v>0.19685039370078711</v>
      </c>
      <c r="AL54" s="242">
        <v>0.31707317073170693</v>
      </c>
      <c r="AM54" s="242">
        <v>0.28350515463917508</v>
      </c>
      <c r="AN54" s="242">
        <v>8.7209302325581411E-2</v>
      </c>
      <c r="AO54" s="242">
        <v>0.31736526946107757</v>
      </c>
      <c r="AP54" s="242">
        <v>0.3035714285714286</v>
      </c>
      <c r="AQ54" s="242">
        <v>0.14925373134328407</v>
      </c>
      <c r="AR54" s="242">
        <v>0.22945891783567146</v>
      </c>
      <c r="AS54" s="242">
        <v>0.32020997375328059</v>
      </c>
      <c r="AT54" s="242">
        <v>0.2</v>
      </c>
      <c r="AU54" s="242">
        <v>0.27397260273972607</v>
      </c>
      <c r="AV54" s="242">
        <v>0.17197452229299354</v>
      </c>
      <c r="AW54" s="242">
        <v>0.23703703703703696</v>
      </c>
      <c r="AX54" s="242">
        <v>0.3194444444444442</v>
      </c>
      <c r="AY54" s="242">
        <v>0.31661891117478508</v>
      </c>
      <c r="AZ54" s="242">
        <v>0.31141868512110699</v>
      </c>
      <c r="BA54" s="242">
        <v>0.29714285714285699</v>
      </c>
      <c r="BB54" s="242">
        <v>0.31173748422381131</v>
      </c>
      <c r="BC54" s="242">
        <v>0.29200652528548121</v>
      </c>
      <c r="BD54" s="242">
        <v>0.29941860465116271</v>
      </c>
      <c r="BE54" s="242">
        <v>0.27868852459016391</v>
      </c>
      <c r="BF54" s="242">
        <v>0.28746177370030573</v>
      </c>
      <c r="BG54" s="242">
        <v>0.28941355674028935</v>
      </c>
      <c r="BH54" s="242">
        <v>0.31318681318681318</v>
      </c>
      <c r="BI54" s="242">
        <v>0.31326949384404912</v>
      </c>
      <c r="BJ54" s="242">
        <v>0.27748691099476436</v>
      </c>
      <c r="BK54" s="242">
        <v>0.29866666666666658</v>
      </c>
      <c r="BL54" s="242">
        <v>0.30036999663639419</v>
      </c>
      <c r="BM54" s="242">
        <v>0.15985130111524162</v>
      </c>
      <c r="BN54" s="242">
        <v>0.30646992054483552</v>
      </c>
      <c r="BO54" s="242">
        <v>0.2820163487738418</v>
      </c>
      <c r="BP54" s="242">
        <v>0.2947368421052633</v>
      </c>
      <c r="BQ54">
        <v>0.26084223758642366</v>
      </c>
      <c r="BR54">
        <v>0.28991060025542786</v>
      </c>
      <c r="BS54">
        <v>0.30531914893617018</v>
      </c>
      <c r="BT54">
        <v>0.1925837320574163</v>
      </c>
      <c r="BU54">
        <v>0.27906976744186035</v>
      </c>
      <c r="BV54">
        <v>0.26747630331753552</v>
      </c>
      <c r="BW54">
        <v>0.11878453038674029</v>
      </c>
      <c r="BX54">
        <v>0.26658624849215912</v>
      </c>
      <c r="BY54">
        <v>0.16565164433617535</v>
      </c>
      <c r="BZ54">
        <v>-2.0979020979020983E-2</v>
      </c>
      <c r="CA54">
        <v>0.13149752475247525</v>
      </c>
      <c r="CB54">
        <v>0.18951612903225801</v>
      </c>
      <c r="CC54">
        <v>0.22779043280182229</v>
      </c>
      <c r="CD54">
        <v>9.0803259604190917E-2</v>
      </c>
      <c r="CE54">
        <v>0.2412177985948479</v>
      </c>
      <c r="CF54">
        <v>0.1874062968515742</v>
      </c>
      <c r="CG54">
        <v>0.22687224669603531</v>
      </c>
      <c r="CH54">
        <v>0.22868217054263568</v>
      </c>
      <c r="CI54">
        <v>0.18402426693629934</v>
      </c>
      <c r="CJ54">
        <v>0.16589861751152085</v>
      </c>
      <c r="CK54">
        <v>0.20226494601000797</v>
      </c>
      <c r="CM54" s="242" t="s">
        <v>135</v>
      </c>
      <c r="CN54" s="244">
        <v>0.26084223758642366</v>
      </c>
    </row>
    <row r="55" spans="2:92">
      <c r="B55" s="242" t="s">
        <v>136</v>
      </c>
      <c r="C55" s="242">
        <v>7.8592738470734599E-2</v>
      </c>
      <c r="D55" s="242">
        <v>4.6314933097285453E-2</v>
      </c>
      <c r="E55" s="242">
        <v>-2.0234476769431176E-2</v>
      </c>
      <c r="F55" s="242">
        <v>5.1340342900445271E-2</v>
      </c>
      <c r="G55" s="242">
        <v>-0.42698632851198737</v>
      </c>
      <c r="H55" s="242">
        <v>-1.598495533615427E-2</v>
      </c>
      <c r="I55" s="242">
        <v>-1.2375961645668419E-2</v>
      </c>
      <c r="J55" s="242">
        <v>3.082191780821927E-2</v>
      </c>
      <c r="K55" s="242">
        <v>3.2329169728141066E-2</v>
      </c>
      <c r="L55" s="242">
        <v>1.6343595591030154E-2</v>
      </c>
      <c r="M55" s="242">
        <v>2.7496382054992413E-2</v>
      </c>
      <c r="N55" s="242">
        <v>2.6803164262447606E-2</v>
      </c>
      <c r="O55" s="242">
        <v>-7.7081899518238087E-2</v>
      </c>
      <c r="P55" s="242">
        <v>8.4163186636684928E-2</v>
      </c>
      <c r="Q55" s="242">
        <v>3.9768618944325176E-3</v>
      </c>
      <c r="R55" s="242">
        <v>0.47649346058677977</v>
      </c>
      <c r="S55" s="242">
        <v>0.12028586189082145</v>
      </c>
      <c r="T55" s="242">
        <v>4.7231270358306154E-2</v>
      </c>
      <c r="U55" s="242">
        <v>5.569620253164554E-2</v>
      </c>
      <c r="V55" s="242">
        <v>5.4306468350051977E-2</v>
      </c>
      <c r="W55" s="242">
        <v>5.8007117437722383E-2</v>
      </c>
      <c r="X55" s="242">
        <v>5.3725588802279775E-2</v>
      </c>
      <c r="Y55" s="242">
        <v>5.2370842179759479E-2</v>
      </c>
      <c r="Z55" s="242">
        <v>6.0386473429951716E-2</v>
      </c>
      <c r="AA55" s="242">
        <v>6.4389896833867047E-2</v>
      </c>
      <c r="AB55" s="242">
        <v>4.0931989924432775E-2</v>
      </c>
      <c r="AC55" s="242">
        <v>5.4137136025958425E-2</v>
      </c>
      <c r="AD55" s="242">
        <v>6.7343976777939116E-2</v>
      </c>
      <c r="AE55" s="242">
        <v>7.4269819193324135E-2</v>
      </c>
      <c r="AF55" s="242">
        <v>9.9577549788774769E-2</v>
      </c>
      <c r="AG55" s="242">
        <v>9.7754749568220584E-2</v>
      </c>
      <c r="AH55" s="242">
        <v>8.3930862706619258E-2</v>
      </c>
      <c r="AI55" s="242">
        <v>7.6147087536609204E-2</v>
      </c>
      <c r="AJ55" s="242">
        <v>6.0584204832311681E-2</v>
      </c>
      <c r="AK55" s="242">
        <v>4.0451186308829316E-2</v>
      </c>
      <c r="AL55" s="242">
        <v>2.1380345086271603E-2</v>
      </c>
      <c r="AM55" s="242">
        <v>5.0798520256248363E-2</v>
      </c>
      <c r="AN55" s="242">
        <v>6.0076045627376409E-2</v>
      </c>
      <c r="AO55" s="242">
        <v>7.5712881022615613E-2</v>
      </c>
      <c r="AP55" s="242">
        <v>5.2971137521222407E-2</v>
      </c>
      <c r="AQ55" s="242">
        <v>7.3633440514469198E-2</v>
      </c>
      <c r="AR55" s="242">
        <v>6.5950920245398711E-2</v>
      </c>
      <c r="AS55" s="242">
        <v>7.8106151990349912E-2</v>
      </c>
      <c r="AT55" s="242">
        <v>0.10573932711337293</v>
      </c>
      <c r="AU55" s="242">
        <v>9.1529277998862971E-2</v>
      </c>
      <c r="AV55" s="242">
        <v>0.11117365606529699</v>
      </c>
      <c r="AW55" s="242">
        <v>9.6954898017811028E-2</v>
      </c>
      <c r="AX55" s="242">
        <v>9.8975256185953597E-2</v>
      </c>
      <c r="AY55" s="242">
        <v>0.11948897795591185</v>
      </c>
      <c r="AZ55" s="242">
        <v>0.10163432073544444</v>
      </c>
      <c r="BA55" s="242">
        <v>9.5274980635166609E-2</v>
      </c>
      <c r="BB55" s="242">
        <v>0.10391585350399196</v>
      </c>
      <c r="BC55" s="242">
        <v>0.10468187274909964</v>
      </c>
      <c r="BD55" s="242">
        <v>0.11476573592049223</v>
      </c>
      <c r="BE55" s="242">
        <v>0.11811787533349503</v>
      </c>
      <c r="BF55" s="242">
        <v>0.11035613870665423</v>
      </c>
      <c r="BG55" s="242">
        <v>0.1119652008103921</v>
      </c>
      <c r="BH55" s="242">
        <v>0.10851202079272255</v>
      </c>
      <c r="BI55" s="242">
        <v>0.10763667304828764</v>
      </c>
      <c r="BJ55" s="242">
        <v>0.12347864571807923</v>
      </c>
      <c r="BK55" s="242">
        <v>0.11212378126324717</v>
      </c>
      <c r="BL55" s="242">
        <v>0.11285367825383996</v>
      </c>
      <c r="BM55" s="242">
        <v>0.1443408223823654</v>
      </c>
      <c r="BN55" s="242">
        <v>0.12970359470254356</v>
      </c>
      <c r="BO55" s="242">
        <v>0.11920677361853839</v>
      </c>
      <c r="BP55" s="242">
        <v>0.11593891159389107</v>
      </c>
      <c r="BQ55">
        <v>0.12744465935955296</v>
      </c>
      <c r="BR55">
        <v>0.11251758087201125</v>
      </c>
      <c r="BS55">
        <v>0.12648296976655188</v>
      </c>
      <c r="BT55">
        <v>0.13626373626373628</v>
      </c>
      <c r="BU55">
        <v>0.12306101344364019</v>
      </c>
      <c r="BV55">
        <v>0.12463204111161007</v>
      </c>
      <c r="BW55">
        <v>0.13492063492063497</v>
      </c>
      <c r="BX55">
        <v>0.12538164054549164</v>
      </c>
      <c r="BY55">
        <v>0.1418107833163785</v>
      </c>
      <c r="BZ55">
        <v>0.17217119405901893</v>
      </c>
      <c r="CA55">
        <v>0.14392135002280448</v>
      </c>
      <c r="CB55">
        <v>0.11405295315682283</v>
      </c>
      <c r="CC55">
        <v>0.12566210045662102</v>
      </c>
      <c r="CD55">
        <v>0.14819611470860317</v>
      </c>
      <c r="CE55">
        <v>0.11782531194295892</v>
      </c>
      <c r="CF55">
        <v>0.12635329587501715</v>
      </c>
      <c r="CG55">
        <v>0.11838006230529594</v>
      </c>
      <c r="CH55">
        <v>0.1328407224958949</v>
      </c>
      <c r="CI55">
        <v>0.1402620087336244</v>
      </c>
      <c r="CJ55">
        <v>0.12971823498139276</v>
      </c>
      <c r="CK55">
        <v>0.13015239631532025</v>
      </c>
      <c r="CM55" s="242" t="s">
        <v>136</v>
      </c>
      <c r="CN55" s="244">
        <v>0.12744465935955296</v>
      </c>
    </row>
    <row r="56" spans="2:92">
      <c r="CN56" s="244"/>
    </row>
    <row r="57" spans="2:92">
      <c r="B57" s="242" t="s">
        <v>137</v>
      </c>
      <c r="CM57" s="242" t="s">
        <v>137</v>
      </c>
      <c r="CN57" s="244"/>
    </row>
    <row r="58" spans="2:92">
      <c r="B58" s="242" t="s">
        <v>117</v>
      </c>
      <c r="D58" s="242">
        <v>0.16244669666063594</v>
      </c>
      <c r="E58" s="242">
        <v>5.7349381659510534E-2</v>
      </c>
      <c r="F58" s="242">
        <v>-8.3195831524098929E-2</v>
      </c>
      <c r="G58" s="242">
        <v>-4.3857156389125795E-2</v>
      </c>
      <c r="H58" s="242">
        <v>-0.15712304339211414</v>
      </c>
      <c r="I58" s="242">
        <v>5.4184297132110926E-2</v>
      </c>
      <c r="N58" s="242">
        <v>0.1980153863306946</v>
      </c>
      <c r="O58" s="242">
        <v>0.10578386605783874</v>
      </c>
      <c r="P58" s="242">
        <v>0.14364437913299044</v>
      </c>
      <c r="Q58" s="242">
        <v>5.1311288483466333E-2</v>
      </c>
      <c r="R58" s="242">
        <v>2.3516642547033229E-2</v>
      </c>
      <c r="S58" s="242">
        <v>8.0874825500232728E-2</v>
      </c>
      <c r="T58" s="242">
        <v>5.6434962147281498E-2</v>
      </c>
      <c r="U58" s="242">
        <v>1.5097976228718224E-2</v>
      </c>
      <c r="V58" s="242">
        <v>4.5191612436731754E-2</v>
      </c>
      <c r="W58" s="242">
        <v>-6.7161541180632556E-3</v>
      </c>
      <c r="X58" s="242">
        <v>2.7294644394695977E-2</v>
      </c>
      <c r="Y58" s="242">
        <v>-7.947882736156342E-2</v>
      </c>
      <c r="Z58" s="242">
        <v>-8.2911392405063289E-2</v>
      </c>
      <c r="AA58" s="242">
        <v>-2.7672085783465916E-2</v>
      </c>
      <c r="AB58" s="242">
        <v>0.13024911032028452</v>
      </c>
      <c r="AC58" s="242">
        <v>-1.843935965132848E-2</v>
      </c>
      <c r="AD58" s="242">
        <v>0.21903750884642603</v>
      </c>
      <c r="AE58" s="242">
        <v>0.24051069703243622</v>
      </c>
      <c r="AF58" s="242">
        <v>0.17893987904660236</v>
      </c>
      <c r="AG58" s="242">
        <v>-8.8476070528966666E-2</v>
      </c>
      <c r="AH58" s="242">
        <v>0.13132951925540115</v>
      </c>
      <c r="AI58" s="242">
        <v>-0.10798258345428158</v>
      </c>
      <c r="AJ58" s="242">
        <v>-0.22865090403337962</v>
      </c>
      <c r="AK58" s="242">
        <v>-0.22420036210018091</v>
      </c>
      <c r="AL58" s="242">
        <v>-7.9101899827288324E-2</v>
      </c>
      <c r="AM58" s="242">
        <v>-0.16348403653105892</v>
      </c>
      <c r="AN58" s="242">
        <v>-0.14415880247315327</v>
      </c>
      <c r="AO58" s="242">
        <v>0.10025243418680141</v>
      </c>
      <c r="AP58" s="242">
        <v>0.145468689225982</v>
      </c>
      <c r="AQ58" s="242">
        <v>0.16654163540885158</v>
      </c>
      <c r="AR58" s="242">
        <v>5.8919065235044421E-2</v>
      </c>
      <c r="AS58" s="242">
        <v>0.26083650190114072</v>
      </c>
      <c r="AT58" s="242">
        <v>0.15929203539822989</v>
      </c>
      <c r="AU58" s="242">
        <v>0.19456706281833624</v>
      </c>
      <c r="AV58" s="242">
        <v>0.14244372990353749</v>
      </c>
      <c r="AW58" s="242">
        <v>0.18643490115882755</v>
      </c>
      <c r="AX58" s="242">
        <v>0.20657418576598308</v>
      </c>
      <c r="AY58" s="242">
        <v>0.12864009047215164</v>
      </c>
      <c r="AZ58" s="242">
        <v>0.11313246162592394</v>
      </c>
      <c r="BA58" s="242">
        <v>9.0064734027582416E-2</v>
      </c>
      <c r="BB58" s="242">
        <v>0.13343866704969853</v>
      </c>
      <c r="BC58" s="242">
        <v>4.0989752561859438E-2</v>
      </c>
      <c r="BD58" s="242">
        <v>5.8617234468937962E-2</v>
      </c>
      <c r="BE58" s="242">
        <v>5.2860061287027582E-2</v>
      </c>
      <c r="BF58" s="242">
        <v>0.1019881229021431</v>
      </c>
      <c r="BG58" s="242">
        <v>6.3363325307312035E-2</v>
      </c>
      <c r="BH58" s="242">
        <v>0.10852340936374549</v>
      </c>
      <c r="BI58" s="242">
        <v>0.11239943208708003</v>
      </c>
      <c r="BJ58" s="242">
        <v>9.6046568032985613E-2</v>
      </c>
      <c r="BK58" s="242">
        <v>0.10543580131208996</v>
      </c>
      <c r="BL58" s="242">
        <v>0.10564890954594186</v>
      </c>
      <c r="BM58" s="242">
        <v>2.1875676846437209E-2</v>
      </c>
      <c r="BN58" s="242">
        <v>1.1912359072537626E-2</v>
      </c>
      <c r="BO58" s="242">
        <v>-6.859924762115388E-3</v>
      </c>
      <c r="BP58" s="242">
        <v>-1.46248410343367E-2</v>
      </c>
      <c r="BQ58">
        <v>3.0719482619241401E-3</v>
      </c>
      <c r="BR58">
        <v>5.4896142433234374E-2</v>
      </c>
      <c r="BS58">
        <v>9.8591549295774739E-2</v>
      </c>
      <c r="BT58">
        <v>0.11519607843137258</v>
      </c>
      <c r="BU58">
        <v>4.0008604000860482E-2</v>
      </c>
      <c r="BV58">
        <v>7.6885880077369517E-2</v>
      </c>
      <c r="BW58">
        <v>-3.7974683544303778E-2</v>
      </c>
      <c r="BX58">
        <v>-5.9892843474933066E-2</v>
      </c>
      <c r="BY58">
        <v>-1.7982017982017928E-2</v>
      </c>
      <c r="BZ58">
        <v>5.8324715615305056E-2</v>
      </c>
      <c r="CA58">
        <v>-1.5466746495035655E-2</v>
      </c>
      <c r="CB58">
        <v>0.12802840434419394</v>
      </c>
      <c r="CC58">
        <v>0.1143903928353347</v>
      </c>
      <c r="CD58">
        <v>9.9694811800610461E-2</v>
      </c>
      <c r="CE58">
        <v>9.6345514950166189E-2</v>
      </c>
      <c r="CF58">
        <v>0.10935995540465204</v>
      </c>
      <c r="CG58">
        <v>0.12923532679133487</v>
      </c>
      <c r="CH58">
        <v>0.11232876712328776</v>
      </c>
      <c r="CI58">
        <v>5.9204440333024966E-2</v>
      </c>
      <c r="CJ58">
        <v>5.8823529411764497E-3</v>
      </c>
      <c r="CK58">
        <v>7.6104335114887345E-2</v>
      </c>
      <c r="CM58" s="242" t="s">
        <v>117</v>
      </c>
      <c r="CN58" s="244">
        <v>3.0719482619241401E-3</v>
      </c>
    </row>
    <row r="59" spans="2:92">
      <c r="B59" s="242" t="s">
        <v>129</v>
      </c>
      <c r="D59" s="242">
        <v>0.37617367755269338</v>
      </c>
      <c r="E59" s="242">
        <v>-0.24391996426745099</v>
      </c>
      <c r="F59" s="242">
        <v>3.5958904109589573E-2</v>
      </c>
      <c r="G59" s="242">
        <v>-3.1942148760330569</v>
      </c>
      <c r="H59" s="242">
        <v>-1.4045197740112991</v>
      </c>
      <c r="I59" s="242">
        <v>2.4208566108008034E-2</v>
      </c>
      <c r="N59" s="242">
        <v>0.27999999999999958</v>
      </c>
      <c r="O59" s="242">
        <v>0.22162162162162069</v>
      </c>
      <c r="P59" s="242">
        <v>0.24552429667519249</v>
      </c>
      <c r="Q59" s="242">
        <v>-0.35161290322580607</v>
      </c>
      <c r="R59" s="242">
        <v>0.11275964391691606</v>
      </c>
      <c r="S59" s="242">
        <v>7.5994318181818787E-2</v>
      </c>
      <c r="T59" s="242">
        <v>-8.4070796460177233E-2</v>
      </c>
      <c r="U59" s="242">
        <v>-5.3388090349076545E-2</v>
      </c>
      <c r="V59" s="242">
        <v>0.79104477611940172</v>
      </c>
      <c r="W59" s="242">
        <v>-0.29866666666666641</v>
      </c>
      <c r="X59" s="242">
        <v>-1.122112211221149E-2</v>
      </c>
      <c r="Y59" s="242">
        <v>-4.3478260869564522E-2</v>
      </c>
      <c r="Z59" s="242">
        <v>-4.7722342733188317E-2</v>
      </c>
      <c r="AA59" s="242">
        <v>0.12222222222222201</v>
      </c>
      <c r="AB59" s="242">
        <v>0.17490494296577364</v>
      </c>
      <c r="AC59" s="242">
        <v>3.3377837116154385E-2</v>
      </c>
      <c r="AD59" s="242">
        <v>0.19696969696969702</v>
      </c>
      <c r="AE59" s="242">
        <v>-7.2892938496582738E-2</v>
      </c>
      <c r="AF59" s="242">
        <v>0.15594059405940408</v>
      </c>
      <c r="AG59" s="242">
        <v>0.29449838187702482</v>
      </c>
      <c r="AH59" s="242">
        <v>0.12919896640826867</v>
      </c>
      <c r="AI59" s="242">
        <v>7.1729957805906741E-2</v>
      </c>
      <c r="AJ59" s="242">
        <v>1.4742014742014753E-2</v>
      </c>
      <c r="AK59" s="242">
        <v>-0.32334047109207631</v>
      </c>
      <c r="AL59" s="242">
        <v>-0.3349999999999973</v>
      </c>
      <c r="AM59" s="242">
        <v>-0.14016018306636058</v>
      </c>
      <c r="AN59" s="242">
        <v>-0.29527559055118124</v>
      </c>
      <c r="AO59" s="242">
        <v>0.30992736077481831</v>
      </c>
      <c r="AP59" s="242">
        <v>0.52531645569620156</v>
      </c>
      <c r="AQ59" s="242">
        <v>0.68796992481202657</v>
      </c>
      <c r="AR59" s="242">
        <v>0.21756487025948013</v>
      </c>
      <c r="AS59" s="242">
        <v>0.71229050279329709</v>
      </c>
      <c r="AT59" s="242">
        <v>0.1682070240295741</v>
      </c>
      <c r="AU59" s="242">
        <v>0.23858921161825752</v>
      </c>
      <c r="AV59" s="242">
        <v>0.40534521158129455</v>
      </c>
      <c r="AW59" s="242">
        <v>0.35136612021858005</v>
      </c>
      <c r="AX59" s="242">
        <v>0.21696574225122345</v>
      </c>
      <c r="AY59" s="242">
        <v>0.39556962025316467</v>
      </c>
      <c r="AZ59" s="242">
        <v>0.25125628140703582</v>
      </c>
      <c r="BA59" s="242">
        <v>8.5578446909667427E-2</v>
      </c>
      <c r="BB59" s="242">
        <v>0.23736352608168221</v>
      </c>
      <c r="BC59" s="242">
        <v>3.6193029490616091E-2</v>
      </c>
      <c r="BD59" s="242">
        <v>-2.8344671201813942E-2</v>
      </c>
      <c r="BE59" s="242">
        <v>0.12048192771084287</v>
      </c>
      <c r="BF59" s="242">
        <v>0.21897810218978075</v>
      </c>
      <c r="BG59" s="242">
        <v>7.9084967320261157E-2</v>
      </c>
      <c r="BH59" s="242">
        <v>0.18628719275549788</v>
      </c>
      <c r="BI59" s="242">
        <v>8.2847141190198315E-2</v>
      </c>
      <c r="BJ59" s="242">
        <v>0.15651135005973704</v>
      </c>
      <c r="BK59" s="242">
        <v>0.14610778443113781</v>
      </c>
      <c r="BL59" s="242">
        <v>0.14173228346456668</v>
      </c>
      <c r="BM59" s="242">
        <v>0.10032715376226853</v>
      </c>
      <c r="BN59" s="242">
        <v>0.17995689655172376</v>
      </c>
      <c r="BO59" s="242">
        <v>5.1652892561984132E-3</v>
      </c>
      <c r="BP59" s="242">
        <v>5.642633228840066E-2</v>
      </c>
      <c r="BQ59">
        <v>8.4350132625994556E-2</v>
      </c>
      <c r="BR59">
        <v>5.1536174430128812E-2</v>
      </c>
      <c r="BS59">
        <v>0.1269406392694068</v>
      </c>
      <c r="BT59">
        <v>0.15724563206577558</v>
      </c>
      <c r="BU59">
        <v>0.10089020771513413</v>
      </c>
      <c r="BV59">
        <v>0.10909980430528399</v>
      </c>
      <c r="BW59">
        <v>-2.9217719132893172E-2</v>
      </c>
      <c r="BX59">
        <v>-6.9692058346839336E-2</v>
      </c>
      <c r="BY59">
        <v>2.9307282415630853E-2</v>
      </c>
      <c r="BZ59">
        <v>9.0745732255165912E-2</v>
      </c>
      <c r="CA59">
        <v>3.7494486104985292E-3</v>
      </c>
      <c r="CB59">
        <v>8.932038834951439E-2</v>
      </c>
      <c r="CC59">
        <v>0.10017421602787424</v>
      </c>
      <c r="CD59">
        <v>0.10181190681622065</v>
      </c>
      <c r="CE59">
        <v>5.5189456342668697E-2</v>
      </c>
      <c r="CF59">
        <v>8.6134915403207835E-2</v>
      </c>
      <c r="CG59">
        <v>0.26114081996434924</v>
      </c>
      <c r="CH59">
        <v>0.18052256532066524</v>
      </c>
      <c r="CI59">
        <v>0.12999216914643652</v>
      </c>
      <c r="CJ59">
        <v>3.0444964871194191E-2</v>
      </c>
      <c r="CK59">
        <v>0.14687436779283813</v>
      </c>
      <c r="CM59" s="242" t="s">
        <v>129</v>
      </c>
      <c r="CN59" s="244">
        <v>8.4350132625994556E-2</v>
      </c>
    </row>
    <row r="60" spans="2:92">
      <c r="B60" s="242" t="s">
        <v>82</v>
      </c>
      <c r="D60" s="242">
        <v>0.53078200818760934</v>
      </c>
      <c r="E60" s="242">
        <v>-0.41130734199711272</v>
      </c>
      <c r="F60" s="242">
        <v>9.4339622641510523E-2</v>
      </c>
      <c r="G60" s="242">
        <v>-5.193633952254638</v>
      </c>
      <c r="H60" s="242">
        <v>-1.1903858317520555</v>
      </c>
      <c r="I60" s="242">
        <v>-3.9867109634550646E-2</v>
      </c>
      <c r="N60" s="242">
        <v>0.53633217993079541</v>
      </c>
      <c r="O60" s="242">
        <v>0.38818565400843763</v>
      </c>
      <c r="P60" s="242">
        <v>0.42471042471042564</v>
      </c>
      <c r="Q60" s="242">
        <v>-0.532258064516128</v>
      </c>
      <c r="R60" s="242">
        <v>0.24757281553398491</v>
      </c>
      <c r="S60" s="242">
        <v>0.17342342342342421</v>
      </c>
      <c r="T60" s="242">
        <v>-9.422492401215854E-2</v>
      </c>
      <c r="U60" s="242">
        <v>-7.0460704607046787E-2</v>
      </c>
      <c r="V60" s="242">
        <v>1.9540229885057383</v>
      </c>
      <c r="W60" s="242">
        <v>-0.35408560311284021</v>
      </c>
      <c r="X60" s="242">
        <v>2.1113243761995859E-2</v>
      </c>
      <c r="Y60" s="242">
        <v>3.3557046979877381E-3</v>
      </c>
      <c r="Z60" s="242">
        <v>-8.7463556851307134E-3</v>
      </c>
      <c r="AA60" s="242">
        <v>0.17509727626459148</v>
      </c>
      <c r="AB60" s="242">
        <v>0.25903614457830426</v>
      </c>
      <c r="AC60" s="242">
        <v>8.0827067669172026E-2</v>
      </c>
      <c r="AD60" s="242">
        <v>0.21739130434782594</v>
      </c>
      <c r="AE60" s="242">
        <v>-0.13823529411764646</v>
      </c>
      <c r="AF60" s="242">
        <v>0.18874172185430216</v>
      </c>
      <c r="AG60" s="242">
        <v>0.40191387559809</v>
      </c>
      <c r="AH60" s="242">
        <v>0.13826086956521721</v>
      </c>
      <c r="AI60" s="242">
        <v>9.615384615384559E-2</v>
      </c>
      <c r="AJ60" s="242">
        <v>1.3651877133105783E-2</v>
      </c>
      <c r="AK60" s="242">
        <v>-0.4540389972144836</v>
      </c>
      <c r="AL60" s="242">
        <v>-0.50511945392491187</v>
      </c>
      <c r="AM60" s="242">
        <v>-0.20779220779220642</v>
      </c>
      <c r="AN60" s="242">
        <v>-0.40350877192982471</v>
      </c>
      <c r="AO60" s="242">
        <v>0.36363636363636331</v>
      </c>
      <c r="AP60" s="242">
        <v>0.76020408163265141</v>
      </c>
      <c r="AQ60" s="242">
        <v>1.1379310344827509</v>
      </c>
      <c r="AR60" s="242">
        <v>0.25168756027000794</v>
      </c>
      <c r="AS60" s="242">
        <v>0.98319327731092598</v>
      </c>
      <c r="AT60" s="242">
        <v>0.21975308641975211</v>
      </c>
      <c r="AU60" s="242">
        <v>0.33333333333333326</v>
      </c>
      <c r="AV60" s="242">
        <v>0.59354838709677948</v>
      </c>
      <c r="AW60" s="242">
        <v>0.47919876733436184</v>
      </c>
      <c r="AX60" s="242">
        <v>0.28389830508474567</v>
      </c>
      <c r="AY60" s="242">
        <v>0.49595141700404866</v>
      </c>
      <c r="AZ60" s="242">
        <v>0.30434782608695765</v>
      </c>
      <c r="BA60" s="242">
        <v>9.919028340080982E-2</v>
      </c>
      <c r="BB60" s="242">
        <v>0.29583333333333361</v>
      </c>
      <c r="BC60" s="242">
        <v>3.9603960396038973E-2</v>
      </c>
      <c r="BD60" s="242">
        <v>-2.7063599458727827E-2</v>
      </c>
      <c r="BE60" s="242">
        <v>0.14999999999999925</v>
      </c>
      <c r="BF60" s="242">
        <v>0.23388581952117837</v>
      </c>
      <c r="BG60" s="242">
        <v>8.8826366559485059E-2</v>
      </c>
      <c r="BH60" s="242">
        <v>0.18412698412698414</v>
      </c>
      <c r="BI60" s="242">
        <v>4.4506258692628586E-2</v>
      </c>
      <c r="BJ60" s="242">
        <v>0.14492753623188381</v>
      </c>
      <c r="BK60" s="242">
        <v>0.15074626865671625</v>
      </c>
      <c r="BL60" s="242">
        <v>0.1288298265042449</v>
      </c>
      <c r="BM60" s="242">
        <v>0.10723860589812362</v>
      </c>
      <c r="BN60" s="242">
        <v>0.20639147802929347</v>
      </c>
      <c r="BO60" s="242">
        <v>-1.2658227848100889E-2</v>
      </c>
      <c r="BP60" s="242">
        <v>5.3177691309986397E-2</v>
      </c>
      <c r="BQ60">
        <v>8.6984957488554393E-2</v>
      </c>
      <c r="BR60">
        <v>1.5738498789346078E-2</v>
      </c>
      <c r="BS60">
        <v>0.104856512141281</v>
      </c>
      <c r="BT60">
        <v>0.1423076923076918</v>
      </c>
      <c r="BU60">
        <v>7.1428571428572285E-2</v>
      </c>
      <c r="BV60">
        <v>8.3333333333333481E-2</v>
      </c>
      <c r="BW60">
        <v>-6.3170441001191513E-2</v>
      </c>
      <c r="BX60">
        <v>-0.1038961038961036</v>
      </c>
      <c r="BY60">
        <v>2.2204460492503131E-16</v>
      </c>
      <c r="BZ60">
        <v>7.1264367816091578E-2</v>
      </c>
      <c r="CA60">
        <v>-2.6381560677589344E-2</v>
      </c>
      <c r="CB60">
        <v>4.8346055979643809E-2</v>
      </c>
      <c r="CC60">
        <v>7.5808249721292853E-2</v>
      </c>
      <c r="CD60">
        <v>8.3052749719416008E-2</v>
      </c>
      <c r="CE60">
        <v>2.7896995708154293E-2</v>
      </c>
      <c r="CF60">
        <v>5.8756417569880037E-2</v>
      </c>
      <c r="CG60">
        <v>0.24757281553398003</v>
      </c>
      <c r="CH60">
        <v>0.19274611398963715</v>
      </c>
      <c r="CI60">
        <v>0.13886010362694279</v>
      </c>
      <c r="CJ60">
        <v>1.6701461377870208E-2</v>
      </c>
      <c r="CK60">
        <v>0.14547413793103425</v>
      </c>
      <c r="CM60" s="242" t="s">
        <v>82</v>
      </c>
      <c r="CN60" s="244">
        <v>8.6984957488554393E-2</v>
      </c>
    </row>
    <row r="61" spans="2:92">
      <c r="B61" s="242" t="s">
        <v>61</v>
      </c>
      <c r="D61" s="242">
        <v>-0.31496672551948801</v>
      </c>
      <c r="E61" s="242">
        <v>-1.4619441305339109</v>
      </c>
      <c r="F61" s="242">
        <v>-3.3261802575107327</v>
      </c>
      <c r="G61" s="242">
        <v>-8.9520295202951932</v>
      </c>
      <c r="H61" s="242">
        <v>-0.96844547563805095</v>
      </c>
      <c r="I61" s="242">
        <v>-0.18382352941176738</v>
      </c>
      <c r="N61" s="242">
        <v>-3.5945945945945894</v>
      </c>
      <c r="O61" s="242">
        <v>-3.7654320987654226</v>
      </c>
      <c r="P61" s="242">
        <v>1.9772727272727302</v>
      </c>
      <c r="Q61" s="242">
        <v>-0.7441860465116219</v>
      </c>
      <c r="R61" s="242">
        <v>16.736842105263381</v>
      </c>
      <c r="S61" s="242">
        <v>3.8506944444444535</v>
      </c>
      <c r="T61" s="242">
        <v>-1.6473214285714284</v>
      </c>
      <c r="U61" s="242">
        <v>-0.32824427480916107</v>
      </c>
      <c r="V61" s="242">
        <v>13.272727272726851</v>
      </c>
      <c r="W61" s="242">
        <v>-0.87908011869436209</v>
      </c>
      <c r="X61" s="242">
        <v>-0.54115962777380111</v>
      </c>
      <c r="Y61" s="242">
        <v>2.0689655172416499E-2</v>
      </c>
      <c r="Z61" s="242">
        <v>-5.6818181818172331E-3</v>
      </c>
      <c r="AA61" s="242">
        <v>0.15286624203821653</v>
      </c>
      <c r="AB61" s="242">
        <v>-0.20245398773007028</v>
      </c>
      <c r="AC61" s="242">
        <v>-1.0920436817474122E-2</v>
      </c>
      <c r="AD61" s="242">
        <v>0.56756756756756621</v>
      </c>
      <c r="AE61" s="242">
        <v>0.52571428571428669</v>
      </c>
      <c r="AF61" s="242">
        <v>0.82320441988949744</v>
      </c>
      <c r="AG61" s="242">
        <v>1.1769230769230927</v>
      </c>
      <c r="AH61" s="242">
        <v>0.75394321766561556</v>
      </c>
      <c r="AI61" s="242">
        <v>8.6206896551717094E-3</v>
      </c>
      <c r="AJ61" s="242">
        <v>-0.37078651685393216</v>
      </c>
      <c r="AK61" s="242">
        <v>-0.68484848484848393</v>
      </c>
      <c r="AL61" s="242">
        <v>-0.79858657243816122</v>
      </c>
      <c r="AM61" s="242">
        <v>-0.49370503597122173</v>
      </c>
      <c r="AN61" s="242">
        <v>-0.3247863247863253</v>
      </c>
      <c r="AO61" s="242">
        <v>0.37499999999999911</v>
      </c>
      <c r="AP61" s="242">
        <v>0.49999999999999711</v>
      </c>
      <c r="AQ61" s="242">
        <v>3.0175438596491002</v>
      </c>
      <c r="AR61" s="242">
        <v>0.37477797513321187</v>
      </c>
      <c r="AS61" s="242">
        <v>0.63924050632911644</v>
      </c>
      <c r="AT61" s="242">
        <v>0.61904761904761751</v>
      </c>
      <c r="AU61" s="242">
        <v>1.0641025641025643</v>
      </c>
      <c r="AV61" s="242">
        <v>0.72489082969433061</v>
      </c>
      <c r="AW61" s="242">
        <v>0.74418604651163034</v>
      </c>
      <c r="AX61" s="242">
        <v>0.52895752895752857</v>
      </c>
      <c r="AY61" s="242">
        <v>0.27540106951871657</v>
      </c>
      <c r="AZ61" s="242">
        <v>0.23602484472049845</v>
      </c>
      <c r="BA61" s="242">
        <v>-6.5822784810126378E-2</v>
      </c>
      <c r="BB61" s="242">
        <v>0.21481481481481524</v>
      </c>
      <c r="BC61" s="242">
        <v>0.10101010101010011</v>
      </c>
      <c r="BD61" s="242">
        <v>1.6771488469601969E-2</v>
      </c>
      <c r="BE61" s="242">
        <v>0.22361809045226</v>
      </c>
      <c r="BF61" s="242">
        <v>0.276422764227642</v>
      </c>
      <c r="BG61" s="242">
        <v>0.14573170731707252</v>
      </c>
      <c r="BH61" s="242">
        <v>0.14908256880733939</v>
      </c>
      <c r="BI61" s="242">
        <v>4.3298969072165017E-2</v>
      </c>
      <c r="BJ61" s="242">
        <v>0.14579055441478439</v>
      </c>
      <c r="BK61" s="242">
        <v>0.12314225053078531</v>
      </c>
      <c r="BL61" s="242">
        <v>0.11442256519425231</v>
      </c>
      <c r="BM61" s="242">
        <v>0.35928143712574845</v>
      </c>
      <c r="BN61" s="242">
        <v>0.21936758893280506</v>
      </c>
      <c r="BO61" s="242">
        <v>-4.1218637992831098E-2</v>
      </c>
      <c r="BP61" s="242">
        <v>1.8903591682418508E-2</v>
      </c>
      <c r="BQ61">
        <v>0.13276026743075398</v>
      </c>
      <c r="BR61">
        <v>-0.17767988252569755</v>
      </c>
      <c r="BS61">
        <v>7.1312803889790111E-2</v>
      </c>
      <c r="BT61">
        <v>0.27476635514018621</v>
      </c>
      <c r="BU61">
        <v>0.10389610389610549</v>
      </c>
      <c r="BV61">
        <v>5.3119730185497982E-2</v>
      </c>
      <c r="BW61">
        <v>0.15357142857142914</v>
      </c>
      <c r="BX61">
        <v>-6.8078668683811849E-2</v>
      </c>
      <c r="BY61">
        <v>2.1994134897361128E-2</v>
      </c>
      <c r="BZ61">
        <v>0.48067226890756176</v>
      </c>
      <c r="CA61">
        <v>0.13690952762209774</v>
      </c>
      <c r="CB61">
        <v>-4.6439628482972228E-2</v>
      </c>
      <c r="CC61">
        <v>0.11688311688311637</v>
      </c>
      <c r="CD61">
        <v>0.14921090387374414</v>
      </c>
      <c r="CE61">
        <v>-0.2497162315550514</v>
      </c>
      <c r="CF61">
        <v>-2.605633802816909E-2</v>
      </c>
      <c r="CG61">
        <v>0.17207792207792161</v>
      </c>
      <c r="CH61">
        <v>0.17587209302325557</v>
      </c>
      <c r="CI61">
        <v>2.4968789013728454E-3</v>
      </c>
      <c r="CJ61">
        <v>0.10741301059001485</v>
      </c>
      <c r="CK61">
        <v>0.10845986984815559</v>
      </c>
      <c r="CM61" s="242" t="s">
        <v>61</v>
      </c>
      <c r="CN61" s="244">
        <v>0.13276026743075398</v>
      </c>
    </row>
    <row r="62" spans="2:92">
      <c r="B62" s="242" t="s">
        <v>138</v>
      </c>
      <c r="D62" s="242">
        <v>-0.31007695197652529</v>
      </c>
      <c r="E62" s="242">
        <v>-1.5796002853190727</v>
      </c>
      <c r="F62" s="242">
        <v>-2.852800030052312</v>
      </c>
      <c r="G62" s="242">
        <v>-10.66509970950772</v>
      </c>
      <c r="H62" s="242">
        <v>-0.96910286156225822</v>
      </c>
      <c r="I62" s="242">
        <v>-0.18805242304175829</v>
      </c>
      <c r="N62" s="242">
        <v>-2.0969479885142515</v>
      </c>
      <c r="O62" s="242">
        <v>-3.6629001883239081</v>
      </c>
      <c r="P62" s="242">
        <v>1.8643308746048497</v>
      </c>
      <c r="Q62" s="242">
        <v>-0.75335114073565235</v>
      </c>
      <c r="R62" s="242">
        <v>16.101380955022123</v>
      </c>
      <c r="S62" s="242">
        <v>3.7264504031780001</v>
      </c>
      <c r="T62" s="242">
        <v>-1.6425567072254768</v>
      </c>
      <c r="U62" s="242">
        <v>-0.33246472962711393</v>
      </c>
      <c r="V62" s="242">
        <v>13.227750190985063</v>
      </c>
      <c r="W62" s="242">
        <v>-0.8807141711444384</v>
      </c>
      <c r="X62" s="242">
        <v>-0.54980792798330025</v>
      </c>
      <c r="Y62" s="242">
        <v>1.0068534931288564E-2</v>
      </c>
      <c r="Z62" s="242">
        <v>-1.3941989993391024E-2</v>
      </c>
      <c r="AA62" s="242">
        <v>0.13498310488147069</v>
      </c>
      <c r="AB62" s="242">
        <v>-0.20821541403129784</v>
      </c>
      <c r="AC62" s="242">
        <v>-2.1169965969624505E-2</v>
      </c>
      <c r="AD62" s="242">
        <v>0.54189604138426906</v>
      </c>
      <c r="AE62" s="242">
        <v>0.50231375985977333</v>
      </c>
      <c r="AF62" s="242">
        <v>0.80269803070873613</v>
      </c>
      <c r="AG62" s="242">
        <v>1.1724391982888549</v>
      </c>
      <c r="AH62" s="242">
        <v>0.73417541500749905</v>
      </c>
      <c r="AI62" s="242">
        <v>1.3809067688377308E-2</v>
      </c>
      <c r="AJ62" s="242">
        <v>-0.37078651685393216</v>
      </c>
      <c r="AK62" s="242">
        <v>-0.68581225094986464</v>
      </c>
      <c r="AL62" s="242">
        <v>-0.80144930135782189</v>
      </c>
      <c r="AM62" s="242">
        <v>-0.49525650164240298</v>
      </c>
      <c r="AN62" s="242">
        <v>-0.33706293706293755</v>
      </c>
      <c r="AO62" s="242">
        <v>0.34879638916750166</v>
      </c>
      <c r="AP62" s="242">
        <v>0.47149999999999714</v>
      </c>
      <c r="AQ62" s="242">
        <v>2.9219828560499139</v>
      </c>
      <c r="AR62" s="242">
        <v>0.34725489254796238</v>
      </c>
      <c r="AS62" s="242">
        <v>0.61638257098189753</v>
      </c>
      <c r="AT62" s="242">
        <v>0.60296968837187159</v>
      </c>
      <c r="AU62" s="242">
        <v>1.0416444748788964</v>
      </c>
      <c r="AV62" s="242">
        <v>0.71807980963630813</v>
      </c>
      <c r="AW62" s="242">
        <v>0.73032955358998897</v>
      </c>
      <c r="AX62" s="242">
        <v>0.50941333242218167</v>
      </c>
      <c r="AY62" s="242">
        <v>0.25914595784838013</v>
      </c>
      <c r="AZ62" s="242">
        <v>0.22391882273498931</v>
      </c>
      <c r="BA62" s="242">
        <v>-7.4049394337238894E-2</v>
      </c>
      <c r="BB62" s="242">
        <v>0.19933188090050891</v>
      </c>
      <c r="BC62" s="242">
        <v>9.6696643219658984E-2</v>
      </c>
      <c r="BD62" s="242">
        <v>1.8769074890956805E-2</v>
      </c>
      <c r="BE62" s="242">
        <v>0.2284307476418459</v>
      </c>
      <c r="BF62" s="242">
        <v>0.28018063301339557</v>
      </c>
      <c r="BG62" s="242">
        <v>0.14713751309292156</v>
      </c>
      <c r="BH62" s="242">
        <v>0.16621600671202152</v>
      </c>
      <c r="BI62" s="242">
        <v>7.0643498503491831E-2</v>
      </c>
      <c r="BJ62" s="242">
        <v>0.19270111959041536</v>
      </c>
      <c r="BK62" s="242">
        <v>0.1738276444008926</v>
      </c>
      <c r="BL62" s="242">
        <v>0.14968910206748798</v>
      </c>
      <c r="BM62" s="242">
        <v>0.39676928064198447</v>
      </c>
      <c r="BN62" s="242">
        <v>0.23178477415615317</v>
      </c>
      <c r="BO62" s="242">
        <v>-3.7277090769779919E-2</v>
      </c>
      <c r="BP62" s="242">
        <v>3.6984344353192311E-2</v>
      </c>
      <c r="BQ62">
        <v>0.14964107306050312</v>
      </c>
      <c r="BR62">
        <v>-0.15078966771377411</v>
      </c>
      <c r="BS62">
        <v>0.1120815786678373</v>
      </c>
      <c r="BT62">
        <v>0.31811653937449647</v>
      </c>
      <c r="BU62">
        <v>0.13347531353962361</v>
      </c>
      <c r="BV62">
        <v>8.7776536592876431E-2</v>
      </c>
      <c r="BW62">
        <v>0.17716438566815373</v>
      </c>
      <c r="BX62">
        <v>-4.1741761494441421E-2</v>
      </c>
      <c r="BY62">
        <v>5.218433363065289E-2</v>
      </c>
      <c r="BZ62">
        <v>0.50980024796803836</v>
      </c>
      <c r="CA62">
        <v>0.16472949974988138</v>
      </c>
      <c r="CB62">
        <v>-2.8664928575308335E-2</v>
      </c>
      <c r="CC62">
        <v>0.14246438462582511</v>
      </c>
      <c r="CD62">
        <v>0.19225739630034311</v>
      </c>
      <c r="CE62">
        <v>-0.2100004049169989</v>
      </c>
      <c r="CF62">
        <v>6.2260642506724029E-3</v>
      </c>
      <c r="CG62">
        <v>0.24294774992449364</v>
      </c>
      <c r="CH62">
        <v>0.22689020935628301</v>
      </c>
      <c r="CI62">
        <v>2.5783682127885621E-2</v>
      </c>
      <c r="CJ62">
        <v>0.12950927958066072</v>
      </c>
      <c r="CK62">
        <v>0.14980103049517313</v>
      </c>
      <c r="CM62" s="242" t="s">
        <v>138</v>
      </c>
      <c r="CN62" s="244">
        <v>0.14964107306050312</v>
      </c>
    </row>
  </sheetData>
  <phoneticPr fontId="9" type="noConversion"/>
  <pageMargins left="0.8" right="0.3" top="0.7" bottom="0.7" header="0.5" footer="0.5"/>
  <pageSetup scale="17" orientation="landscape" r:id="rId1"/>
  <headerFooter alignWithMargins="0"/>
  <customProperties>
    <customPr name="Qube.Worksheet.Visibility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0E78-BAB6-1241-BA1D-CCE30A3D6A26}">
  <sheetPr>
    <pageSetUpPr fitToPage="1"/>
  </sheetPr>
  <dimension ref="A1:AD133"/>
  <sheetViews>
    <sheetView showGridLines="0" zoomScaleNormal="100" workbookViewId="0">
      <pane xSplit="2" ySplit="4" topLeftCell="R31" activePane="bottomRight" state="frozen"/>
      <selection activeCell="CT39" sqref="CT39:CT40"/>
      <selection pane="topRight" activeCell="CT39" sqref="CT39:CT40"/>
      <selection pane="bottomLeft" activeCell="CT39" sqref="CT39:CT40"/>
      <selection pane="bottomRight" activeCell="Z19" sqref="Z19:AB19"/>
    </sheetView>
  </sheetViews>
  <sheetFormatPr defaultColWidth="9.85546875" defaultRowHeight="12" outlineLevelRow="1"/>
  <cols>
    <col min="1" max="1" width="1.85546875" style="1" customWidth="1"/>
    <col min="2" max="2" width="41.85546875" style="1" customWidth="1"/>
    <col min="3" max="17" width="9.85546875" style="1" hidden="1" customWidth="1"/>
    <col min="18" max="18" width="9.85546875" style="1" customWidth="1"/>
    <col min="19" max="26" width="9.85546875" style="1"/>
    <col min="27" max="29" width="9.85546875" style="1" collapsed="1"/>
    <col min="30" max="16384" width="9.85546875" style="1"/>
  </cols>
  <sheetData>
    <row r="1" spans="2:30" ht="12" customHeight="1" thickBot="1"/>
    <row r="2" spans="2:30" ht="6" customHeight="1"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3" spans="2:30" ht="15.75">
      <c r="B3" s="44" t="s">
        <v>274</v>
      </c>
      <c r="C3" s="42">
        <v>1997</v>
      </c>
      <c r="D3" s="42">
        <v>1998</v>
      </c>
      <c r="E3" s="42">
        <v>1999</v>
      </c>
      <c r="F3" s="42">
        <v>2000</v>
      </c>
      <c r="G3" s="42">
        <v>2001</v>
      </c>
      <c r="H3" s="42">
        <v>2002</v>
      </c>
      <c r="I3" s="42">
        <v>2003</v>
      </c>
      <c r="J3" s="42">
        <v>2004</v>
      </c>
      <c r="K3" s="42">
        <v>2005</v>
      </c>
      <c r="L3" s="42">
        <v>2006</v>
      </c>
      <c r="M3" s="42">
        <v>2007</v>
      </c>
      <c r="N3" s="42">
        <v>2008</v>
      </c>
      <c r="O3" s="42">
        <v>2009</v>
      </c>
      <c r="P3" s="42">
        <v>2010</v>
      </c>
      <c r="Q3" s="42">
        <v>2011</v>
      </c>
      <c r="R3" s="42">
        <v>2012</v>
      </c>
      <c r="S3" s="42">
        <v>2013</v>
      </c>
      <c r="T3" s="42">
        <v>2014</v>
      </c>
      <c r="U3" s="42">
        <v>2015</v>
      </c>
      <c r="V3" s="42">
        <v>2016</v>
      </c>
      <c r="W3" s="42">
        <v>2017</v>
      </c>
      <c r="X3" s="42">
        <v>2018</v>
      </c>
      <c r="Y3" s="42">
        <v>2019</v>
      </c>
      <c r="Z3" s="42" t="s">
        <v>457</v>
      </c>
      <c r="AA3" s="42" t="s">
        <v>463</v>
      </c>
      <c r="AB3" s="42" t="s">
        <v>464</v>
      </c>
      <c r="AC3" s="42" t="s">
        <v>465</v>
      </c>
    </row>
    <row r="4" spans="2:30" ht="12.75">
      <c r="B4" s="41" t="s">
        <v>111</v>
      </c>
      <c r="C4" s="40">
        <v>35795</v>
      </c>
      <c r="D4" s="40">
        <v>36160</v>
      </c>
      <c r="E4" s="40">
        <v>36525</v>
      </c>
      <c r="F4" s="40">
        <v>36891</v>
      </c>
      <c r="G4" s="40">
        <v>37256</v>
      </c>
      <c r="H4" s="40">
        <v>37621</v>
      </c>
      <c r="I4" s="40">
        <v>37986</v>
      </c>
      <c r="J4" s="40">
        <v>38352</v>
      </c>
      <c r="K4" s="40">
        <v>38717</v>
      </c>
      <c r="L4" s="40">
        <v>39082</v>
      </c>
      <c r="M4" s="40">
        <v>39447</v>
      </c>
      <c r="N4" s="40">
        <v>39813</v>
      </c>
      <c r="O4" s="37">
        <v>40178</v>
      </c>
      <c r="P4" s="37">
        <v>40543</v>
      </c>
      <c r="Q4" s="37">
        <v>40908</v>
      </c>
      <c r="R4" s="37">
        <v>41274</v>
      </c>
      <c r="S4" s="37">
        <v>41639</v>
      </c>
      <c r="T4" s="37">
        <v>42004</v>
      </c>
      <c r="U4" s="37">
        <v>42369</v>
      </c>
      <c r="V4" s="37">
        <v>42735</v>
      </c>
      <c r="W4" s="37">
        <v>43100</v>
      </c>
      <c r="X4" s="37">
        <v>43465</v>
      </c>
      <c r="Y4" s="37">
        <v>43830</v>
      </c>
      <c r="Z4" s="37">
        <v>44196</v>
      </c>
      <c r="AA4" s="37">
        <v>44561</v>
      </c>
      <c r="AB4" s="37">
        <v>44926</v>
      </c>
      <c r="AC4" s="37">
        <v>45291</v>
      </c>
    </row>
    <row r="5" spans="2:30" s="14" customFormat="1">
      <c r="B5" s="13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2:30" s="14" customFormat="1">
      <c r="B6" s="15" t="s">
        <v>94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2:30" s="14" customFormat="1">
      <c r="B7" s="87" t="s">
        <v>288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2:30" s="14" customFormat="1">
      <c r="B8" s="87"/>
      <c r="C8" s="13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2:30" s="14" customFormat="1">
      <c r="B9" s="74" t="s">
        <v>511</v>
      </c>
      <c r="C9" s="13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7">
        <f t="shared" ref="R9:AC9" si="0">+SUM(R11,R13,R15,R17,R19,R21,R23,R25,R27)</f>
        <v>428</v>
      </c>
      <c r="S9" s="7">
        <f t="shared" si="0"/>
        <v>465</v>
      </c>
      <c r="T9" s="7">
        <f t="shared" si="0"/>
        <v>490</v>
      </c>
      <c r="U9" s="7">
        <f t="shared" si="0"/>
        <v>533</v>
      </c>
      <c r="V9" s="7">
        <f t="shared" si="0"/>
        <v>557</v>
      </c>
      <c r="W9" s="7">
        <f t="shared" si="0"/>
        <v>562</v>
      </c>
      <c r="X9" s="7">
        <f t="shared" si="0"/>
        <v>598</v>
      </c>
      <c r="Y9" s="7">
        <f t="shared" si="0"/>
        <v>562</v>
      </c>
      <c r="Z9" s="7">
        <f t="shared" si="0"/>
        <v>129</v>
      </c>
      <c r="AA9" s="7">
        <f t="shared" si="0"/>
        <v>207</v>
      </c>
      <c r="AB9" s="7">
        <f t="shared" si="0"/>
        <v>293</v>
      </c>
      <c r="AC9" s="7">
        <f t="shared" si="0"/>
        <v>475</v>
      </c>
    </row>
    <row r="10" spans="2:30" s="83" customFormat="1">
      <c r="B10" s="86" t="s">
        <v>523</v>
      </c>
      <c r="C10" s="91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84">
        <f t="shared" ref="R10:AC10" si="1">R9/11.5</f>
        <v>37.217391304347828</v>
      </c>
      <c r="S10" s="84">
        <f t="shared" si="1"/>
        <v>40.434782608695649</v>
      </c>
      <c r="T10" s="84">
        <f t="shared" si="1"/>
        <v>42.608695652173914</v>
      </c>
      <c r="U10" s="84">
        <f t="shared" si="1"/>
        <v>46.347826086956523</v>
      </c>
      <c r="V10" s="84">
        <f t="shared" si="1"/>
        <v>48.434782608695649</v>
      </c>
      <c r="W10" s="84">
        <f t="shared" si="1"/>
        <v>48.869565217391305</v>
      </c>
      <c r="X10" s="84">
        <f t="shared" si="1"/>
        <v>52</v>
      </c>
      <c r="Y10" s="84">
        <f t="shared" si="1"/>
        <v>48.869565217391305</v>
      </c>
      <c r="Z10" s="84">
        <f t="shared" si="1"/>
        <v>11.217391304347826</v>
      </c>
      <c r="AA10" s="84">
        <f t="shared" si="1"/>
        <v>18</v>
      </c>
      <c r="AB10" s="84">
        <f t="shared" si="1"/>
        <v>25.478260869565219</v>
      </c>
      <c r="AC10" s="84">
        <f t="shared" si="1"/>
        <v>41.304347826086953</v>
      </c>
      <c r="AD10" s="90"/>
    </row>
    <row r="11" spans="2:30" s="14" customFormat="1" outlineLevel="1">
      <c r="B11" s="9" t="s">
        <v>475</v>
      </c>
      <c r="C11" s="9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>
        <v>10</v>
      </c>
      <c r="S11" s="28">
        <v>13</v>
      </c>
      <c r="T11" s="28">
        <v>10</v>
      </c>
      <c r="U11" s="28">
        <v>8</v>
      </c>
      <c r="V11" s="28">
        <v>7</v>
      </c>
      <c r="W11" s="28">
        <v>3</v>
      </c>
      <c r="X11" s="28">
        <v>1</v>
      </c>
      <c r="Y11" s="28">
        <v>2</v>
      </c>
      <c r="Z11" s="28">
        <v>0</v>
      </c>
      <c r="AA11" s="28">
        <v>0</v>
      </c>
      <c r="AB11" s="28">
        <v>0</v>
      </c>
      <c r="AC11" s="28">
        <v>0</v>
      </c>
    </row>
    <row r="12" spans="2:30" s="14" customFormat="1" outlineLevel="1">
      <c r="B12" s="60" t="s">
        <v>483</v>
      </c>
      <c r="C12" s="82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81">
        <f t="shared" ref="R12:AC12" si="2">+R11*R$30</f>
        <v>3</v>
      </c>
      <c r="S12" s="81">
        <f t="shared" si="2"/>
        <v>3.9</v>
      </c>
      <c r="T12" s="81">
        <f t="shared" si="2"/>
        <v>3</v>
      </c>
      <c r="U12" s="81">
        <f t="shared" si="2"/>
        <v>2.4</v>
      </c>
      <c r="V12" s="81">
        <f t="shared" si="2"/>
        <v>2.1</v>
      </c>
      <c r="W12" s="81">
        <f t="shared" si="2"/>
        <v>0.89999999999999991</v>
      </c>
      <c r="X12" s="81">
        <f t="shared" si="2"/>
        <v>0.3</v>
      </c>
      <c r="Y12" s="81">
        <f t="shared" si="2"/>
        <v>0.6</v>
      </c>
      <c r="Z12" s="81">
        <f t="shared" si="2"/>
        <v>0</v>
      </c>
      <c r="AA12" s="81">
        <f t="shared" si="2"/>
        <v>0</v>
      </c>
      <c r="AB12" s="81">
        <f t="shared" si="2"/>
        <v>0</v>
      </c>
      <c r="AC12" s="81">
        <f t="shared" si="2"/>
        <v>0</v>
      </c>
    </row>
    <row r="13" spans="2:30" s="14" customFormat="1" outlineLevel="1">
      <c r="B13" s="9" t="s">
        <v>476</v>
      </c>
      <c r="C13" s="9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>
        <v>358</v>
      </c>
      <c r="S13" s="28">
        <v>377</v>
      </c>
      <c r="T13" s="28">
        <v>405</v>
      </c>
      <c r="U13" s="28">
        <v>420</v>
      </c>
      <c r="V13" s="28">
        <v>422</v>
      </c>
      <c r="W13" s="28">
        <v>384</v>
      </c>
      <c r="X13" s="28">
        <v>199</v>
      </c>
      <c r="Y13" s="28">
        <v>12</v>
      </c>
      <c r="Z13" s="28">
        <v>0</v>
      </c>
      <c r="AA13" s="28">
        <v>0</v>
      </c>
      <c r="AB13" s="28">
        <v>0</v>
      </c>
      <c r="AC13" s="28">
        <v>0</v>
      </c>
    </row>
    <row r="14" spans="2:30" s="14" customFormat="1" outlineLevel="1">
      <c r="B14" s="60" t="s">
        <v>483</v>
      </c>
      <c r="C14" s="82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81">
        <f t="shared" ref="R14:AC14" si="3">+R13*R$30</f>
        <v>107.39999999999999</v>
      </c>
      <c r="S14" s="81">
        <f t="shared" si="3"/>
        <v>113.1</v>
      </c>
      <c r="T14" s="81">
        <f t="shared" si="3"/>
        <v>121.5</v>
      </c>
      <c r="U14" s="81">
        <f t="shared" si="3"/>
        <v>126</v>
      </c>
      <c r="V14" s="81">
        <f t="shared" si="3"/>
        <v>126.6</v>
      </c>
      <c r="W14" s="81">
        <f t="shared" si="3"/>
        <v>115.19999999999999</v>
      </c>
      <c r="X14" s="81">
        <f t="shared" si="3"/>
        <v>59.699999999999996</v>
      </c>
      <c r="Y14" s="81">
        <f t="shared" si="3"/>
        <v>3.5999999999999996</v>
      </c>
      <c r="Z14" s="81">
        <f t="shared" si="3"/>
        <v>0</v>
      </c>
      <c r="AA14" s="81">
        <f t="shared" si="3"/>
        <v>0</v>
      </c>
      <c r="AB14" s="81">
        <f t="shared" si="3"/>
        <v>0</v>
      </c>
      <c r="AC14" s="81">
        <f t="shared" si="3"/>
        <v>0</v>
      </c>
    </row>
    <row r="15" spans="2:30" s="14" customFormat="1" outlineLevel="1">
      <c r="B15" s="9" t="s">
        <v>477</v>
      </c>
      <c r="C15" s="9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>
        <v>56</v>
      </c>
      <c r="S15" s="28">
        <v>69</v>
      </c>
      <c r="T15" s="28">
        <v>72</v>
      </c>
      <c r="U15" s="28">
        <v>63</v>
      </c>
      <c r="V15" s="28">
        <v>44</v>
      </c>
      <c r="W15" s="28">
        <v>35</v>
      </c>
      <c r="X15" s="28">
        <v>26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</row>
    <row r="16" spans="2:30" s="14" customFormat="1" outlineLevel="1">
      <c r="B16" s="60" t="s">
        <v>483</v>
      </c>
      <c r="C16" s="82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81">
        <f t="shared" ref="R16:AC16" si="4">+R15*R$30</f>
        <v>16.8</v>
      </c>
      <c r="S16" s="81">
        <f t="shared" si="4"/>
        <v>20.7</v>
      </c>
      <c r="T16" s="81">
        <f t="shared" si="4"/>
        <v>21.599999999999998</v>
      </c>
      <c r="U16" s="81">
        <f t="shared" si="4"/>
        <v>18.899999999999999</v>
      </c>
      <c r="V16" s="81">
        <f t="shared" si="4"/>
        <v>13.2</v>
      </c>
      <c r="W16" s="81">
        <f t="shared" si="4"/>
        <v>10.5</v>
      </c>
      <c r="X16" s="81">
        <f t="shared" si="4"/>
        <v>7.8</v>
      </c>
      <c r="Y16" s="81">
        <f t="shared" si="4"/>
        <v>0</v>
      </c>
      <c r="Z16" s="81">
        <f t="shared" si="4"/>
        <v>0</v>
      </c>
      <c r="AA16" s="81">
        <f t="shared" si="4"/>
        <v>0</v>
      </c>
      <c r="AB16" s="81">
        <f t="shared" si="4"/>
        <v>0</v>
      </c>
      <c r="AC16" s="81">
        <f t="shared" si="4"/>
        <v>0</v>
      </c>
    </row>
    <row r="17" spans="1:29" s="14" customFormat="1" outlineLevel="1">
      <c r="B17" s="9" t="s">
        <v>478</v>
      </c>
      <c r="C17" s="9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3</v>
      </c>
      <c r="X17" s="28">
        <v>6</v>
      </c>
      <c r="Y17" s="28">
        <v>1</v>
      </c>
      <c r="Z17" s="28">
        <v>2</v>
      </c>
      <c r="AA17" s="28">
        <v>2</v>
      </c>
      <c r="AB17" s="28">
        <v>1</v>
      </c>
      <c r="AC17" s="28">
        <v>2</v>
      </c>
    </row>
    <row r="18" spans="1:29" s="14" customFormat="1" outlineLevel="1">
      <c r="B18" s="60" t="s">
        <v>483</v>
      </c>
      <c r="C18" s="82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81">
        <f t="shared" ref="R18:AC18" si="5">+R17*R$31</f>
        <v>0</v>
      </c>
      <c r="S18" s="81">
        <f t="shared" si="5"/>
        <v>0</v>
      </c>
      <c r="T18" s="81">
        <f t="shared" si="5"/>
        <v>0</v>
      </c>
      <c r="U18" s="81">
        <f t="shared" si="5"/>
        <v>0</v>
      </c>
      <c r="V18" s="81">
        <f t="shared" si="5"/>
        <v>0</v>
      </c>
      <c r="W18" s="81">
        <f t="shared" si="5"/>
        <v>1.32</v>
      </c>
      <c r="X18" s="81">
        <f t="shared" si="5"/>
        <v>2.4000000000000004</v>
      </c>
      <c r="Y18" s="81">
        <f t="shared" si="5"/>
        <v>0.4</v>
      </c>
      <c r="Z18" s="81">
        <f t="shared" si="5"/>
        <v>0.8</v>
      </c>
      <c r="AA18" s="81">
        <f t="shared" si="5"/>
        <v>0.8</v>
      </c>
      <c r="AB18" s="81">
        <f t="shared" si="5"/>
        <v>0.4</v>
      </c>
      <c r="AC18" s="81">
        <f t="shared" si="5"/>
        <v>0.8</v>
      </c>
    </row>
    <row r="19" spans="1:29" s="14" customFormat="1" outlineLevel="1">
      <c r="B19" s="9" t="s">
        <v>479</v>
      </c>
      <c r="C19" s="9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>
        <v>0</v>
      </c>
      <c r="S19" s="28">
        <v>0</v>
      </c>
      <c r="T19" s="28">
        <v>0</v>
      </c>
      <c r="U19" s="28">
        <v>38</v>
      </c>
      <c r="V19" s="28">
        <v>76</v>
      </c>
      <c r="W19" s="28">
        <v>112</v>
      </c>
      <c r="X19" s="28">
        <v>299</v>
      </c>
      <c r="Y19" s="28">
        <v>458</v>
      </c>
      <c r="Z19" s="28">
        <v>113</v>
      </c>
      <c r="AA19" s="28">
        <v>150</v>
      </c>
      <c r="AB19" s="28">
        <v>200</v>
      </c>
      <c r="AC19" s="28">
        <v>334</v>
      </c>
    </row>
    <row r="20" spans="1:29" s="14" customFormat="1" outlineLevel="1">
      <c r="B20" s="60" t="s">
        <v>483</v>
      </c>
      <c r="C20" s="82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81">
        <f t="shared" ref="R20:AC20" si="6">+R19*R$31</f>
        <v>0</v>
      </c>
      <c r="S20" s="81">
        <f t="shared" si="6"/>
        <v>0</v>
      </c>
      <c r="T20" s="81">
        <f t="shared" si="6"/>
        <v>0</v>
      </c>
      <c r="U20" s="81">
        <f t="shared" si="6"/>
        <v>16.72</v>
      </c>
      <c r="V20" s="81">
        <f t="shared" si="6"/>
        <v>33.44</v>
      </c>
      <c r="W20" s="81">
        <f t="shared" si="6"/>
        <v>49.28</v>
      </c>
      <c r="X20" s="81">
        <f t="shared" si="6"/>
        <v>119.60000000000001</v>
      </c>
      <c r="Y20" s="81">
        <f t="shared" si="6"/>
        <v>183.20000000000002</v>
      </c>
      <c r="Z20" s="81">
        <f t="shared" si="6"/>
        <v>45.2</v>
      </c>
      <c r="AA20" s="81">
        <f t="shared" si="6"/>
        <v>60</v>
      </c>
      <c r="AB20" s="81">
        <f t="shared" si="6"/>
        <v>80</v>
      </c>
      <c r="AC20" s="81">
        <f t="shared" si="6"/>
        <v>133.6</v>
      </c>
    </row>
    <row r="21" spans="1:29" s="14" customFormat="1" outlineLevel="1">
      <c r="B21" s="9" t="s">
        <v>480</v>
      </c>
      <c r="C21" s="9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>
        <v>0</v>
      </c>
      <c r="S21" s="28">
        <v>0</v>
      </c>
      <c r="T21" s="28">
        <v>0</v>
      </c>
      <c r="U21" s="28">
        <v>0</v>
      </c>
      <c r="V21" s="28">
        <v>8</v>
      </c>
      <c r="W21" s="28">
        <v>16</v>
      </c>
      <c r="X21" s="28">
        <v>28</v>
      </c>
      <c r="Y21" s="28">
        <v>44</v>
      </c>
      <c r="Z21" s="28">
        <v>6</v>
      </c>
      <c r="AA21" s="28">
        <v>20</v>
      </c>
      <c r="AB21" s="28">
        <v>35</v>
      </c>
      <c r="AC21" s="28">
        <v>51</v>
      </c>
    </row>
    <row r="22" spans="1:29" s="14" customFormat="1" outlineLevel="1">
      <c r="B22" s="60" t="s">
        <v>483</v>
      </c>
      <c r="C22" s="82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81">
        <f t="shared" ref="R22:AC22" si="7">+R21*R$31</f>
        <v>0</v>
      </c>
      <c r="S22" s="81">
        <f t="shared" si="7"/>
        <v>0</v>
      </c>
      <c r="T22" s="81">
        <f t="shared" si="7"/>
        <v>0</v>
      </c>
      <c r="U22" s="81">
        <f t="shared" si="7"/>
        <v>0</v>
      </c>
      <c r="V22" s="81">
        <f t="shared" si="7"/>
        <v>3.52</v>
      </c>
      <c r="W22" s="81">
        <f t="shared" si="7"/>
        <v>7.04</v>
      </c>
      <c r="X22" s="81">
        <f t="shared" si="7"/>
        <v>11.200000000000001</v>
      </c>
      <c r="Y22" s="81">
        <f t="shared" si="7"/>
        <v>17.600000000000001</v>
      </c>
      <c r="Z22" s="81">
        <f t="shared" si="7"/>
        <v>2.4000000000000004</v>
      </c>
      <c r="AA22" s="81">
        <f t="shared" si="7"/>
        <v>8</v>
      </c>
      <c r="AB22" s="81">
        <f t="shared" si="7"/>
        <v>14</v>
      </c>
      <c r="AC22" s="81">
        <f t="shared" si="7"/>
        <v>20.400000000000002</v>
      </c>
    </row>
    <row r="23" spans="1:29" s="14" customFormat="1" outlineLevel="1">
      <c r="B23" s="9" t="s">
        <v>481</v>
      </c>
      <c r="C23" s="9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18</v>
      </c>
      <c r="Y23" s="28">
        <v>27</v>
      </c>
      <c r="Z23" s="28">
        <v>3</v>
      </c>
      <c r="AA23" s="28">
        <v>20</v>
      </c>
      <c r="AB23" s="28">
        <v>25</v>
      </c>
      <c r="AC23" s="28">
        <v>51</v>
      </c>
    </row>
    <row r="24" spans="1:29" s="14" customFormat="1" outlineLevel="1">
      <c r="B24" s="60" t="s">
        <v>483</v>
      </c>
      <c r="C24" s="82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81">
        <f t="shared" ref="R24:AC24" si="8">+R23*R$31</f>
        <v>0</v>
      </c>
      <c r="S24" s="81">
        <f t="shared" si="8"/>
        <v>0</v>
      </c>
      <c r="T24" s="81">
        <f t="shared" si="8"/>
        <v>0</v>
      </c>
      <c r="U24" s="81">
        <f t="shared" si="8"/>
        <v>0</v>
      </c>
      <c r="V24" s="81">
        <f t="shared" si="8"/>
        <v>0</v>
      </c>
      <c r="W24" s="81">
        <f t="shared" si="8"/>
        <v>0</v>
      </c>
      <c r="X24" s="81">
        <f t="shared" si="8"/>
        <v>7.2</v>
      </c>
      <c r="Y24" s="81">
        <f t="shared" si="8"/>
        <v>10.8</v>
      </c>
      <c r="Z24" s="81">
        <f t="shared" si="8"/>
        <v>1.2000000000000002</v>
      </c>
      <c r="AA24" s="81">
        <f t="shared" si="8"/>
        <v>8</v>
      </c>
      <c r="AB24" s="81">
        <f t="shared" si="8"/>
        <v>10</v>
      </c>
      <c r="AC24" s="81">
        <f t="shared" si="8"/>
        <v>20.400000000000002</v>
      </c>
    </row>
    <row r="25" spans="1:29" s="14" customFormat="1" outlineLevel="1">
      <c r="B25" s="9" t="s">
        <v>482</v>
      </c>
      <c r="C25" s="9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9</v>
      </c>
      <c r="X25" s="28">
        <v>19</v>
      </c>
      <c r="Y25" s="28">
        <v>15</v>
      </c>
      <c r="Z25" s="28">
        <v>4</v>
      </c>
      <c r="AA25" s="28">
        <v>13</v>
      </c>
      <c r="AB25" s="28">
        <v>30</v>
      </c>
      <c r="AC25" s="28">
        <v>35</v>
      </c>
    </row>
    <row r="26" spans="1:29" s="14" customFormat="1" outlineLevel="1">
      <c r="B26" s="60" t="s">
        <v>483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81">
        <f t="shared" ref="R26:AC26" si="9">+R25*R$31</f>
        <v>0</v>
      </c>
      <c r="S26" s="81">
        <f t="shared" si="9"/>
        <v>0</v>
      </c>
      <c r="T26" s="81">
        <f t="shared" si="9"/>
        <v>0</v>
      </c>
      <c r="U26" s="81">
        <f t="shared" si="9"/>
        <v>0</v>
      </c>
      <c r="V26" s="81">
        <f t="shared" si="9"/>
        <v>0</v>
      </c>
      <c r="W26" s="81">
        <f t="shared" si="9"/>
        <v>3.96</v>
      </c>
      <c r="X26" s="81">
        <f t="shared" si="9"/>
        <v>7.6000000000000005</v>
      </c>
      <c r="Y26" s="81">
        <f t="shared" si="9"/>
        <v>6</v>
      </c>
      <c r="Z26" s="81">
        <f t="shared" si="9"/>
        <v>1.6</v>
      </c>
      <c r="AA26" s="81">
        <f t="shared" si="9"/>
        <v>5.2</v>
      </c>
      <c r="AB26" s="81">
        <f t="shared" si="9"/>
        <v>12</v>
      </c>
      <c r="AC26" s="81">
        <f t="shared" si="9"/>
        <v>14</v>
      </c>
    </row>
    <row r="27" spans="1:29" s="14" customFormat="1" outlineLevel="1">
      <c r="B27" s="9" t="s">
        <v>496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>
        <v>4</v>
      </c>
      <c r="S27" s="28">
        <v>6</v>
      </c>
      <c r="T27" s="28">
        <v>3</v>
      </c>
      <c r="U27" s="28">
        <v>4</v>
      </c>
      <c r="V27" s="28">
        <v>0</v>
      </c>
      <c r="W27" s="28">
        <v>0</v>
      </c>
      <c r="X27" s="28">
        <v>2</v>
      </c>
      <c r="Y27" s="28">
        <v>3</v>
      </c>
      <c r="Z27" s="28">
        <v>1</v>
      </c>
      <c r="AA27" s="28">
        <v>2</v>
      </c>
      <c r="AB27" s="28">
        <v>2</v>
      </c>
      <c r="AC27" s="28">
        <v>2</v>
      </c>
    </row>
    <row r="28" spans="1:29" s="14" customFormat="1" outlineLevel="1">
      <c r="B28" s="60" t="s">
        <v>483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81">
        <f t="shared" ref="R28:AC28" si="10">+R27*(AVERAGE(R30:R31))</f>
        <v>1.48</v>
      </c>
      <c r="S28" s="81">
        <f t="shared" si="10"/>
        <v>2.2199999999999998</v>
      </c>
      <c r="T28" s="81">
        <f t="shared" si="10"/>
        <v>1.1099999999999999</v>
      </c>
      <c r="U28" s="81">
        <f t="shared" si="10"/>
        <v>1.48</v>
      </c>
      <c r="V28" s="81">
        <f t="shared" si="10"/>
        <v>0</v>
      </c>
      <c r="W28" s="81">
        <f t="shared" si="10"/>
        <v>0</v>
      </c>
      <c r="X28" s="81">
        <f t="shared" si="10"/>
        <v>0.7</v>
      </c>
      <c r="Y28" s="81">
        <f t="shared" si="10"/>
        <v>1.0499999999999998</v>
      </c>
      <c r="Z28" s="81">
        <f t="shared" si="10"/>
        <v>0.35</v>
      </c>
      <c r="AA28" s="81">
        <f t="shared" si="10"/>
        <v>0.7</v>
      </c>
      <c r="AB28" s="81">
        <f t="shared" si="10"/>
        <v>0.7</v>
      </c>
      <c r="AC28" s="81">
        <f t="shared" si="10"/>
        <v>0.7</v>
      </c>
    </row>
    <row r="29" spans="1:29" s="14" customFormat="1">
      <c r="A29" s="70"/>
      <c r="B29" s="73" t="s">
        <v>484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72">
        <f t="shared" ref="R29:AC29" si="11">+SUM(R12,R14,R16,R18,R20,R22,R24,R26,R28)</f>
        <v>128.67999999999998</v>
      </c>
      <c r="S29" s="72">
        <f t="shared" si="11"/>
        <v>139.91999999999999</v>
      </c>
      <c r="T29" s="72">
        <f t="shared" si="11"/>
        <v>147.21</v>
      </c>
      <c r="U29" s="72">
        <f t="shared" si="11"/>
        <v>165.5</v>
      </c>
      <c r="V29" s="72">
        <f t="shared" si="11"/>
        <v>178.85999999999999</v>
      </c>
      <c r="W29" s="72">
        <f t="shared" si="11"/>
        <v>188.2</v>
      </c>
      <c r="X29" s="72">
        <f t="shared" si="11"/>
        <v>216.49999999999997</v>
      </c>
      <c r="Y29" s="72">
        <f t="shared" si="11"/>
        <v>223.25000000000003</v>
      </c>
      <c r="Z29" s="72">
        <f t="shared" si="11"/>
        <v>51.550000000000004</v>
      </c>
      <c r="AA29" s="72">
        <f t="shared" si="11"/>
        <v>82.7</v>
      </c>
      <c r="AB29" s="72">
        <f t="shared" si="11"/>
        <v>117.10000000000001</v>
      </c>
      <c r="AC29" s="72">
        <f t="shared" si="11"/>
        <v>189.9</v>
      </c>
    </row>
    <row r="30" spans="1:29" s="14" customFormat="1">
      <c r="B30" s="60" t="s">
        <v>497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71">
        <v>0.3</v>
      </c>
      <c r="S30" s="71">
        <v>0.3</v>
      </c>
      <c r="T30" s="71">
        <v>0.3</v>
      </c>
      <c r="U30" s="71">
        <v>0.3</v>
      </c>
      <c r="V30" s="71">
        <v>0.3</v>
      </c>
      <c r="W30" s="71">
        <v>0.3</v>
      </c>
      <c r="X30" s="71">
        <v>0.3</v>
      </c>
      <c r="Y30" s="71">
        <v>0.3</v>
      </c>
      <c r="Z30" s="71">
        <v>0.3</v>
      </c>
      <c r="AA30" s="71">
        <v>0.3</v>
      </c>
      <c r="AB30" s="71">
        <v>0.3</v>
      </c>
      <c r="AC30" s="71">
        <v>0.3</v>
      </c>
    </row>
    <row r="31" spans="1:29" s="14" customFormat="1">
      <c r="B31" s="60" t="s">
        <v>498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71">
        <v>0.44</v>
      </c>
      <c r="S31" s="71">
        <v>0.44</v>
      </c>
      <c r="T31" s="71">
        <v>0.44</v>
      </c>
      <c r="U31" s="71">
        <v>0.44</v>
      </c>
      <c r="V31" s="71">
        <v>0.44</v>
      </c>
      <c r="W31" s="71">
        <v>0.44</v>
      </c>
      <c r="X31" s="71">
        <v>0.4</v>
      </c>
      <c r="Y31" s="71">
        <v>0.4</v>
      </c>
      <c r="Z31" s="71">
        <v>0.4</v>
      </c>
      <c r="AA31" s="71">
        <v>0.4</v>
      </c>
      <c r="AB31" s="71">
        <v>0.4</v>
      </c>
      <c r="AC31" s="71">
        <v>0.4</v>
      </c>
    </row>
    <row r="32" spans="1:29" s="17" customFormat="1">
      <c r="B32" s="80" t="s">
        <v>509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79">
        <f t="shared" ref="R32:AC32" si="12">+(R25+R23+R21+R19+R17)/R9</f>
        <v>0</v>
      </c>
      <c r="S32" s="79">
        <f t="shared" si="12"/>
        <v>0</v>
      </c>
      <c r="T32" s="79">
        <f t="shared" si="12"/>
        <v>0</v>
      </c>
      <c r="U32" s="79">
        <f t="shared" si="12"/>
        <v>7.1294559099437146E-2</v>
      </c>
      <c r="V32" s="79">
        <f t="shared" si="12"/>
        <v>0.15080789946140036</v>
      </c>
      <c r="W32" s="79">
        <f t="shared" si="12"/>
        <v>0.24911032028469751</v>
      </c>
      <c r="X32" s="79">
        <f t="shared" si="12"/>
        <v>0.61872909698996659</v>
      </c>
      <c r="Y32" s="79">
        <f t="shared" si="12"/>
        <v>0.96975088967971534</v>
      </c>
      <c r="Z32" s="79">
        <f t="shared" si="12"/>
        <v>0.99224806201550386</v>
      </c>
      <c r="AA32" s="79">
        <f t="shared" si="12"/>
        <v>0.99033816425120769</v>
      </c>
      <c r="AB32" s="79">
        <f t="shared" si="12"/>
        <v>0.99317406143344711</v>
      </c>
      <c r="AC32" s="79">
        <f t="shared" si="12"/>
        <v>0.99578947368421056</v>
      </c>
    </row>
    <row r="33" spans="1:29" s="14" customFormat="1">
      <c r="B33" s="60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s="14" customFormat="1">
      <c r="B34" s="74" t="s">
        <v>512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>
        <v>28</v>
      </c>
      <c r="S34" s="28">
        <v>22</v>
      </c>
      <c r="T34" s="28">
        <v>19</v>
      </c>
      <c r="U34" s="28">
        <v>14</v>
      </c>
      <c r="V34" s="28">
        <v>12</v>
      </c>
      <c r="W34" s="28">
        <v>10</v>
      </c>
      <c r="X34" s="28">
        <v>6</v>
      </c>
      <c r="Y34" s="28">
        <v>7</v>
      </c>
      <c r="Z34" s="28">
        <v>5</v>
      </c>
      <c r="AA34" s="28">
        <v>4</v>
      </c>
      <c r="AB34" s="28">
        <v>3</v>
      </c>
      <c r="AC34" s="28">
        <v>1</v>
      </c>
    </row>
    <row r="35" spans="1:29" s="14" customFormat="1">
      <c r="A35" s="70"/>
      <c r="B35" s="73" t="s">
        <v>508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72">
        <f t="shared" ref="R35:AC35" si="13">+R34*R36</f>
        <v>47.6</v>
      </c>
      <c r="S35" s="72">
        <f t="shared" si="13"/>
        <v>37.4</v>
      </c>
      <c r="T35" s="72">
        <f t="shared" si="13"/>
        <v>32.299999999999997</v>
      </c>
      <c r="U35" s="72">
        <f t="shared" si="13"/>
        <v>23.8</v>
      </c>
      <c r="V35" s="72">
        <f t="shared" si="13"/>
        <v>20.399999999999999</v>
      </c>
      <c r="W35" s="72">
        <f t="shared" si="13"/>
        <v>17</v>
      </c>
      <c r="X35" s="72">
        <f t="shared" si="13"/>
        <v>10.199999999999999</v>
      </c>
      <c r="Y35" s="72">
        <f t="shared" si="13"/>
        <v>11.9</v>
      </c>
      <c r="Z35" s="72">
        <f t="shared" si="13"/>
        <v>8.5</v>
      </c>
      <c r="AA35" s="72">
        <f t="shared" si="13"/>
        <v>6.8</v>
      </c>
      <c r="AB35" s="72">
        <f t="shared" si="13"/>
        <v>5.0999999999999996</v>
      </c>
      <c r="AC35" s="72">
        <f t="shared" si="13"/>
        <v>1.7</v>
      </c>
    </row>
    <row r="36" spans="1:29" s="14" customFormat="1">
      <c r="B36" s="60" t="s">
        <v>483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71">
        <v>1.7</v>
      </c>
      <c r="S36" s="71">
        <v>1.7</v>
      </c>
      <c r="T36" s="71">
        <v>1.7</v>
      </c>
      <c r="U36" s="71">
        <v>1.7</v>
      </c>
      <c r="V36" s="71">
        <v>1.7</v>
      </c>
      <c r="W36" s="71">
        <v>1.7</v>
      </c>
      <c r="X36" s="71">
        <v>1.7</v>
      </c>
      <c r="Y36" s="71">
        <v>1.7</v>
      </c>
      <c r="Z36" s="71">
        <v>1.7</v>
      </c>
      <c r="AA36" s="71">
        <v>1.7</v>
      </c>
      <c r="AB36" s="71">
        <v>1.7</v>
      </c>
      <c r="AC36" s="71">
        <v>1.7</v>
      </c>
    </row>
    <row r="37" spans="1:29" s="14" customFormat="1">
      <c r="B37" s="60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s="14" customFormat="1">
      <c r="B38" s="74" t="s">
        <v>513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>
        <v>24</v>
      </c>
      <c r="S38" s="28">
        <v>14</v>
      </c>
      <c r="T38" s="28">
        <v>11</v>
      </c>
      <c r="U38" s="28">
        <v>15</v>
      </c>
      <c r="V38" s="28">
        <v>12</v>
      </c>
      <c r="W38" s="28">
        <v>19</v>
      </c>
      <c r="X38" s="28">
        <v>37</v>
      </c>
      <c r="Y38" s="28">
        <v>43</v>
      </c>
      <c r="Z38" s="28">
        <v>24</v>
      </c>
      <c r="AA38" s="28">
        <v>23</v>
      </c>
      <c r="AB38" s="28">
        <v>19</v>
      </c>
      <c r="AC38" s="28">
        <v>17</v>
      </c>
    </row>
    <row r="39" spans="1:29" s="14" customFormat="1">
      <c r="A39" s="70"/>
      <c r="B39" s="73" t="s">
        <v>485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72">
        <f t="shared" ref="R39:AC39" si="14">+R38*R$40</f>
        <v>7.1999999999999993</v>
      </c>
      <c r="S39" s="72">
        <f t="shared" si="14"/>
        <v>4.2</v>
      </c>
      <c r="T39" s="72">
        <f t="shared" si="14"/>
        <v>3.3</v>
      </c>
      <c r="U39" s="72">
        <f t="shared" si="14"/>
        <v>4.5</v>
      </c>
      <c r="V39" s="72">
        <f t="shared" si="14"/>
        <v>3.5999999999999996</v>
      </c>
      <c r="W39" s="72">
        <f t="shared" si="14"/>
        <v>5.7</v>
      </c>
      <c r="X39" s="72">
        <f t="shared" si="14"/>
        <v>11.1</v>
      </c>
      <c r="Y39" s="72">
        <f t="shared" si="14"/>
        <v>12.9</v>
      </c>
      <c r="Z39" s="72">
        <f t="shared" si="14"/>
        <v>7.1999999999999993</v>
      </c>
      <c r="AA39" s="72">
        <f t="shared" si="14"/>
        <v>6.8999999999999995</v>
      </c>
      <c r="AB39" s="72">
        <f t="shared" si="14"/>
        <v>5.7</v>
      </c>
      <c r="AC39" s="72">
        <f t="shared" si="14"/>
        <v>5.0999999999999996</v>
      </c>
    </row>
    <row r="40" spans="1:29" s="14" customFormat="1">
      <c r="B40" s="60" t="s">
        <v>483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71">
        <v>0.3</v>
      </c>
      <c r="S40" s="71">
        <v>0.3</v>
      </c>
      <c r="T40" s="71">
        <v>0.3</v>
      </c>
      <c r="U40" s="71">
        <v>0.3</v>
      </c>
      <c r="V40" s="71">
        <v>0.3</v>
      </c>
      <c r="W40" s="71">
        <v>0.3</v>
      </c>
      <c r="X40" s="71">
        <v>0.3</v>
      </c>
      <c r="Y40" s="71">
        <v>0.3</v>
      </c>
      <c r="Z40" s="71">
        <v>0.3</v>
      </c>
      <c r="AA40" s="71">
        <v>0.3</v>
      </c>
      <c r="AB40" s="71">
        <v>0.3</v>
      </c>
      <c r="AC40" s="71">
        <v>0.3</v>
      </c>
    </row>
    <row r="41" spans="1:29" s="14" customFormat="1">
      <c r="B41" s="60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</row>
    <row r="42" spans="1:29" s="14" customFormat="1">
      <c r="B42" s="74" t="s">
        <v>514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>
        <f t="shared" ref="R42:AC42" si="15">+SUM(R44,R46,R48,R50,R52)</f>
        <v>92</v>
      </c>
      <c r="S42" s="28">
        <f t="shared" si="15"/>
        <v>99</v>
      </c>
      <c r="T42" s="28">
        <f t="shared" si="15"/>
        <v>98</v>
      </c>
      <c r="U42" s="28">
        <f t="shared" si="15"/>
        <v>98</v>
      </c>
      <c r="V42" s="28">
        <f t="shared" si="15"/>
        <v>79</v>
      </c>
      <c r="W42" s="28">
        <f t="shared" si="15"/>
        <v>48</v>
      </c>
      <c r="X42" s="28">
        <f t="shared" si="15"/>
        <v>47</v>
      </c>
      <c r="Y42" s="28">
        <f t="shared" si="15"/>
        <v>51</v>
      </c>
      <c r="Z42" s="28">
        <f t="shared" si="15"/>
        <v>26</v>
      </c>
      <c r="AA42" s="28">
        <f t="shared" si="15"/>
        <v>36</v>
      </c>
      <c r="AB42" s="28">
        <f t="shared" si="15"/>
        <v>48</v>
      </c>
      <c r="AC42" s="28">
        <f t="shared" si="15"/>
        <v>52</v>
      </c>
    </row>
    <row r="43" spans="1:29" s="75" customFormat="1">
      <c r="B43" s="78" t="s">
        <v>524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6">
        <f t="shared" ref="R43:AC43" si="16">R42/11.5</f>
        <v>8</v>
      </c>
      <c r="S43" s="76">
        <f t="shared" si="16"/>
        <v>8.6086956521739122</v>
      </c>
      <c r="T43" s="76">
        <f t="shared" si="16"/>
        <v>8.5217391304347831</v>
      </c>
      <c r="U43" s="76">
        <f t="shared" si="16"/>
        <v>8.5217391304347831</v>
      </c>
      <c r="V43" s="76">
        <f t="shared" si="16"/>
        <v>6.8695652173913047</v>
      </c>
      <c r="W43" s="76">
        <f t="shared" si="16"/>
        <v>4.1739130434782608</v>
      </c>
      <c r="X43" s="76">
        <f t="shared" si="16"/>
        <v>4.0869565217391308</v>
      </c>
      <c r="Y43" s="76">
        <f t="shared" si="16"/>
        <v>4.4347826086956523</v>
      </c>
      <c r="Z43" s="76">
        <f t="shared" si="16"/>
        <v>2.2608695652173911</v>
      </c>
      <c r="AA43" s="76">
        <f t="shared" si="16"/>
        <v>3.1304347826086958</v>
      </c>
      <c r="AB43" s="76">
        <f t="shared" si="16"/>
        <v>4.1739130434782608</v>
      </c>
      <c r="AC43" s="76">
        <f t="shared" si="16"/>
        <v>4.5217391304347823</v>
      </c>
    </row>
    <row r="44" spans="1:29" s="14" customFormat="1" hidden="1" outlineLevel="1">
      <c r="B44" s="9" t="s">
        <v>486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>
        <v>5</v>
      </c>
      <c r="S44" s="28">
        <v>4</v>
      </c>
      <c r="T44" s="28">
        <v>2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</row>
    <row r="45" spans="1:29" s="14" customFormat="1" hidden="1" outlineLevel="1">
      <c r="B45" s="60" t="s">
        <v>483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81">
        <f t="shared" ref="R45:AC45" si="17">+R44*R$55</f>
        <v>4.9000000000000004</v>
      </c>
      <c r="S45" s="81">
        <f t="shared" si="17"/>
        <v>3.92</v>
      </c>
      <c r="T45" s="81">
        <f t="shared" si="17"/>
        <v>1.96</v>
      </c>
      <c r="U45" s="81">
        <f t="shared" si="17"/>
        <v>0</v>
      </c>
      <c r="V45" s="81">
        <f t="shared" si="17"/>
        <v>0</v>
      </c>
      <c r="W45" s="81">
        <f t="shared" si="17"/>
        <v>0</v>
      </c>
      <c r="X45" s="81">
        <f t="shared" si="17"/>
        <v>0</v>
      </c>
      <c r="Y45" s="81">
        <f t="shared" si="17"/>
        <v>0</v>
      </c>
      <c r="Z45" s="81">
        <f t="shared" si="17"/>
        <v>0</v>
      </c>
      <c r="AA45" s="81">
        <f t="shared" si="17"/>
        <v>0</v>
      </c>
      <c r="AB45" s="81">
        <f t="shared" si="17"/>
        <v>0</v>
      </c>
      <c r="AC45" s="81">
        <f t="shared" si="17"/>
        <v>0</v>
      </c>
    </row>
    <row r="46" spans="1:29" s="14" customFormat="1" hidden="1" outlineLevel="1">
      <c r="B46" s="9" t="s">
        <v>487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>
        <v>70</v>
      </c>
      <c r="S46" s="28">
        <v>81</v>
      </c>
      <c r="T46" s="28">
        <v>80</v>
      </c>
      <c r="U46" s="28">
        <v>84</v>
      </c>
      <c r="V46" s="28">
        <v>70</v>
      </c>
      <c r="W46" s="28">
        <v>39</v>
      </c>
      <c r="X46" s="28">
        <v>23</v>
      </c>
      <c r="Y46" s="28">
        <v>17</v>
      </c>
      <c r="Z46" s="28">
        <v>4</v>
      </c>
      <c r="AA46" s="28">
        <v>5</v>
      </c>
      <c r="AB46" s="28">
        <v>0</v>
      </c>
      <c r="AC46" s="28">
        <v>0</v>
      </c>
    </row>
    <row r="47" spans="1:29" s="14" customFormat="1" hidden="1" outlineLevel="1">
      <c r="B47" s="60" t="s">
        <v>483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81">
        <f t="shared" ref="R47:AC47" si="18">+R46*R$55</f>
        <v>68.599999999999994</v>
      </c>
      <c r="S47" s="81">
        <f t="shared" si="18"/>
        <v>79.38</v>
      </c>
      <c r="T47" s="81">
        <f t="shared" si="18"/>
        <v>78.400000000000006</v>
      </c>
      <c r="U47" s="81">
        <f t="shared" si="18"/>
        <v>82.32</v>
      </c>
      <c r="V47" s="81">
        <f t="shared" si="18"/>
        <v>68.599999999999994</v>
      </c>
      <c r="W47" s="81">
        <f t="shared" si="18"/>
        <v>38.22</v>
      </c>
      <c r="X47" s="81">
        <f t="shared" si="18"/>
        <v>22.54</v>
      </c>
      <c r="Y47" s="81">
        <f t="shared" si="18"/>
        <v>16.66</v>
      </c>
      <c r="Z47" s="81">
        <f t="shared" si="18"/>
        <v>3.92</v>
      </c>
      <c r="AA47" s="81">
        <f t="shared" si="18"/>
        <v>4.9000000000000004</v>
      </c>
      <c r="AB47" s="81">
        <f t="shared" si="18"/>
        <v>0</v>
      </c>
      <c r="AC47" s="81">
        <f t="shared" si="18"/>
        <v>0</v>
      </c>
    </row>
    <row r="48" spans="1:29" s="14" customFormat="1" hidden="1" outlineLevel="1">
      <c r="B48" s="9" t="s">
        <v>488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>
        <v>17</v>
      </c>
      <c r="S48" s="28">
        <v>14</v>
      </c>
      <c r="T48" s="28">
        <v>16</v>
      </c>
      <c r="U48" s="28">
        <v>14</v>
      </c>
      <c r="V48" s="28">
        <v>9</v>
      </c>
      <c r="W48" s="28">
        <v>9</v>
      </c>
      <c r="X48" s="28">
        <v>16</v>
      </c>
      <c r="Y48" s="28">
        <v>22</v>
      </c>
      <c r="Z48" s="28">
        <v>8</v>
      </c>
      <c r="AA48" s="28">
        <v>2</v>
      </c>
      <c r="AB48" s="28">
        <v>0</v>
      </c>
      <c r="AC48" s="28">
        <v>0</v>
      </c>
    </row>
    <row r="49" spans="1:29" s="14" customFormat="1" hidden="1" outlineLevel="1">
      <c r="B49" s="60" t="s">
        <v>483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81">
        <f t="shared" ref="R49:AC49" si="19">+R48*R$55</f>
        <v>16.66</v>
      </c>
      <c r="S49" s="81">
        <f t="shared" si="19"/>
        <v>13.719999999999999</v>
      </c>
      <c r="T49" s="81">
        <f t="shared" si="19"/>
        <v>15.68</v>
      </c>
      <c r="U49" s="81">
        <f t="shared" si="19"/>
        <v>13.719999999999999</v>
      </c>
      <c r="V49" s="81">
        <f t="shared" si="19"/>
        <v>8.82</v>
      </c>
      <c r="W49" s="81">
        <f t="shared" si="19"/>
        <v>8.82</v>
      </c>
      <c r="X49" s="81">
        <f t="shared" si="19"/>
        <v>15.68</v>
      </c>
      <c r="Y49" s="81">
        <f t="shared" si="19"/>
        <v>21.56</v>
      </c>
      <c r="Z49" s="81">
        <f t="shared" si="19"/>
        <v>7.84</v>
      </c>
      <c r="AA49" s="81">
        <f t="shared" si="19"/>
        <v>1.96</v>
      </c>
      <c r="AB49" s="81">
        <f t="shared" si="19"/>
        <v>0</v>
      </c>
      <c r="AC49" s="81">
        <f t="shared" si="19"/>
        <v>0</v>
      </c>
    </row>
    <row r="50" spans="1:29" s="14" customFormat="1" hidden="1" outlineLevel="1">
      <c r="B50" s="9" t="s">
        <v>489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2</v>
      </c>
      <c r="AA50" s="28">
        <v>4</v>
      </c>
      <c r="AB50" s="28">
        <v>0</v>
      </c>
      <c r="AC50" s="28">
        <v>0</v>
      </c>
    </row>
    <row r="51" spans="1:29" s="14" customFormat="1" hidden="1" outlineLevel="1">
      <c r="B51" s="60" t="s">
        <v>483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81">
        <f t="shared" ref="R51:AC51" si="20">+R50*R$56</f>
        <v>0</v>
      </c>
      <c r="S51" s="81">
        <f t="shared" si="20"/>
        <v>0</v>
      </c>
      <c r="T51" s="81">
        <f t="shared" si="20"/>
        <v>0</v>
      </c>
      <c r="U51" s="81">
        <f t="shared" si="20"/>
        <v>0</v>
      </c>
      <c r="V51" s="81">
        <f t="shared" si="20"/>
        <v>0</v>
      </c>
      <c r="W51" s="81">
        <f t="shared" si="20"/>
        <v>0</v>
      </c>
      <c r="X51" s="81">
        <f t="shared" si="20"/>
        <v>0</v>
      </c>
      <c r="Y51" s="81">
        <f t="shared" si="20"/>
        <v>0</v>
      </c>
      <c r="Z51" s="81">
        <f t="shared" si="20"/>
        <v>3</v>
      </c>
      <c r="AA51" s="81">
        <f t="shared" si="20"/>
        <v>6</v>
      </c>
      <c r="AB51" s="81">
        <f t="shared" si="20"/>
        <v>0</v>
      </c>
      <c r="AC51" s="81">
        <f t="shared" si="20"/>
        <v>0</v>
      </c>
    </row>
    <row r="52" spans="1:29" s="14" customFormat="1" hidden="1" outlineLevel="1">
      <c r="B52" s="9" t="s">
        <v>490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8</v>
      </c>
      <c r="Y52" s="28">
        <v>12</v>
      </c>
      <c r="Z52" s="28">
        <v>12</v>
      </c>
      <c r="AA52" s="28">
        <v>25</v>
      </c>
      <c r="AB52" s="28">
        <v>48</v>
      </c>
      <c r="AC52" s="28">
        <v>52</v>
      </c>
    </row>
    <row r="53" spans="1:29" s="14" customFormat="1" hidden="1" outlineLevel="1">
      <c r="B53" s="60" t="s">
        <v>483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81">
        <f t="shared" ref="R53:AC53" si="21">+R52*R$56</f>
        <v>0</v>
      </c>
      <c r="S53" s="81">
        <f t="shared" si="21"/>
        <v>0</v>
      </c>
      <c r="T53" s="81">
        <f t="shared" si="21"/>
        <v>0</v>
      </c>
      <c r="U53" s="81">
        <f t="shared" si="21"/>
        <v>0</v>
      </c>
      <c r="V53" s="81">
        <f t="shared" si="21"/>
        <v>0</v>
      </c>
      <c r="W53" s="81">
        <f t="shared" si="21"/>
        <v>0</v>
      </c>
      <c r="X53" s="81">
        <f t="shared" si="21"/>
        <v>12</v>
      </c>
      <c r="Y53" s="81">
        <f t="shared" si="21"/>
        <v>18</v>
      </c>
      <c r="Z53" s="81">
        <f t="shared" si="21"/>
        <v>18</v>
      </c>
      <c r="AA53" s="81">
        <f t="shared" si="21"/>
        <v>37.5</v>
      </c>
      <c r="AB53" s="81">
        <f t="shared" si="21"/>
        <v>72</v>
      </c>
      <c r="AC53" s="81">
        <f t="shared" si="21"/>
        <v>78</v>
      </c>
    </row>
    <row r="54" spans="1:29" s="14" customFormat="1" collapsed="1">
      <c r="A54" s="70"/>
      <c r="B54" s="73" t="s">
        <v>491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72">
        <f t="shared" ref="R54:AC54" si="22">+SUM(R45,R47,R49,R51,R53)</f>
        <v>90.16</v>
      </c>
      <c r="S54" s="72">
        <f t="shared" si="22"/>
        <v>97.02</v>
      </c>
      <c r="T54" s="72">
        <f t="shared" si="22"/>
        <v>96.039999999999992</v>
      </c>
      <c r="U54" s="72">
        <f t="shared" si="22"/>
        <v>96.039999999999992</v>
      </c>
      <c r="V54" s="72">
        <f t="shared" si="22"/>
        <v>77.419999999999987</v>
      </c>
      <c r="W54" s="72">
        <f t="shared" si="22"/>
        <v>47.04</v>
      </c>
      <c r="X54" s="72">
        <f t="shared" si="22"/>
        <v>50.22</v>
      </c>
      <c r="Y54" s="72">
        <f t="shared" si="22"/>
        <v>56.22</v>
      </c>
      <c r="Z54" s="72">
        <f t="shared" si="22"/>
        <v>32.76</v>
      </c>
      <c r="AA54" s="72">
        <f t="shared" si="22"/>
        <v>50.36</v>
      </c>
      <c r="AB54" s="72">
        <f t="shared" si="22"/>
        <v>72</v>
      </c>
      <c r="AC54" s="72">
        <f t="shared" si="22"/>
        <v>78</v>
      </c>
    </row>
    <row r="55" spans="1:29" s="14" customFormat="1">
      <c r="B55" s="60" t="s">
        <v>499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71">
        <v>0.98</v>
      </c>
      <c r="S55" s="71">
        <v>0.98</v>
      </c>
      <c r="T55" s="71">
        <v>0.98</v>
      </c>
      <c r="U55" s="71">
        <v>0.98</v>
      </c>
      <c r="V55" s="71">
        <v>0.98</v>
      </c>
      <c r="W55" s="71">
        <v>0.98</v>
      </c>
      <c r="X55" s="71">
        <v>0.98</v>
      </c>
      <c r="Y55" s="71">
        <v>0.98</v>
      </c>
      <c r="Z55" s="71">
        <v>0.98</v>
      </c>
      <c r="AA55" s="71">
        <v>0.98</v>
      </c>
      <c r="AB55" s="71">
        <v>0.98</v>
      </c>
      <c r="AC55" s="71">
        <v>0.98</v>
      </c>
    </row>
    <row r="56" spans="1:29" s="14" customFormat="1">
      <c r="B56" s="60" t="s">
        <v>500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71">
        <v>1.5</v>
      </c>
      <c r="S56" s="71">
        <v>1.5</v>
      </c>
      <c r="T56" s="71">
        <v>1.5</v>
      </c>
      <c r="U56" s="71">
        <v>1.5</v>
      </c>
      <c r="V56" s="71">
        <v>1.5</v>
      </c>
      <c r="W56" s="71">
        <v>1.5</v>
      </c>
      <c r="X56" s="71">
        <v>1.5</v>
      </c>
      <c r="Y56" s="71">
        <v>1.5</v>
      </c>
      <c r="Z56" s="71">
        <v>1.5</v>
      </c>
      <c r="AA56" s="71">
        <v>1.5</v>
      </c>
      <c r="AB56" s="71">
        <v>1.5</v>
      </c>
      <c r="AC56" s="71">
        <v>1.5</v>
      </c>
    </row>
    <row r="57" spans="1:29" s="17" customFormat="1">
      <c r="B57" s="80" t="s">
        <v>510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79">
        <f t="shared" ref="R57:AC57" si="23">+(R52+R50)/R42</f>
        <v>0</v>
      </c>
      <c r="S57" s="79">
        <f t="shared" si="23"/>
        <v>0</v>
      </c>
      <c r="T57" s="79">
        <f t="shared" si="23"/>
        <v>0</v>
      </c>
      <c r="U57" s="79">
        <f t="shared" si="23"/>
        <v>0</v>
      </c>
      <c r="V57" s="79">
        <f t="shared" si="23"/>
        <v>0</v>
      </c>
      <c r="W57" s="79">
        <f t="shared" si="23"/>
        <v>0</v>
      </c>
      <c r="X57" s="79">
        <f t="shared" si="23"/>
        <v>0.1702127659574468</v>
      </c>
      <c r="Y57" s="79">
        <f t="shared" si="23"/>
        <v>0.23529411764705882</v>
      </c>
      <c r="Z57" s="79">
        <f t="shared" si="23"/>
        <v>0.53846153846153844</v>
      </c>
      <c r="AA57" s="79">
        <f t="shared" si="23"/>
        <v>0.80555555555555558</v>
      </c>
      <c r="AB57" s="79">
        <f t="shared" si="23"/>
        <v>1</v>
      </c>
      <c r="AC57" s="79">
        <f t="shared" si="23"/>
        <v>1</v>
      </c>
    </row>
    <row r="58" spans="1:29" s="17" customFormat="1">
      <c r="B58" s="80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</row>
    <row r="59" spans="1:29" s="14" customFormat="1">
      <c r="B59" s="74" t="s">
        <v>515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>
        <f t="shared" ref="R59:AC59" si="24">+SUM(R61,R63,R65)</f>
        <v>65</v>
      </c>
      <c r="S59" s="28">
        <f t="shared" si="24"/>
        <v>108</v>
      </c>
      <c r="T59" s="28">
        <f t="shared" si="24"/>
        <v>122</v>
      </c>
      <c r="U59" s="28">
        <f t="shared" si="24"/>
        <v>134</v>
      </c>
      <c r="V59" s="28">
        <f t="shared" si="24"/>
        <v>139</v>
      </c>
      <c r="W59" s="28">
        <f t="shared" si="24"/>
        <v>140</v>
      </c>
      <c r="X59" s="28">
        <f t="shared" si="24"/>
        <v>155</v>
      </c>
      <c r="Y59" s="28">
        <f t="shared" si="24"/>
        <v>158</v>
      </c>
      <c r="Z59" s="28">
        <f t="shared" si="24"/>
        <v>94</v>
      </c>
      <c r="AA59" s="28">
        <f t="shared" si="24"/>
        <v>92</v>
      </c>
      <c r="AB59" s="28">
        <f t="shared" si="24"/>
        <v>80</v>
      </c>
      <c r="AC59" s="28">
        <f t="shared" si="24"/>
        <v>80</v>
      </c>
    </row>
    <row r="60" spans="1:29" s="75" customFormat="1">
      <c r="B60" s="78" t="s">
        <v>525</v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6">
        <f t="shared" ref="R60:AC60" si="25">R59/11.5</f>
        <v>5.6521739130434785</v>
      </c>
      <c r="S60" s="76">
        <f t="shared" si="25"/>
        <v>9.3913043478260878</v>
      </c>
      <c r="T60" s="76">
        <f t="shared" si="25"/>
        <v>10.608695652173912</v>
      </c>
      <c r="U60" s="76">
        <f t="shared" si="25"/>
        <v>11.652173913043478</v>
      </c>
      <c r="V60" s="76">
        <f t="shared" si="25"/>
        <v>12.086956521739131</v>
      </c>
      <c r="W60" s="76">
        <f t="shared" si="25"/>
        <v>12.173913043478262</v>
      </c>
      <c r="X60" s="76">
        <f t="shared" si="25"/>
        <v>13.478260869565217</v>
      </c>
      <c r="Y60" s="76">
        <f t="shared" si="25"/>
        <v>13.739130434782609</v>
      </c>
      <c r="Z60" s="76">
        <f t="shared" si="25"/>
        <v>8.1739130434782616</v>
      </c>
      <c r="AA60" s="76">
        <f t="shared" si="25"/>
        <v>8</v>
      </c>
      <c r="AB60" s="76">
        <f t="shared" si="25"/>
        <v>6.9565217391304346</v>
      </c>
      <c r="AC60" s="76">
        <f t="shared" si="25"/>
        <v>6.9565217391304346</v>
      </c>
    </row>
    <row r="61" spans="1:29" s="14" customFormat="1" hidden="1" outlineLevel="1">
      <c r="B61" s="9" t="s">
        <v>492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>
        <v>56</v>
      </c>
      <c r="S61" s="28">
        <v>90</v>
      </c>
      <c r="T61" s="28">
        <v>94</v>
      </c>
      <c r="U61" s="28">
        <v>51</v>
      </c>
      <c r="V61" s="28">
        <v>25</v>
      </c>
      <c r="W61" s="28">
        <v>13</v>
      </c>
      <c r="X61" s="28">
        <v>10</v>
      </c>
      <c r="Y61" s="28">
        <v>12</v>
      </c>
      <c r="Z61" s="28">
        <v>10</v>
      </c>
      <c r="AA61" s="28">
        <v>10</v>
      </c>
      <c r="AB61" s="28">
        <v>5</v>
      </c>
      <c r="AC61" s="28">
        <v>2</v>
      </c>
    </row>
    <row r="62" spans="1:29" s="14" customFormat="1" hidden="1" outlineLevel="1">
      <c r="B62" s="60" t="s">
        <v>483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81">
        <f t="shared" ref="R62:AC62" si="26">+R61*R$68</f>
        <v>84</v>
      </c>
      <c r="S62" s="81">
        <f t="shared" si="26"/>
        <v>135</v>
      </c>
      <c r="T62" s="81">
        <f t="shared" si="26"/>
        <v>141</v>
      </c>
      <c r="U62" s="81">
        <f t="shared" si="26"/>
        <v>76.5</v>
      </c>
      <c r="V62" s="81">
        <f t="shared" si="26"/>
        <v>37.5</v>
      </c>
      <c r="W62" s="81">
        <f t="shared" si="26"/>
        <v>18.2</v>
      </c>
      <c r="X62" s="81">
        <f t="shared" si="26"/>
        <v>14</v>
      </c>
      <c r="Y62" s="81">
        <f t="shared" si="26"/>
        <v>16.799999999999997</v>
      </c>
      <c r="Z62" s="81">
        <f t="shared" si="26"/>
        <v>14</v>
      </c>
      <c r="AA62" s="81">
        <f t="shared" si="26"/>
        <v>14</v>
      </c>
      <c r="AB62" s="81">
        <f t="shared" si="26"/>
        <v>7</v>
      </c>
      <c r="AC62" s="81">
        <f t="shared" si="26"/>
        <v>2.8</v>
      </c>
    </row>
    <row r="63" spans="1:29" s="14" customFormat="1" hidden="1" outlineLevel="1">
      <c r="B63" s="9" t="s">
        <v>493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>
        <v>9</v>
      </c>
      <c r="S63" s="28">
        <v>18</v>
      </c>
      <c r="T63" s="28">
        <v>28</v>
      </c>
      <c r="U63" s="28">
        <v>83</v>
      </c>
      <c r="V63" s="28">
        <v>106</v>
      </c>
      <c r="W63" s="28">
        <v>115</v>
      </c>
      <c r="X63" s="28">
        <v>120</v>
      </c>
      <c r="Y63" s="28">
        <v>113</v>
      </c>
      <c r="Z63" s="28">
        <v>57</v>
      </c>
      <c r="AA63" s="28">
        <v>52</v>
      </c>
      <c r="AB63" s="28">
        <v>45</v>
      </c>
      <c r="AC63" s="28">
        <v>45</v>
      </c>
    </row>
    <row r="64" spans="1:29" s="14" customFormat="1" hidden="1" outlineLevel="1">
      <c r="B64" s="60" t="s">
        <v>483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81">
        <f t="shared" ref="R64:AC64" si="27">+R63*R$68</f>
        <v>13.5</v>
      </c>
      <c r="S64" s="81">
        <f t="shared" si="27"/>
        <v>27</v>
      </c>
      <c r="T64" s="81">
        <f t="shared" si="27"/>
        <v>42</v>
      </c>
      <c r="U64" s="81">
        <f t="shared" si="27"/>
        <v>124.5</v>
      </c>
      <c r="V64" s="81">
        <f t="shared" si="27"/>
        <v>159</v>
      </c>
      <c r="W64" s="81">
        <f t="shared" si="27"/>
        <v>161</v>
      </c>
      <c r="X64" s="81">
        <f t="shared" si="27"/>
        <v>168</v>
      </c>
      <c r="Y64" s="81">
        <f t="shared" si="27"/>
        <v>158.19999999999999</v>
      </c>
      <c r="Z64" s="81">
        <f t="shared" si="27"/>
        <v>79.8</v>
      </c>
      <c r="AA64" s="81">
        <f t="shared" si="27"/>
        <v>72.8</v>
      </c>
      <c r="AB64" s="81">
        <f t="shared" si="27"/>
        <v>62.999999999999993</v>
      </c>
      <c r="AC64" s="81">
        <f t="shared" si="27"/>
        <v>62.999999999999993</v>
      </c>
    </row>
    <row r="65" spans="1:30" s="14" customFormat="1" hidden="1" outlineLevel="1">
      <c r="B65" s="9" t="s">
        <v>494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>
        <v>0</v>
      </c>
      <c r="S65" s="28">
        <v>0</v>
      </c>
      <c r="T65" s="28">
        <v>0</v>
      </c>
      <c r="U65" s="28">
        <v>0</v>
      </c>
      <c r="V65" s="28">
        <v>8</v>
      </c>
      <c r="W65" s="28">
        <v>12</v>
      </c>
      <c r="X65" s="28">
        <v>25</v>
      </c>
      <c r="Y65" s="28">
        <v>33</v>
      </c>
      <c r="Z65" s="28">
        <v>27</v>
      </c>
      <c r="AA65" s="28">
        <v>30</v>
      </c>
      <c r="AB65" s="28">
        <v>30</v>
      </c>
      <c r="AC65" s="28">
        <v>33</v>
      </c>
    </row>
    <row r="66" spans="1:30" s="14" customFormat="1" hidden="1" outlineLevel="1">
      <c r="B66" s="60" t="s">
        <v>483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81">
        <f t="shared" ref="R66:AC66" si="28">+R65*R$68</f>
        <v>0</v>
      </c>
      <c r="S66" s="81">
        <f t="shared" si="28"/>
        <v>0</v>
      </c>
      <c r="T66" s="81">
        <f t="shared" si="28"/>
        <v>0</v>
      </c>
      <c r="U66" s="81">
        <f t="shared" si="28"/>
        <v>0</v>
      </c>
      <c r="V66" s="81">
        <f t="shared" si="28"/>
        <v>12</v>
      </c>
      <c r="W66" s="81">
        <f t="shared" si="28"/>
        <v>16.799999999999997</v>
      </c>
      <c r="X66" s="81">
        <f t="shared" si="28"/>
        <v>35</v>
      </c>
      <c r="Y66" s="81">
        <f t="shared" si="28"/>
        <v>46.199999999999996</v>
      </c>
      <c r="Z66" s="81">
        <f t="shared" si="28"/>
        <v>37.799999999999997</v>
      </c>
      <c r="AA66" s="81">
        <f t="shared" si="28"/>
        <v>42</v>
      </c>
      <c r="AB66" s="81">
        <f t="shared" si="28"/>
        <v>42</v>
      </c>
      <c r="AC66" s="81">
        <f t="shared" si="28"/>
        <v>46.199999999999996</v>
      </c>
    </row>
    <row r="67" spans="1:30" s="14" customFormat="1" collapsed="1">
      <c r="A67" s="70"/>
      <c r="B67" s="73" t="s">
        <v>495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72">
        <f t="shared" ref="R67:AC67" si="29">+SUM(R62,R64,R66)</f>
        <v>97.5</v>
      </c>
      <c r="S67" s="72">
        <f t="shared" si="29"/>
        <v>162</v>
      </c>
      <c r="T67" s="72">
        <f t="shared" si="29"/>
        <v>183</v>
      </c>
      <c r="U67" s="72">
        <f t="shared" si="29"/>
        <v>201</v>
      </c>
      <c r="V67" s="72">
        <f t="shared" si="29"/>
        <v>208.5</v>
      </c>
      <c r="W67" s="72">
        <f t="shared" si="29"/>
        <v>196</v>
      </c>
      <c r="X67" s="72">
        <f t="shared" si="29"/>
        <v>217</v>
      </c>
      <c r="Y67" s="72">
        <f t="shared" si="29"/>
        <v>221.2</v>
      </c>
      <c r="Z67" s="72">
        <f t="shared" si="29"/>
        <v>131.6</v>
      </c>
      <c r="AA67" s="72">
        <f t="shared" si="29"/>
        <v>128.80000000000001</v>
      </c>
      <c r="AB67" s="72">
        <f t="shared" si="29"/>
        <v>112</v>
      </c>
      <c r="AC67" s="72">
        <f t="shared" si="29"/>
        <v>112</v>
      </c>
    </row>
    <row r="68" spans="1:30" s="14" customFormat="1">
      <c r="B68" s="60" t="s">
        <v>483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71">
        <v>1.5</v>
      </c>
      <c r="S68" s="71">
        <v>1.5</v>
      </c>
      <c r="T68" s="71">
        <v>1.5</v>
      </c>
      <c r="U68" s="71">
        <v>1.5</v>
      </c>
      <c r="V68" s="71">
        <v>1.5</v>
      </c>
      <c r="W68" s="71">
        <v>1.4</v>
      </c>
      <c r="X68" s="71">
        <v>1.4</v>
      </c>
      <c r="Y68" s="71">
        <v>1.4</v>
      </c>
      <c r="Z68" s="71">
        <v>1.4</v>
      </c>
      <c r="AA68" s="71">
        <v>1.4</v>
      </c>
      <c r="AB68" s="71">
        <v>1.4</v>
      </c>
      <c r="AC68" s="71">
        <v>1.4</v>
      </c>
    </row>
    <row r="69" spans="1:30" s="14" customFormat="1">
      <c r="B69" s="60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</row>
    <row r="70" spans="1:30" s="14" customFormat="1">
      <c r="A70" s="70"/>
      <c r="B70" s="69" t="s">
        <v>518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68">
        <f t="shared" ref="R70:AC70" si="30">+(R52+R50+R25+R23+R21+R19+R17+R59)/R71</f>
        <v>0.10204081632653061</v>
      </c>
      <c r="S70" s="68">
        <f t="shared" si="30"/>
        <v>0.15254237288135594</v>
      </c>
      <c r="T70" s="68">
        <f t="shared" si="30"/>
        <v>0.16486486486486487</v>
      </c>
      <c r="U70" s="68">
        <f t="shared" si="30"/>
        <v>0.21662468513853905</v>
      </c>
      <c r="V70" s="68">
        <f t="shared" si="30"/>
        <v>0.27909887359198998</v>
      </c>
      <c r="W70" s="68">
        <f t="shared" si="30"/>
        <v>0.35943517329910141</v>
      </c>
      <c r="X70" s="68">
        <f t="shared" si="30"/>
        <v>0.63226571767497031</v>
      </c>
      <c r="Y70" s="68">
        <f t="shared" si="30"/>
        <v>0.87088915956151036</v>
      </c>
      <c r="Z70" s="68">
        <f t="shared" si="30"/>
        <v>0.84892086330935257</v>
      </c>
      <c r="AA70" s="68">
        <f t="shared" si="30"/>
        <v>0.90055248618784534</v>
      </c>
      <c r="AB70" s="68">
        <f t="shared" si="30"/>
        <v>0.94582392776523705</v>
      </c>
      <c r="AC70" s="68">
        <f t="shared" si="30"/>
        <v>0.96799999999999997</v>
      </c>
    </row>
    <row r="71" spans="1:30" s="17" customFormat="1">
      <c r="B71" s="67" t="s">
        <v>517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28">
        <f t="shared" ref="R71:AC71" si="31">+SUM(R9,R34,R38,R42,R59)</f>
        <v>637</v>
      </c>
      <c r="S71" s="28">
        <f t="shared" si="31"/>
        <v>708</v>
      </c>
      <c r="T71" s="28">
        <f t="shared" si="31"/>
        <v>740</v>
      </c>
      <c r="U71" s="28">
        <f t="shared" si="31"/>
        <v>794</v>
      </c>
      <c r="V71" s="28">
        <f t="shared" si="31"/>
        <v>799</v>
      </c>
      <c r="W71" s="28">
        <f t="shared" si="31"/>
        <v>779</v>
      </c>
      <c r="X71" s="28">
        <f t="shared" si="31"/>
        <v>843</v>
      </c>
      <c r="Y71" s="28">
        <f t="shared" si="31"/>
        <v>821</v>
      </c>
      <c r="Z71" s="28">
        <f t="shared" si="31"/>
        <v>278</v>
      </c>
      <c r="AA71" s="28">
        <f t="shared" si="31"/>
        <v>362</v>
      </c>
      <c r="AB71" s="28">
        <f t="shared" si="31"/>
        <v>443</v>
      </c>
      <c r="AC71" s="28">
        <f t="shared" si="31"/>
        <v>625</v>
      </c>
    </row>
    <row r="72" spans="1:30" s="17" customFormat="1">
      <c r="B72" s="67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30" s="17" customFormat="1">
      <c r="B73" s="13" t="s">
        <v>522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28">
        <v>23</v>
      </c>
      <c r="S73" s="28">
        <v>63</v>
      </c>
      <c r="T73" s="28">
        <v>58</v>
      </c>
      <c r="U73" s="28">
        <v>49</v>
      </c>
      <c r="V73" s="28">
        <v>32</v>
      </c>
      <c r="W73" s="28">
        <v>0</v>
      </c>
      <c r="X73" s="28">
        <v>-2</v>
      </c>
      <c r="Y73" s="28">
        <v>17</v>
      </c>
      <c r="Z73" s="65">
        <v>0</v>
      </c>
      <c r="AA73" s="65">
        <v>0</v>
      </c>
      <c r="AB73" s="65">
        <v>0</v>
      </c>
      <c r="AC73" s="65">
        <v>0</v>
      </c>
    </row>
    <row r="74" spans="1:30" s="17" customFormat="1">
      <c r="A74" s="64"/>
      <c r="B74" s="63" t="s">
        <v>501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1">
        <f t="shared" ref="R74:AC74" si="32">+SUM(R29,R35,R39,R54,R67,R73)</f>
        <v>394.14</v>
      </c>
      <c r="S74" s="61">
        <f t="shared" si="32"/>
        <v>503.53999999999996</v>
      </c>
      <c r="T74" s="61">
        <f t="shared" si="32"/>
        <v>519.85</v>
      </c>
      <c r="U74" s="61">
        <f t="shared" si="32"/>
        <v>539.84</v>
      </c>
      <c r="V74" s="61">
        <f t="shared" si="32"/>
        <v>520.78</v>
      </c>
      <c r="W74" s="61">
        <f t="shared" si="32"/>
        <v>453.94</v>
      </c>
      <c r="X74" s="61">
        <f t="shared" si="32"/>
        <v>503.02</v>
      </c>
      <c r="Y74" s="61">
        <f t="shared" si="32"/>
        <v>542.47</v>
      </c>
      <c r="Z74" s="61">
        <f t="shared" si="32"/>
        <v>231.60999999999999</v>
      </c>
      <c r="AA74" s="61">
        <f t="shared" si="32"/>
        <v>275.56</v>
      </c>
      <c r="AB74" s="61">
        <f t="shared" si="32"/>
        <v>311.89999999999998</v>
      </c>
      <c r="AC74" s="61">
        <f t="shared" si="32"/>
        <v>386.7</v>
      </c>
    </row>
    <row r="75" spans="1:30" s="14" customFormat="1">
      <c r="B75" s="60" t="s">
        <v>502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7"/>
      <c r="S75" s="59">
        <f t="shared" ref="S75:AC75" si="33">+S74/R74-1</f>
        <v>0.2775663469833054</v>
      </c>
      <c r="T75" s="59">
        <f t="shared" si="33"/>
        <v>3.239067402788276E-2</v>
      </c>
      <c r="U75" s="59">
        <f t="shared" si="33"/>
        <v>3.845340001923625E-2</v>
      </c>
      <c r="V75" s="59">
        <f t="shared" si="33"/>
        <v>-3.5306757557794999E-2</v>
      </c>
      <c r="W75" s="59">
        <f t="shared" si="33"/>
        <v>-0.1283459426245247</v>
      </c>
      <c r="X75" s="59">
        <f t="shared" si="33"/>
        <v>0.10812001586112707</v>
      </c>
      <c r="Y75" s="59">
        <f t="shared" si="33"/>
        <v>7.8426305117092809E-2</v>
      </c>
      <c r="Z75" s="59">
        <f t="shared" si="33"/>
        <v>-0.5730455140376427</v>
      </c>
      <c r="AA75" s="59">
        <f t="shared" si="33"/>
        <v>0.18975864599974113</v>
      </c>
      <c r="AB75" s="59">
        <f t="shared" si="33"/>
        <v>0.1318769052112061</v>
      </c>
      <c r="AC75" s="59">
        <f t="shared" si="33"/>
        <v>0.23982045527412632</v>
      </c>
      <c r="AD75" s="11"/>
    </row>
    <row r="76" spans="1:30" s="54" customFormat="1">
      <c r="B76" s="89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6"/>
      <c r="S76" s="56"/>
      <c r="T76" s="56"/>
      <c r="U76" s="56"/>
      <c r="V76" s="56"/>
      <c r="W76" s="56"/>
      <c r="X76" s="56"/>
      <c r="Y76" s="55"/>
      <c r="Z76" s="55"/>
      <c r="AA76" s="55"/>
      <c r="AB76" s="55"/>
      <c r="AC76" s="55"/>
      <c r="AD76" s="88"/>
    </row>
    <row r="77" spans="1:30" s="14" customFormat="1">
      <c r="B77" s="87" t="s">
        <v>289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5"/>
      <c r="S77" s="5"/>
      <c r="T77" s="5"/>
      <c r="U77" s="5"/>
      <c r="V77" s="5"/>
      <c r="W77" s="5"/>
      <c r="X77" s="5"/>
      <c r="Y77" s="7"/>
      <c r="Z77" s="7"/>
      <c r="AA77" s="7"/>
      <c r="AB77" s="7"/>
      <c r="AC77" s="7"/>
      <c r="AD77" s="11"/>
    </row>
    <row r="78" spans="1:30" s="14" customFormat="1">
      <c r="B78" s="87"/>
      <c r="C78" s="13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5"/>
      <c r="S78" s="5"/>
      <c r="T78" s="5"/>
      <c r="U78" s="5"/>
      <c r="V78" s="5"/>
      <c r="W78" s="5"/>
      <c r="X78" s="5"/>
      <c r="Y78" s="7"/>
      <c r="Z78" s="7"/>
      <c r="AA78" s="7"/>
      <c r="AB78" s="7"/>
      <c r="AC78" s="7"/>
      <c r="AD78" s="11"/>
    </row>
    <row r="79" spans="1:30" s="14" customFormat="1">
      <c r="B79" s="74" t="s">
        <v>516</v>
      </c>
      <c r="C79" s="13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7"/>
      <c r="S79" s="7"/>
      <c r="T79" s="7"/>
      <c r="U79" s="7"/>
      <c r="V79" s="7">
        <v>0</v>
      </c>
      <c r="W79" s="7">
        <v>0</v>
      </c>
      <c r="X79" s="7">
        <v>32</v>
      </c>
      <c r="Y79" s="7">
        <v>38</v>
      </c>
      <c r="Z79" s="7">
        <v>40</v>
      </c>
      <c r="AA79" s="7">
        <v>60</v>
      </c>
      <c r="AB79" s="7">
        <v>80</v>
      </c>
      <c r="AC79" s="7">
        <v>120</v>
      </c>
      <c r="AD79" s="11"/>
    </row>
    <row r="80" spans="1:30" s="14" customFormat="1">
      <c r="A80" s="70"/>
      <c r="B80" s="73" t="s">
        <v>507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72"/>
      <c r="S80" s="72"/>
      <c r="T80" s="72"/>
      <c r="U80" s="72"/>
      <c r="V80" s="72">
        <f t="shared" ref="V80:AC80" si="34">V79*V81</f>
        <v>0</v>
      </c>
      <c r="W80" s="72">
        <f t="shared" si="34"/>
        <v>0</v>
      </c>
      <c r="X80" s="72">
        <f t="shared" si="34"/>
        <v>9.6</v>
      </c>
      <c r="Y80" s="72">
        <f t="shared" si="34"/>
        <v>11.4</v>
      </c>
      <c r="Z80" s="72">
        <f t="shared" si="34"/>
        <v>12</v>
      </c>
      <c r="AA80" s="72">
        <f t="shared" si="34"/>
        <v>18</v>
      </c>
      <c r="AB80" s="72">
        <f t="shared" si="34"/>
        <v>24</v>
      </c>
      <c r="AC80" s="72">
        <f t="shared" si="34"/>
        <v>36</v>
      </c>
      <c r="AD80" s="11"/>
    </row>
    <row r="81" spans="1:30" s="14" customFormat="1">
      <c r="B81" s="60" t="s">
        <v>483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71"/>
      <c r="S81" s="71"/>
      <c r="T81" s="71"/>
      <c r="U81" s="71"/>
      <c r="V81" s="71">
        <v>0.3</v>
      </c>
      <c r="W81" s="71">
        <v>0.3</v>
      </c>
      <c r="X81" s="71">
        <v>0.3</v>
      </c>
      <c r="Y81" s="71">
        <v>0.3</v>
      </c>
      <c r="Z81" s="71">
        <v>0.3</v>
      </c>
      <c r="AA81" s="71">
        <v>0.3</v>
      </c>
      <c r="AB81" s="71">
        <v>0.3</v>
      </c>
      <c r="AC81" s="71">
        <v>0.3</v>
      </c>
      <c r="AD81" s="11"/>
    </row>
    <row r="82" spans="1:30" s="14" customFormat="1">
      <c r="B82" s="60"/>
      <c r="C82" s="13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11"/>
    </row>
    <row r="83" spans="1:30" s="14" customFormat="1">
      <c r="B83" s="74" t="s">
        <v>526</v>
      </c>
      <c r="C83" s="82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7">
        <f t="shared" ref="R83:AC83" si="35">+R86+R98</f>
        <v>475</v>
      </c>
      <c r="S83" s="7">
        <f t="shared" si="35"/>
        <v>492</v>
      </c>
      <c r="T83" s="7">
        <f t="shared" si="35"/>
        <v>519</v>
      </c>
      <c r="U83" s="7">
        <f t="shared" si="35"/>
        <v>557</v>
      </c>
      <c r="V83" s="7">
        <f t="shared" si="35"/>
        <v>554</v>
      </c>
      <c r="W83" s="7">
        <f t="shared" si="35"/>
        <v>583</v>
      </c>
      <c r="X83" s="7">
        <f t="shared" si="35"/>
        <v>627</v>
      </c>
      <c r="Y83" s="7">
        <f t="shared" si="35"/>
        <v>621</v>
      </c>
      <c r="Z83" s="7">
        <f t="shared" si="35"/>
        <v>440</v>
      </c>
      <c r="AA83" s="7">
        <f t="shared" si="35"/>
        <v>495</v>
      </c>
      <c r="AB83" s="7">
        <f t="shared" si="35"/>
        <v>583</v>
      </c>
      <c r="AC83" s="7">
        <f t="shared" si="35"/>
        <v>660</v>
      </c>
    </row>
    <row r="84" spans="1:30" s="83" customFormat="1">
      <c r="B84" s="86" t="s">
        <v>527</v>
      </c>
      <c r="C84" s="85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84">
        <f t="shared" ref="R84:AC84" si="36">R83/11</f>
        <v>43.18181818181818</v>
      </c>
      <c r="S84" s="84">
        <f t="shared" si="36"/>
        <v>44.727272727272727</v>
      </c>
      <c r="T84" s="84">
        <f t="shared" si="36"/>
        <v>47.18181818181818</v>
      </c>
      <c r="U84" s="84">
        <f t="shared" si="36"/>
        <v>50.636363636363633</v>
      </c>
      <c r="V84" s="84">
        <f t="shared" si="36"/>
        <v>50.363636363636367</v>
      </c>
      <c r="W84" s="84">
        <f t="shared" si="36"/>
        <v>53</v>
      </c>
      <c r="X84" s="84">
        <f t="shared" si="36"/>
        <v>57</v>
      </c>
      <c r="Y84" s="84">
        <f t="shared" si="36"/>
        <v>56.454545454545453</v>
      </c>
      <c r="Z84" s="84">
        <f t="shared" si="36"/>
        <v>40</v>
      </c>
      <c r="AA84" s="84">
        <f t="shared" si="36"/>
        <v>45</v>
      </c>
      <c r="AB84" s="84">
        <f t="shared" si="36"/>
        <v>53</v>
      </c>
      <c r="AC84" s="84">
        <f t="shared" si="36"/>
        <v>60</v>
      </c>
    </row>
    <row r="85" spans="1:30" s="14" customFormat="1">
      <c r="B85" s="74"/>
      <c r="C85" s="82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30" s="14" customFormat="1">
      <c r="B86" s="74" t="s">
        <v>533</v>
      </c>
      <c r="C86" s="82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7">
        <f t="shared" ref="R86:AC86" si="37">+SUM(R87,R89,R91,R93)</f>
        <v>475</v>
      </c>
      <c r="S86" s="7">
        <f t="shared" si="37"/>
        <v>492</v>
      </c>
      <c r="T86" s="7">
        <f t="shared" si="37"/>
        <v>490</v>
      </c>
      <c r="U86" s="7">
        <f t="shared" si="37"/>
        <v>485</v>
      </c>
      <c r="V86" s="7">
        <f t="shared" si="37"/>
        <v>427</v>
      </c>
      <c r="W86" s="7">
        <f t="shared" si="37"/>
        <v>342</v>
      </c>
      <c r="X86" s="7">
        <f t="shared" si="37"/>
        <v>158</v>
      </c>
      <c r="Y86" s="7">
        <f t="shared" si="37"/>
        <v>81</v>
      </c>
      <c r="Z86" s="7">
        <f t="shared" si="37"/>
        <v>17</v>
      </c>
      <c r="AA86" s="7">
        <f t="shared" si="37"/>
        <v>19</v>
      </c>
      <c r="AB86" s="7">
        <f t="shared" si="37"/>
        <v>0</v>
      </c>
      <c r="AC86" s="7">
        <f t="shared" si="37"/>
        <v>0</v>
      </c>
    </row>
    <row r="87" spans="1:30" s="14" customFormat="1" hidden="1" outlineLevel="1">
      <c r="B87" s="9" t="s">
        <v>290</v>
      </c>
      <c r="C87" s="9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>
        <v>2</v>
      </c>
      <c r="S87" s="28">
        <v>1</v>
      </c>
      <c r="T87" s="28">
        <v>0</v>
      </c>
      <c r="U87" s="28">
        <v>1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</row>
    <row r="88" spans="1:30" s="14" customFormat="1" hidden="1" outlineLevel="1">
      <c r="B88" s="60" t="s">
        <v>483</v>
      </c>
      <c r="C88" s="8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81">
        <f t="shared" ref="R88:AC88" si="38">+R87*R$96</f>
        <v>0.6</v>
      </c>
      <c r="S88" s="81">
        <f t="shared" si="38"/>
        <v>0.3</v>
      </c>
      <c r="T88" s="81">
        <f t="shared" si="38"/>
        <v>0</v>
      </c>
      <c r="U88" s="81">
        <f t="shared" si="38"/>
        <v>0.3</v>
      </c>
      <c r="V88" s="81">
        <f t="shared" si="38"/>
        <v>0</v>
      </c>
      <c r="W88" s="81">
        <f t="shared" si="38"/>
        <v>0</v>
      </c>
      <c r="X88" s="81">
        <f t="shared" si="38"/>
        <v>0</v>
      </c>
      <c r="Y88" s="81">
        <f t="shared" si="38"/>
        <v>0</v>
      </c>
      <c r="Z88" s="81">
        <f t="shared" si="38"/>
        <v>0</v>
      </c>
      <c r="AA88" s="81">
        <f t="shared" si="38"/>
        <v>0</v>
      </c>
      <c r="AB88" s="81">
        <f t="shared" si="38"/>
        <v>0</v>
      </c>
      <c r="AC88" s="81">
        <f t="shared" si="38"/>
        <v>0</v>
      </c>
    </row>
    <row r="89" spans="1:30" s="14" customFormat="1" hidden="1" outlineLevel="1">
      <c r="B89" s="9" t="s">
        <v>291</v>
      </c>
      <c r="C89" s="9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>
        <v>38</v>
      </c>
      <c r="S89" s="28">
        <v>36</v>
      </c>
      <c r="T89" s="28">
        <v>29</v>
      </c>
      <c r="U89" s="28">
        <v>14</v>
      </c>
      <c r="V89" s="28">
        <v>7</v>
      </c>
      <c r="W89" s="28">
        <v>9</v>
      </c>
      <c r="X89" s="28">
        <v>6</v>
      </c>
      <c r="Y89" s="28">
        <v>4</v>
      </c>
      <c r="Z89" s="28">
        <v>3</v>
      </c>
      <c r="AA89" s="28">
        <v>3</v>
      </c>
      <c r="AB89" s="28">
        <v>0</v>
      </c>
      <c r="AC89" s="28">
        <v>0</v>
      </c>
    </row>
    <row r="90" spans="1:30" s="14" customFormat="1" hidden="1" outlineLevel="1">
      <c r="B90" s="60" t="s">
        <v>483</v>
      </c>
      <c r="C90" s="8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81">
        <f t="shared" ref="R90:AC90" si="39">+R89*R$96</f>
        <v>11.4</v>
      </c>
      <c r="S90" s="81">
        <f t="shared" si="39"/>
        <v>10.799999999999999</v>
      </c>
      <c r="T90" s="81">
        <f t="shared" si="39"/>
        <v>8.6999999999999993</v>
      </c>
      <c r="U90" s="81">
        <f t="shared" si="39"/>
        <v>4.2</v>
      </c>
      <c r="V90" s="81">
        <f t="shared" si="39"/>
        <v>2.1</v>
      </c>
      <c r="W90" s="81">
        <f t="shared" si="39"/>
        <v>2.6999999999999997</v>
      </c>
      <c r="X90" s="81">
        <f t="shared" si="39"/>
        <v>1.7999999999999998</v>
      </c>
      <c r="Y90" s="81">
        <f t="shared" si="39"/>
        <v>1.2</v>
      </c>
      <c r="Z90" s="81">
        <f t="shared" si="39"/>
        <v>0.89999999999999991</v>
      </c>
      <c r="AA90" s="81">
        <f t="shared" si="39"/>
        <v>0.89999999999999991</v>
      </c>
      <c r="AB90" s="81">
        <f t="shared" si="39"/>
        <v>0</v>
      </c>
      <c r="AC90" s="81">
        <f t="shared" si="39"/>
        <v>0</v>
      </c>
    </row>
    <row r="91" spans="1:30" s="14" customFormat="1" hidden="1" outlineLevel="1">
      <c r="B91" s="9" t="s">
        <v>292</v>
      </c>
      <c r="C91" s="9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>
        <v>342</v>
      </c>
      <c r="S91" s="28">
        <v>329</v>
      </c>
      <c r="T91" s="28">
        <v>294</v>
      </c>
      <c r="U91" s="28">
        <v>267</v>
      </c>
      <c r="V91" s="28">
        <v>218</v>
      </c>
      <c r="W91" s="28">
        <v>170</v>
      </c>
      <c r="X91" s="28">
        <v>90</v>
      </c>
      <c r="Y91" s="28">
        <v>42</v>
      </c>
      <c r="Z91" s="28">
        <v>5</v>
      </c>
      <c r="AA91" s="28">
        <v>8</v>
      </c>
      <c r="AB91" s="28">
        <v>0</v>
      </c>
      <c r="AC91" s="28">
        <v>0</v>
      </c>
    </row>
    <row r="92" spans="1:30" s="14" customFormat="1" hidden="1" outlineLevel="1">
      <c r="B92" s="60" t="s">
        <v>483</v>
      </c>
      <c r="C92" s="8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81">
        <f t="shared" ref="R92:AC92" si="40">+R91*R$96</f>
        <v>102.6</v>
      </c>
      <c r="S92" s="81">
        <f t="shared" si="40"/>
        <v>98.7</v>
      </c>
      <c r="T92" s="81">
        <f t="shared" si="40"/>
        <v>88.2</v>
      </c>
      <c r="U92" s="81">
        <f t="shared" si="40"/>
        <v>80.099999999999994</v>
      </c>
      <c r="V92" s="81">
        <f t="shared" si="40"/>
        <v>65.399999999999991</v>
      </c>
      <c r="W92" s="81">
        <f t="shared" si="40"/>
        <v>51</v>
      </c>
      <c r="X92" s="81">
        <f t="shared" si="40"/>
        <v>27</v>
      </c>
      <c r="Y92" s="81">
        <f t="shared" si="40"/>
        <v>12.6</v>
      </c>
      <c r="Z92" s="81">
        <f t="shared" si="40"/>
        <v>1.5</v>
      </c>
      <c r="AA92" s="81">
        <f t="shared" si="40"/>
        <v>2.4</v>
      </c>
      <c r="AB92" s="81">
        <f t="shared" si="40"/>
        <v>0</v>
      </c>
      <c r="AC92" s="81">
        <f t="shared" si="40"/>
        <v>0</v>
      </c>
    </row>
    <row r="93" spans="1:30" s="14" customFormat="1" hidden="1" outlineLevel="1">
      <c r="B93" s="9" t="s">
        <v>293</v>
      </c>
      <c r="C93" s="9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>
        <v>93</v>
      </c>
      <c r="S93" s="28">
        <v>126</v>
      </c>
      <c r="T93" s="28">
        <v>167</v>
      </c>
      <c r="U93" s="28">
        <v>203</v>
      </c>
      <c r="V93" s="28">
        <v>202</v>
      </c>
      <c r="W93" s="28">
        <v>163</v>
      </c>
      <c r="X93" s="28">
        <v>62</v>
      </c>
      <c r="Y93" s="28">
        <v>35</v>
      </c>
      <c r="Z93" s="28">
        <v>9</v>
      </c>
      <c r="AA93" s="28">
        <v>8</v>
      </c>
      <c r="AB93" s="28">
        <v>0</v>
      </c>
      <c r="AC93" s="28">
        <v>0</v>
      </c>
    </row>
    <row r="94" spans="1:30" s="14" customFormat="1" hidden="1" outlineLevel="1">
      <c r="B94" s="60" t="s">
        <v>483</v>
      </c>
      <c r="C94" s="8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81">
        <f t="shared" ref="R94:AC94" si="41">+R93*R$96</f>
        <v>27.9</v>
      </c>
      <c r="S94" s="81">
        <f t="shared" si="41"/>
        <v>37.799999999999997</v>
      </c>
      <c r="T94" s="81">
        <f t="shared" si="41"/>
        <v>50.1</v>
      </c>
      <c r="U94" s="81">
        <f t="shared" si="41"/>
        <v>60.9</v>
      </c>
      <c r="V94" s="81">
        <f t="shared" si="41"/>
        <v>60.599999999999994</v>
      </c>
      <c r="W94" s="81">
        <f t="shared" si="41"/>
        <v>48.9</v>
      </c>
      <c r="X94" s="81">
        <f t="shared" si="41"/>
        <v>18.599999999999998</v>
      </c>
      <c r="Y94" s="81">
        <f t="shared" si="41"/>
        <v>10.5</v>
      </c>
      <c r="Z94" s="81">
        <f t="shared" si="41"/>
        <v>2.6999999999999997</v>
      </c>
      <c r="AA94" s="81">
        <f t="shared" si="41"/>
        <v>2.4</v>
      </c>
      <c r="AB94" s="81">
        <f t="shared" si="41"/>
        <v>0</v>
      </c>
      <c r="AC94" s="81">
        <f t="shared" si="41"/>
        <v>0</v>
      </c>
    </row>
    <row r="95" spans="1:30" s="14" customFormat="1" collapsed="1">
      <c r="A95" s="70"/>
      <c r="B95" s="73" t="s">
        <v>534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72">
        <f t="shared" ref="R95:AC95" si="42">+SUM(R88+R90+R92+R94)</f>
        <v>142.5</v>
      </c>
      <c r="S95" s="72">
        <f t="shared" si="42"/>
        <v>147.6</v>
      </c>
      <c r="T95" s="72">
        <f t="shared" si="42"/>
        <v>147</v>
      </c>
      <c r="U95" s="72">
        <f t="shared" si="42"/>
        <v>145.5</v>
      </c>
      <c r="V95" s="72">
        <f t="shared" si="42"/>
        <v>128.09999999999997</v>
      </c>
      <c r="W95" s="72">
        <f t="shared" si="42"/>
        <v>102.6</v>
      </c>
      <c r="X95" s="72">
        <f t="shared" si="42"/>
        <v>47.4</v>
      </c>
      <c r="Y95" s="72">
        <f t="shared" si="42"/>
        <v>24.299999999999997</v>
      </c>
      <c r="Z95" s="72">
        <f t="shared" si="42"/>
        <v>5.0999999999999996</v>
      </c>
      <c r="AA95" s="72">
        <f t="shared" si="42"/>
        <v>5.6999999999999993</v>
      </c>
      <c r="AB95" s="72">
        <f t="shared" si="42"/>
        <v>0</v>
      </c>
      <c r="AC95" s="72">
        <f t="shared" si="42"/>
        <v>0</v>
      </c>
      <c r="AD95" s="11"/>
    </row>
    <row r="96" spans="1:30" s="14" customFormat="1">
      <c r="B96" s="60" t="s">
        <v>483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71">
        <v>0.3</v>
      </c>
      <c r="S96" s="71">
        <v>0.3</v>
      </c>
      <c r="T96" s="71">
        <v>0.3</v>
      </c>
      <c r="U96" s="71">
        <v>0.3</v>
      </c>
      <c r="V96" s="71">
        <v>0.3</v>
      </c>
      <c r="W96" s="71">
        <v>0.3</v>
      </c>
      <c r="X96" s="71">
        <v>0.3</v>
      </c>
      <c r="Y96" s="71">
        <v>0.3</v>
      </c>
      <c r="Z96" s="71">
        <v>0.3</v>
      </c>
      <c r="AA96" s="71">
        <v>0.3</v>
      </c>
      <c r="AB96" s="71">
        <v>0.3</v>
      </c>
      <c r="AC96" s="71">
        <v>0.3</v>
      </c>
      <c r="AD96" s="11"/>
    </row>
    <row r="97" spans="1:30" s="14" customFormat="1">
      <c r="B97" s="60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11"/>
    </row>
    <row r="98" spans="1:30" s="14" customFormat="1">
      <c r="B98" s="74" t="s">
        <v>530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7">
        <f t="shared" ref="R98:AC98" si="43">+SUM(R99,R101,R103)</f>
        <v>0</v>
      </c>
      <c r="S98" s="7">
        <f t="shared" si="43"/>
        <v>0</v>
      </c>
      <c r="T98" s="7">
        <f t="shared" si="43"/>
        <v>29</v>
      </c>
      <c r="U98" s="7">
        <f t="shared" si="43"/>
        <v>72</v>
      </c>
      <c r="V98" s="7">
        <f t="shared" si="43"/>
        <v>127</v>
      </c>
      <c r="W98" s="7">
        <f t="shared" si="43"/>
        <v>241</v>
      </c>
      <c r="X98" s="7">
        <f t="shared" si="43"/>
        <v>469</v>
      </c>
      <c r="Y98" s="7">
        <f t="shared" si="43"/>
        <v>540</v>
      </c>
      <c r="Z98" s="7">
        <f t="shared" si="43"/>
        <v>423</v>
      </c>
      <c r="AA98" s="7">
        <f t="shared" si="43"/>
        <v>476</v>
      </c>
      <c r="AB98" s="7">
        <f t="shared" si="43"/>
        <v>583</v>
      </c>
      <c r="AC98" s="7">
        <f t="shared" si="43"/>
        <v>660</v>
      </c>
      <c r="AD98" s="11"/>
    </row>
    <row r="99" spans="1:30" s="14" customFormat="1" hidden="1" outlineLevel="1">
      <c r="B99" s="9" t="s">
        <v>291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2</v>
      </c>
      <c r="Z99" s="28">
        <v>0</v>
      </c>
      <c r="AA99" s="28">
        <v>1</v>
      </c>
      <c r="AB99" s="28">
        <v>4</v>
      </c>
      <c r="AC99" s="28">
        <v>4</v>
      </c>
    </row>
    <row r="100" spans="1:30" s="14" customFormat="1" hidden="1" outlineLevel="1">
      <c r="B100" s="60" t="s">
        <v>483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81">
        <f t="shared" ref="R100:AC100" si="44">+R99*R$106</f>
        <v>0</v>
      </c>
      <c r="S100" s="81">
        <f t="shared" si="44"/>
        <v>0</v>
      </c>
      <c r="T100" s="81">
        <f t="shared" si="44"/>
        <v>0</v>
      </c>
      <c r="U100" s="81">
        <f t="shared" si="44"/>
        <v>0</v>
      </c>
      <c r="V100" s="81">
        <f t="shared" si="44"/>
        <v>0</v>
      </c>
      <c r="W100" s="81">
        <f t="shared" si="44"/>
        <v>0</v>
      </c>
      <c r="X100" s="81">
        <f t="shared" si="44"/>
        <v>0</v>
      </c>
      <c r="Y100" s="81">
        <f t="shared" si="44"/>
        <v>0.9</v>
      </c>
      <c r="Z100" s="81">
        <f t="shared" si="44"/>
        <v>0</v>
      </c>
      <c r="AA100" s="81">
        <f t="shared" si="44"/>
        <v>0.45</v>
      </c>
      <c r="AB100" s="81">
        <f t="shared" si="44"/>
        <v>1.8</v>
      </c>
      <c r="AC100" s="81">
        <f t="shared" si="44"/>
        <v>1.8</v>
      </c>
    </row>
    <row r="101" spans="1:30" s="14" customFormat="1" hidden="1" outlineLevel="1">
      <c r="B101" s="9" t="s">
        <v>292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>
        <v>0</v>
      </c>
      <c r="S101" s="28">
        <v>0</v>
      </c>
      <c r="T101" s="28">
        <v>29</v>
      </c>
      <c r="U101" s="28">
        <v>57</v>
      </c>
      <c r="V101" s="28">
        <v>97</v>
      </c>
      <c r="W101" s="28">
        <v>191</v>
      </c>
      <c r="X101" s="28">
        <v>307</v>
      </c>
      <c r="Y101" s="28">
        <v>383</v>
      </c>
      <c r="Z101" s="28">
        <v>215</v>
      </c>
      <c r="AA101" s="28">
        <v>245</v>
      </c>
      <c r="AB101" s="28">
        <v>314</v>
      </c>
      <c r="AC101" s="28">
        <v>377</v>
      </c>
    </row>
    <row r="102" spans="1:30" s="14" customFormat="1" hidden="1" outlineLevel="1">
      <c r="B102" s="60" t="s">
        <v>483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81">
        <f t="shared" ref="R102:AC102" si="45">+R101*R$106</f>
        <v>0</v>
      </c>
      <c r="S102" s="81">
        <f t="shared" si="45"/>
        <v>0</v>
      </c>
      <c r="T102" s="81">
        <f t="shared" si="45"/>
        <v>13.05</v>
      </c>
      <c r="U102" s="81">
        <f t="shared" si="45"/>
        <v>25.650000000000002</v>
      </c>
      <c r="V102" s="81">
        <f t="shared" si="45"/>
        <v>43.65</v>
      </c>
      <c r="W102" s="81">
        <f t="shared" si="45"/>
        <v>85.95</v>
      </c>
      <c r="X102" s="81">
        <f t="shared" si="45"/>
        <v>138.15</v>
      </c>
      <c r="Y102" s="81">
        <f t="shared" si="45"/>
        <v>172.35</v>
      </c>
      <c r="Z102" s="81">
        <f t="shared" si="45"/>
        <v>96.75</v>
      </c>
      <c r="AA102" s="81">
        <f t="shared" si="45"/>
        <v>110.25</v>
      </c>
      <c r="AB102" s="81">
        <f t="shared" si="45"/>
        <v>141.30000000000001</v>
      </c>
      <c r="AC102" s="81">
        <f t="shared" si="45"/>
        <v>169.65</v>
      </c>
    </row>
    <row r="103" spans="1:30" s="14" customFormat="1" hidden="1" outlineLevel="1">
      <c r="B103" s="9" t="s">
        <v>293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>
        <v>0</v>
      </c>
      <c r="S103" s="28">
        <v>0</v>
      </c>
      <c r="T103" s="28">
        <v>0</v>
      </c>
      <c r="U103" s="28">
        <v>15</v>
      </c>
      <c r="V103" s="28">
        <v>30</v>
      </c>
      <c r="W103" s="28">
        <v>50</v>
      </c>
      <c r="X103" s="28">
        <v>162</v>
      </c>
      <c r="Y103" s="28">
        <v>155</v>
      </c>
      <c r="Z103" s="28">
        <v>208</v>
      </c>
      <c r="AA103" s="28">
        <v>230</v>
      </c>
      <c r="AB103" s="28">
        <v>265</v>
      </c>
      <c r="AC103" s="28">
        <v>279</v>
      </c>
    </row>
    <row r="104" spans="1:30" s="14" customFormat="1" hidden="1" outlineLevel="1">
      <c r="B104" s="60" t="s">
        <v>483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81">
        <f t="shared" ref="R104:AC104" si="46">+R103*R$106</f>
        <v>0</v>
      </c>
      <c r="S104" s="81">
        <f t="shared" si="46"/>
        <v>0</v>
      </c>
      <c r="T104" s="81">
        <f t="shared" si="46"/>
        <v>0</v>
      </c>
      <c r="U104" s="81">
        <f t="shared" si="46"/>
        <v>6.75</v>
      </c>
      <c r="V104" s="81">
        <f t="shared" si="46"/>
        <v>13.5</v>
      </c>
      <c r="W104" s="81">
        <f t="shared" si="46"/>
        <v>22.5</v>
      </c>
      <c r="X104" s="81">
        <f t="shared" si="46"/>
        <v>72.900000000000006</v>
      </c>
      <c r="Y104" s="81">
        <f t="shared" si="46"/>
        <v>69.75</v>
      </c>
      <c r="Z104" s="81">
        <f t="shared" si="46"/>
        <v>93.600000000000009</v>
      </c>
      <c r="AA104" s="81">
        <f t="shared" si="46"/>
        <v>103.5</v>
      </c>
      <c r="AB104" s="81">
        <f t="shared" si="46"/>
        <v>119.25</v>
      </c>
      <c r="AC104" s="81">
        <f t="shared" si="46"/>
        <v>125.55</v>
      </c>
    </row>
    <row r="105" spans="1:30" s="14" customFormat="1" collapsed="1">
      <c r="A105" s="70"/>
      <c r="B105" s="73" t="s">
        <v>531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72">
        <f t="shared" ref="R105:AC105" si="47">+SUM(R100+R102+R104)</f>
        <v>0</v>
      </c>
      <c r="S105" s="72">
        <f t="shared" si="47"/>
        <v>0</v>
      </c>
      <c r="T105" s="72">
        <f t="shared" si="47"/>
        <v>13.05</v>
      </c>
      <c r="U105" s="72">
        <f t="shared" si="47"/>
        <v>32.400000000000006</v>
      </c>
      <c r="V105" s="72">
        <f t="shared" si="47"/>
        <v>57.15</v>
      </c>
      <c r="W105" s="72">
        <f t="shared" si="47"/>
        <v>108.45</v>
      </c>
      <c r="X105" s="72">
        <f t="shared" si="47"/>
        <v>211.05</v>
      </c>
      <c r="Y105" s="72">
        <f t="shared" si="47"/>
        <v>243</v>
      </c>
      <c r="Z105" s="72">
        <f t="shared" si="47"/>
        <v>190.35000000000002</v>
      </c>
      <c r="AA105" s="72">
        <f t="shared" si="47"/>
        <v>214.2</v>
      </c>
      <c r="AB105" s="72">
        <f t="shared" si="47"/>
        <v>262.35000000000002</v>
      </c>
      <c r="AC105" s="72">
        <f t="shared" si="47"/>
        <v>297</v>
      </c>
      <c r="AD105" s="11"/>
    </row>
    <row r="106" spans="1:30" s="14" customFormat="1">
      <c r="B106" s="60" t="s">
        <v>483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71">
        <v>0.45</v>
      </c>
      <c r="S106" s="71">
        <v>0.45</v>
      </c>
      <c r="T106" s="71">
        <v>0.45</v>
      </c>
      <c r="U106" s="71">
        <v>0.45</v>
      </c>
      <c r="V106" s="71">
        <v>0.45</v>
      </c>
      <c r="W106" s="71">
        <v>0.45</v>
      </c>
      <c r="X106" s="71">
        <v>0.45</v>
      </c>
      <c r="Y106" s="71">
        <v>0.45</v>
      </c>
      <c r="Z106" s="71">
        <v>0.45</v>
      </c>
      <c r="AA106" s="71">
        <v>0.45</v>
      </c>
      <c r="AB106" s="71">
        <v>0.45</v>
      </c>
      <c r="AC106" s="71">
        <v>0.45</v>
      </c>
      <c r="AD106" s="11"/>
    </row>
    <row r="107" spans="1:30" s="17" customFormat="1">
      <c r="B107" s="80" t="s">
        <v>532</v>
      </c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79">
        <f t="shared" ref="R107:AC107" si="48">+(R99+R101+R103)/(R103+R101+R99+R93+R91+R89+R87)</f>
        <v>0</v>
      </c>
      <c r="S107" s="79">
        <f t="shared" si="48"/>
        <v>0</v>
      </c>
      <c r="T107" s="79">
        <f t="shared" si="48"/>
        <v>5.5876685934489405E-2</v>
      </c>
      <c r="U107" s="79">
        <f t="shared" si="48"/>
        <v>0.12926391382405744</v>
      </c>
      <c r="V107" s="79">
        <f t="shared" si="48"/>
        <v>0.2292418772563177</v>
      </c>
      <c r="W107" s="79">
        <f t="shared" si="48"/>
        <v>0.41337907375643224</v>
      </c>
      <c r="X107" s="79">
        <f t="shared" si="48"/>
        <v>0.74800637958532701</v>
      </c>
      <c r="Y107" s="79">
        <f t="shared" si="48"/>
        <v>0.86956521739130432</v>
      </c>
      <c r="Z107" s="79">
        <f t="shared" si="48"/>
        <v>0.96136363636363631</v>
      </c>
      <c r="AA107" s="79">
        <f t="shared" si="48"/>
        <v>0.96161616161616159</v>
      </c>
      <c r="AB107" s="79">
        <f t="shared" si="48"/>
        <v>1</v>
      </c>
      <c r="AC107" s="79">
        <f t="shared" si="48"/>
        <v>1</v>
      </c>
      <c r="AD107" s="16"/>
    </row>
    <row r="108" spans="1:30" s="14" customFormat="1">
      <c r="B108" s="60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11"/>
    </row>
    <row r="109" spans="1:30" s="14" customFormat="1">
      <c r="B109" s="74" t="s">
        <v>505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>
        <v>105</v>
      </c>
      <c r="S109" s="28">
        <v>108</v>
      </c>
      <c r="T109" s="28">
        <v>106</v>
      </c>
      <c r="U109" s="28">
        <v>85</v>
      </c>
      <c r="V109" s="28">
        <v>66</v>
      </c>
      <c r="W109" s="28">
        <v>57</v>
      </c>
      <c r="X109" s="28">
        <v>40</v>
      </c>
      <c r="Y109" s="28">
        <v>1</v>
      </c>
      <c r="Z109" s="28">
        <v>0</v>
      </c>
      <c r="AA109" s="28">
        <v>0</v>
      </c>
      <c r="AB109" s="28">
        <v>0</v>
      </c>
      <c r="AC109" s="28">
        <v>0</v>
      </c>
    </row>
    <row r="110" spans="1:30" s="14" customFormat="1">
      <c r="B110" s="74" t="s">
        <v>506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>
        <v>0</v>
      </c>
      <c r="S110" s="28">
        <v>0</v>
      </c>
      <c r="T110" s="28">
        <v>0</v>
      </c>
      <c r="U110" s="28">
        <v>0</v>
      </c>
      <c r="V110" s="28">
        <v>4</v>
      </c>
      <c r="W110" s="28">
        <v>7</v>
      </c>
      <c r="X110" s="28">
        <v>11</v>
      </c>
      <c r="Y110" s="28">
        <v>45</v>
      </c>
      <c r="Z110" s="28">
        <v>22</v>
      </c>
      <c r="AA110" s="28">
        <v>22</v>
      </c>
      <c r="AB110" s="28">
        <v>27</v>
      </c>
      <c r="AC110" s="28">
        <v>27</v>
      </c>
    </row>
    <row r="111" spans="1:30" s="14" customFormat="1">
      <c r="B111" s="78" t="s">
        <v>537</v>
      </c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6">
        <f t="shared" ref="R111:AC111" si="49">(R110+R109)/11</f>
        <v>9.545454545454545</v>
      </c>
      <c r="S111" s="76">
        <f t="shared" si="49"/>
        <v>9.8181818181818183</v>
      </c>
      <c r="T111" s="76">
        <f t="shared" si="49"/>
        <v>9.6363636363636367</v>
      </c>
      <c r="U111" s="76">
        <f t="shared" si="49"/>
        <v>7.7272727272727275</v>
      </c>
      <c r="V111" s="76">
        <f t="shared" si="49"/>
        <v>6.3636363636363633</v>
      </c>
      <c r="W111" s="76">
        <f t="shared" si="49"/>
        <v>5.8181818181818183</v>
      </c>
      <c r="X111" s="76">
        <f t="shared" si="49"/>
        <v>4.6363636363636367</v>
      </c>
      <c r="Y111" s="76">
        <f t="shared" si="49"/>
        <v>4.1818181818181817</v>
      </c>
      <c r="Z111" s="76">
        <f t="shared" si="49"/>
        <v>2</v>
      </c>
      <c r="AA111" s="76">
        <f t="shared" si="49"/>
        <v>2</v>
      </c>
      <c r="AB111" s="76">
        <f t="shared" si="49"/>
        <v>2.4545454545454546</v>
      </c>
      <c r="AC111" s="76">
        <f t="shared" si="49"/>
        <v>2.4545454545454546</v>
      </c>
    </row>
    <row r="112" spans="1:30" s="14" customFormat="1">
      <c r="A112" s="70"/>
      <c r="B112" s="73" t="s">
        <v>536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72">
        <f t="shared" ref="R112:AC112" si="50">R109*R113+R110*R114</f>
        <v>98.699999999999989</v>
      </c>
      <c r="S112" s="72">
        <f t="shared" si="50"/>
        <v>101.52</v>
      </c>
      <c r="T112" s="72">
        <f t="shared" si="50"/>
        <v>99.64</v>
      </c>
      <c r="U112" s="72">
        <f t="shared" si="50"/>
        <v>79.899999999999991</v>
      </c>
      <c r="V112" s="72">
        <f t="shared" si="50"/>
        <v>66.239999999999995</v>
      </c>
      <c r="W112" s="72">
        <f t="shared" si="50"/>
        <v>60.93</v>
      </c>
      <c r="X112" s="72">
        <f t="shared" si="50"/>
        <v>49.149999999999991</v>
      </c>
      <c r="Y112" s="72">
        <f t="shared" si="50"/>
        <v>48.19</v>
      </c>
      <c r="Z112" s="72">
        <f t="shared" si="50"/>
        <v>23.1</v>
      </c>
      <c r="AA112" s="72">
        <f t="shared" si="50"/>
        <v>23.1</v>
      </c>
      <c r="AB112" s="72">
        <f t="shared" si="50"/>
        <v>28.35</v>
      </c>
      <c r="AC112" s="72">
        <f t="shared" si="50"/>
        <v>28.35</v>
      </c>
    </row>
    <row r="113" spans="1:30" s="14" customFormat="1">
      <c r="B113" s="60" t="s">
        <v>535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71">
        <v>0.94</v>
      </c>
      <c r="S113" s="71">
        <v>0.94</v>
      </c>
      <c r="T113" s="71">
        <v>0.94</v>
      </c>
      <c r="U113" s="71">
        <v>0.94</v>
      </c>
      <c r="V113" s="71">
        <v>0.94</v>
      </c>
      <c r="W113" s="71">
        <v>0.94</v>
      </c>
      <c r="X113" s="71">
        <v>0.94</v>
      </c>
      <c r="Y113" s="71">
        <v>0.94</v>
      </c>
      <c r="Z113" s="71">
        <v>0.94</v>
      </c>
      <c r="AA113" s="71">
        <v>0.94</v>
      </c>
      <c r="AB113" s="71">
        <v>0.94</v>
      </c>
      <c r="AC113" s="71">
        <v>0.94</v>
      </c>
    </row>
    <row r="114" spans="1:30" s="14" customFormat="1">
      <c r="B114" s="60" t="s">
        <v>529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71">
        <v>1.05</v>
      </c>
      <c r="S114" s="71">
        <v>1.05</v>
      </c>
      <c r="T114" s="71">
        <v>1.05</v>
      </c>
      <c r="U114" s="71">
        <v>1.05</v>
      </c>
      <c r="V114" s="71">
        <v>1.05</v>
      </c>
      <c r="W114" s="71">
        <v>1.05</v>
      </c>
      <c r="X114" s="71">
        <v>1.05</v>
      </c>
      <c r="Y114" s="71">
        <v>1.05</v>
      </c>
      <c r="Z114" s="71">
        <v>1.05</v>
      </c>
      <c r="AA114" s="71">
        <v>1.05</v>
      </c>
      <c r="AB114" s="71">
        <v>1.05</v>
      </c>
      <c r="AC114" s="71">
        <v>1.05</v>
      </c>
    </row>
    <row r="115" spans="1:30" s="14" customFormat="1">
      <c r="B115" s="60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11"/>
    </row>
    <row r="116" spans="1:30" s="14" customFormat="1">
      <c r="B116" s="74" t="s">
        <v>294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>
        <v>0</v>
      </c>
      <c r="S116" s="28">
        <v>10</v>
      </c>
      <c r="T116" s="28">
        <v>19</v>
      </c>
      <c r="U116" s="28">
        <v>32</v>
      </c>
      <c r="V116" s="28">
        <v>69</v>
      </c>
      <c r="W116" s="28">
        <v>88</v>
      </c>
      <c r="X116" s="28">
        <v>99</v>
      </c>
      <c r="Y116" s="28">
        <v>107</v>
      </c>
      <c r="Z116" s="28">
        <v>66</v>
      </c>
      <c r="AA116" s="28">
        <v>72</v>
      </c>
      <c r="AB116" s="28">
        <v>77</v>
      </c>
      <c r="AC116" s="28">
        <v>82</v>
      </c>
    </row>
    <row r="117" spans="1:30" s="75" customFormat="1">
      <c r="B117" s="78" t="s">
        <v>528</v>
      </c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6">
        <f t="shared" ref="R117:AC117" si="51">R116/11</f>
        <v>0</v>
      </c>
      <c r="S117" s="76">
        <f t="shared" si="51"/>
        <v>0.90909090909090906</v>
      </c>
      <c r="T117" s="76">
        <f t="shared" si="51"/>
        <v>1.7272727272727273</v>
      </c>
      <c r="U117" s="76">
        <f t="shared" si="51"/>
        <v>2.9090909090909092</v>
      </c>
      <c r="V117" s="76">
        <f t="shared" si="51"/>
        <v>6.2727272727272725</v>
      </c>
      <c r="W117" s="76">
        <f t="shared" si="51"/>
        <v>8</v>
      </c>
      <c r="X117" s="76">
        <f t="shared" si="51"/>
        <v>9</v>
      </c>
      <c r="Y117" s="76">
        <f t="shared" si="51"/>
        <v>9.7272727272727266</v>
      </c>
      <c r="Z117" s="76">
        <f t="shared" si="51"/>
        <v>6</v>
      </c>
      <c r="AA117" s="76">
        <f t="shared" si="51"/>
        <v>6.5454545454545459</v>
      </c>
      <c r="AB117" s="76">
        <f t="shared" si="51"/>
        <v>7</v>
      </c>
      <c r="AC117" s="76">
        <f t="shared" si="51"/>
        <v>7.4545454545454541</v>
      </c>
    </row>
    <row r="118" spans="1:30" s="14" customFormat="1">
      <c r="A118" s="70"/>
      <c r="B118" s="73" t="s">
        <v>503</v>
      </c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72">
        <f t="shared" ref="R118:AC118" si="52">R116*R119</f>
        <v>0</v>
      </c>
      <c r="S118" s="72">
        <f t="shared" si="52"/>
        <v>50.4</v>
      </c>
      <c r="T118" s="72">
        <f t="shared" si="52"/>
        <v>95.76</v>
      </c>
      <c r="U118" s="72">
        <f t="shared" si="52"/>
        <v>161.28</v>
      </c>
      <c r="V118" s="72">
        <f t="shared" si="52"/>
        <v>347.76</v>
      </c>
      <c r="W118" s="72">
        <f t="shared" si="52"/>
        <v>422.4</v>
      </c>
      <c r="X118" s="72">
        <f t="shared" si="52"/>
        <v>475.2</v>
      </c>
      <c r="Y118" s="72">
        <f t="shared" si="52"/>
        <v>513.6</v>
      </c>
      <c r="Z118" s="72">
        <f t="shared" si="52"/>
        <v>316.8</v>
      </c>
      <c r="AA118" s="72">
        <f t="shared" si="52"/>
        <v>345.59999999999997</v>
      </c>
      <c r="AB118" s="72">
        <f t="shared" si="52"/>
        <v>369.59999999999997</v>
      </c>
      <c r="AC118" s="72">
        <f t="shared" si="52"/>
        <v>393.59999999999997</v>
      </c>
    </row>
    <row r="119" spans="1:30" s="14" customFormat="1">
      <c r="B119" s="60" t="s">
        <v>483</v>
      </c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71">
        <v>5.04</v>
      </c>
      <c r="S119" s="71">
        <v>5.04</v>
      </c>
      <c r="T119" s="71">
        <v>5.04</v>
      </c>
      <c r="U119" s="71">
        <v>5.04</v>
      </c>
      <c r="V119" s="71">
        <v>5.04</v>
      </c>
      <c r="W119" s="71">
        <v>4.8</v>
      </c>
      <c r="X119" s="71">
        <v>4.8</v>
      </c>
      <c r="Y119" s="71">
        <v>4.8</v>
      </c>
      <c r="Z119" s="71">
        <v>4.8</v>
      </c>
      <c r="AA119" s="71">
        <v>4.8</v>
      </c>
      <c r="AB119" s="71">
        <v>4.8</v>
      </c>
      <c r="AC119" s="71">
        <v>4.8</v>
      </c>
    </row>
    <row r="120" spans="1:30" s="14" customFormat="1">
      <c r="B120" s="60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11"/>
    </row>
    <row r="121" spans="1:30" s="14" customFormat="1">
      <c r="B121" s="74" t="s">
        <v>295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>
        <v>28</v>
      </c>
      <c r="S121" s="28">
        <v>28</v>
      </c>
      <c r="T121" s="28">
        <v>29</v>
      </c>
      <c r="U121" s="28">
        <v>27</v>
      </c>
      <c r="V121" s="28">
        <v>24</v>
      </c>
      <c r="W121" s="28">
        <v>14</v>
      </c>
      <c r="X121" s="28">
        <v>10</v>
      </c>
      <c r="Y121" s="28">
        <v>2</v>
      </c>
      <c r="Z121" s="28">
        <v>1</v>
      </c>
      <c r="AA121" s="28">
        <v>1</v>
      </c>
      <c r="AB121" s="28">
        <v>0</v>
      </c>
      <c r="AC121" s="28">
        <v>0</v>
      </c>
    </row>
    <row r="122" spans="1:30" s="14" customFormat="1">
      <c r="A122" s="70"/>
      <c r="B122" s="73" t="s">
        <v>504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72">
        <f t="shared" ref="R122:AC122" si="53">+R121*R123</f>
        <v>109.2</v>
      </c>
      <c r="S122" s="72">
        <f t="shared" si="53"/>
        <v>109.2</v>
      </c>
      <c r="T122" s="72">
        <f t="shared" si="53"/>
        <v>113.1</v>
      </c>
      <c r="U122" s="72">
        <f t="shared" si="53"/>
        <v>105.3</v>
      </c>
      <c r="V122" s="72">
        <f t="shared" si="53"/>
        <v>93.6</v>
      </c>
      <c r="W122" s="72">
        <f t="shared" si="53"/>
        <v>54.6</v>
      </c>
      <c r="X122" s="72">
        <f t="shared" si="53"/>
        <v>39</v>
      </c>
      <c r="Y122" s="72">
        <f t="shared" si="53"/>
        <v>7.8</v>
      </c>
      <c r="Z122" s="72">
        <f t="shared" si="53"/>
        <v>3.9</v>
      </c>
      <c r="AA122" s="72">
        <f t="shared" si="53"/>
        <v>3.9</v>
      </c>
      <c r="AB122" s="72">
        <f t="shared" si="53"/>
        <v>0</v>
      </c>
      <c r="AC122" s="72">
        <f t="shared" si="53"/>
        <v>0</v>
      </c>
    </row>
    <row r="123" spans="1:30" s="14" customFormat="1">
      <c r="B123" s="60" t="s">
        <v>483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71">
        <v>3.9</v>
      </c>
      <c r="S123" s="71">
        <v>3.9</v>
      </c>
      <c r="T123" s="71">
        <v>3.9</v>
      </c>
      <c r="U123" s="71">
        <v>3.9</v>
      </c>
      <c r="V123" s="71">
        <v>3.9</v>
      </c>
      <c r="W123" s="71">
        <v>3.9</v>
      </c>
      <c r="X123" s="71">
        <v>3.9</v>
      </c>
      <c r="Y123" s="71">
        <v>3.9</v>
      </c>
      <c r="Z123" s="71">
        <v>3.9</v>
      </c>
      <c r="AA123" s="71">
        <v>3.9</v>
      </c>
      <c r="AB123" s="71">
        <v>3.9</v>
      </c>
      <c r="AC123" s="71">
        <v>3.9</v>
      </c>
    </row>
    <row r="124" spans="1:30" s="14" customFormat="1">
      <c r="B124" s="60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</row>
    <row r="125" spans="1:30" s="14" customFormat="1">
      <c r="A125" s="70"/>
      <c r="B125" s="69" t="s">
        <v>518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68">
        <f t="shared" ref="R125:AC125" si="54">+SUM(R79,R98,R110,R116,R121)/R126</f>
        <v>4.6052631578947366E-2</v>
      </c>
      <c r="S125" s="68">
        <f t="shared" si="54"/>
        <v>5.9561128526645767E-2</v>
      </c>
      <c r="T125" s="68">
        <f t="shared" si="54"/>
        <v>0.11441307578008915</v>
      </c>
      <c r="U125" s="68">
        <f t="shared" si="54"/>
        <v>0.18687589158345222</v>
      </c>
      <c r="V125" s="68">
        <f t="shared" si="54"/>
        <v>0.31241283124128311</v>
      </c>
      <c r="W125" s="68">
        <f t="shared" si="54"/>
        <v>0.46728971962616822</v>
      </c>
      <c r="X125" s="68">
        <f t="shared" si="54"/>
        <v>0.75824175824175821</v>
      </c>
      <c r="Y125" s="68">
        <f t="shared" si="54"/>
        <v>0.89926289926289926</v>
      </c>
      <c r="Z125" s="68">
        <f t="shared" si="54"/>
        <v>0.97012302284710017</v>
      </c>
      <c r="AA125" s="68">
        <f t="shared" si="54"/>
        <v>0.97076923076923072</v>
      </c>
      <c r="AB125" s="68">
        <f t="shared" si="54"/>
        <v>1</v>
      </c>
      <c r="AC125" s="68">
        <f t="shared" si="54"/>
        <v>1</v>
      </c>
    </row>
    <row r="126" spans="1:30" s="14" customFormat="1">
      <c r="B126" s="67" t="s">
        <v>517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>
        <f t="shared" ref="R126:AC126" si="55">+SUM(R121,R116,R110,R109,R98,R86,R79)</f>
        <v>608</v>
      </c>
      <c r="S126" s="28">
        <f t="shared" si="55"/>
        <v>638</v>
      </c>
      <c r="T126" s="28">
        <f t="shared" si="55"/>
        <v>673</v>
      </c>
      <c r="U126" s="28">
        <f t="shared" si="55"/>
        <v>701</v>
      </c>
      <c r="V126" s="28">
        <f t="shared" si="55"/>
        <v>717</v>
      </c>
      <c r="W126" s="28">
        <f t="shared" si="55"/>
        <v>749</v>
      </c>
      <c r="X126" s="28">
        <f t="shared" si="55"/>
        <v>819</v>
      </c>
      <c r="Y126" s="28">
        <f t="shared" si="55"/>
        <v>814</v>
      </c>
      <c r="Z126" s="28">
        <f t="shared" si="55"/>
        <v>569</v>
      </c>
      <c r="AA126" s="28">
        <f t="shared" si="55"/>
        <v>650</v>
      </c>
      <c r="AB126" s="28">
        <f t="shared" si="55"/>
        <v>767</v>
      </c>
      <c r="AC126" s="28">
        <f t="shared" si="55"/>
        <v>889</v>
      </c>
      <c r="AD126" s="11"/>
    </row>
    <row r="127" spans="1:30" s="14" customFormat="1">
      <c r="B127" s="67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11"/>
    </row>
    <row r="128" spans="1:30" s="17" customFormat="1">
      <c r="B128" s="13" t="s">
        <v>522</v>
      </c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28">
        <v>44</v>
      </c>
      <c r="S128" s="28">
        <v>28</v>
      </c>
      <c r="T128" s="28">
        <v>32</v>
      </c>
      <c r="U128" s="28">
        <v>53</v>
      </c>
      <c r="V128" s="28">
        <v>49</v>
      </c>
      <c r="W128" s="28">
        <v>40</v>
      </c>
      <c r="X128" s="28">
        <v>1</v>
      </c>
      <c r="Y128" s="28">
        <v>-0.5</v>
      </c>
      <c r="Z128" s="65">
        <v>0</v>
      </c>
      <c r="AA128" s="65">
        <v>0</v>
      </c>
      <c r="AB128" s="65">
        <v>0</v>
      </c>
      <c r="AC128" s="65">
        <v>0</v>
      </c>
    </row>
    <row r="129" spans="1:30" s="17" customFormat="1">
      <c r="A129" s="64"/>
      <c r="B129" s="63" t="s">
        <v>521</v>
      </c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1">
        <f t="shared" ref="R129:AC129" si="56">+SUM(R80+R95+R105+R112+R118+R122,R128)</f>
        <v>394.4</v>
      </c>
      <c r="S129" s="61">
        <f t="shared" si="56"/>
        <v>436.71999999999997</v>
      </c>
      <c r="T129" s="61">
        <f t="shared" si="56"/>
        <v>500.54999999999995</v>
      </c>
      <c r="U129" s="61">
        <f t="shared" si="56"/>
        <v>577.38</v>
      </c>
      <c r="V129" s="61">
        <f t="shared" si="56"/>
        <v>741.85</v>
      </c>
      <c r="W129" s="61">
        <f t="shared" si="56"/>
        <v>788.98</v>
      </c>
      <c r="X129" s="61">
        <f t="shared" si="56"/>
        <v>832.4</v>
      </c>
      <c r="Y129" s="61">
        <f t="shared" si="56"/>
        <v>847.79</v>
      </c>
      <c r="Z129" s="61">
        <f t="shared" si="56"/>
        <v>551.25</v>
      </c>
      <c r="AA129" s="61">
        <f t="shared" si="56"/>
        <v>610.49999999999989</v>
      </c>
      <c r="AB129" s="61">
        <f t="shared" si="56"/>
        <v>684.3</v>
      </c>
      <c r="AC129" s="61">
        <f t="shared" si="56"/>
        <v>754.95</v>
      </c>
      <c r="AD129" s="16"/>
    </row>
    <row r="130" spans="1:30" s="14" customFormat="1">
      <c r="B130" s="60" t="s">
        <v>502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7"/>
      <c r="S130" s="59">
        <f t="shared" ref="S130:AC130" si="57">+S129/R129-1</f>
        <v>0.10730223123732241</v>
      </c>
      <c r="T130" s="59">
        <f t="shared" si="57"/>
        <v>0.14615772119435788</v>
      </c>
      <c r="U130" s="59">
        <f t="shared" si="57"/>
        <v>0.15349115972430338</v>
      </c>
      <c r="V130" s="59">
        <f t="shared" si="57"/>
        <v>0.28485572759707645</v>
      </c>
      <c r="W130" s="59">
        <f t="shared" si="57"/>
        <v>6.3530363280986712E-2</v>
      </c>
      <c r="X130" s="59">
        <f t="shared" si="57"/>
        <v>5.5033080686455849E-2</v>
      </c>
      <c r="Y130" s="59">
        <f t="shared" si="57"/>
        <v>1.8488707352234401E-2</v>
      </c>
      <c r="Z130" s="59">
        <f t="shared" si="57"/>
        <v>-0.3497800162776159</v>
      </c>
      <c r="AA130" s="59">
        <f t="shared" si="57"/>
        <v>0.10748299319727872</v>
      </c>
      <c r="AB130" s="59">
        <f t="shared" si="57"/>
        <v>0.12088452088452106</v>
      </c>
      <c r="AC130" s="59">
        <f t="shared" si="57"/>
        <v>0.10324419114423522</v>
      </c>
    </row>
    <row r="131" spans="1:30" s="54" customFormat="1">
      <c r="B131" s="58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6"/>
      <c r="S131" s="56"/>
      <c r="T131" s="56"/>
      <c r="U131" s="56"/>
      <c r="V131" s="56"/>
      <c r="W131" s="56"/>
      <c r="X131" s="56"/>
      <c r="Y131" s="55"/>
      <c r="Z131" s="55"/>
      <c r="AA131" s="55"/>
      <c r="AB131" s="55"/>
      <c r="AC131" s="55"/>
    </row>
    <row r="132" spans="1:30" s="14" customFormat="1">
      <c r="A132" s="53"/>
      <c r="B132" s="53" t="s">
        <v>297</v>
      </c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1">
        <f t="shared" ref="R132:AC132" si="58">+R129+R74</f>
        <v>788.54</v>
      </c>
      <c r="S132" s="51">
        <f t="shared" si="58"/>
        <v>940.26</v>
      </c>
      <c r="T132" s="51">
        <f t="shared" si="58"/>
        <v>1020.4</v>
      </c>
      <c r="U132" s="51">
        <f t="shared" si="58"/>
        <v>1117.22</v>
      </c>
      <c r="V132" s="51">
        <f t="shared" si="58"/>
        <v>1262.6300000000001</v>
      </c>
      <c r="W132" s="51">
        <f t="shared" si="58"/>
        <v>1242.92</v>
      </c>
      <c r="X132" s="51">
        <f t="shared" si="58"/>
        <v>1335.42</v>
      </c>
      <c r="Y132" s="51">
        <f t="shared" si="58"/>
        <v>1390.26</v>
      </c>
      <c r="Z132" s="51">
        <f t="shared" si="58"/>
        <v>782.86</v>
      </c>
      <c r="AA132" s="51">
        <f t="shared" si="58"/>
        <v>886.06</v>
      </c>
      <c r="AB132" s="51">
        <f t="shared" si="58"/>
        <v>996.19999999999993</v>
      </c>
      <c r="AC132" s="51">
        <f t="shared" si="58"/>
        <v>1141.6500000000001</v>
      </c>
    </row>
    <row r="133" spans="1:30" s="14" customFormat="1" ht="12.75" thickBot="1">
      <c r="B133" s="50" t="s">
        <v>296</v>
      </c>
      <c r="C133" s="49"/>
      <c r="D133" s="49"/>
      <c r="E133" s="49"/>
      <c r="F133" s="49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7"/>
      <c r="S133" s="46">
        <f t="shared" ref="S133:AC133" si="59">+S132/R132-1</f>
        <v>0.19240621908844191</v>
      </c>
      <c r="T133" s="46">
        <f t="shared" si="59"/>
        <v>8.5231744411120358E-2</v>
      </c>
      <c r="U133" s="46">
        <f t="shared" si="59"/>
        <v>9.4884359074872693E-2</v>
      </c>
      <c r="V133" s="46">
        <f t="shared" si="59"/>
        <v>0.13015341651599521</v>
      </c>
      <c r="W133" s="46">
        <f t="shared" si="59"/>
        <v>-1.5610273793589591E-2</v>
      </c>
      <c r="X133" s="46">
        <f t="shared" si="59"/>
        <v>7.4421523509155874E-2</v>
      </c>
      <c r="Y133" s="46">
        <f t="shared" si="59"/>
        <v>4.1065732129217603E-2</v>
      </c>
      <c r="Z133" s="46">
        <f t="shared" si="59"/>
        <v>-0.4368966955821213</v>
      </c>
      <c r="AA133" s="46">
        <f t="shared" si="59"/>
        <v>0.13182433640753133</v>
      </c>
      <c r="AB133" s="46">
        <f t="shared" si="59"/>
        <v>0.12430309459855993</v>
      </c>
      <c r="AC133" s="46">
        <f t="shared" si="59"/>
        <v>0.14600481830957657</v>
      </c>
    </row>
  </sheetData>
  <printOptions horizontalCentered="1" verticalCentered="1"/>
  <pageMargins left="0.8" right="0" top="0.2" bottom="0.2" header="0.5" footer="0.5"/>
  <pageSetup scale="15" orientation="portrait" r:id="rId1"/>
  <headerFooter alignWithMargins="0"/>
  <customProperties>
    <customPr name="Qube.Worksheet.Visibility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7FDD-9048-8A46-A77B-86B4A9303C6D}">
  <sheetPr>
    <tabColor theme="5" tint="-0.499984740745262"/>
    <pageSetUpPr fitToPage="1"/>
  </sheetPr>
  <dimension ref="A1:CT59"/>
  <sheetViews>
    <sheetView showGridLines="0" tabSelected="1" zoomScaleNormal="100" workbookViewId="0">
      <pane xSplit="2" ySplit="4" topLeftCell="BB5" activePane="bottomRight" state="frozen"/>
      <selection activeCell="CL26" sqref="CL26"/>
      <selection pane="topRight" activeCell="CL26" sqref="CL26"/>
      <selection pane="bottomLeft" activeCell="CL26" sqref="CL26"/>
      <selection pane="bottomRight" activeCell="CV26" sqref="CV26:CZ27"/>
    </sheetView>
  </sheetViews>
  <sheetFormatPr defaultColWidth="9.85546875" defaultRowHeight="12" outlineLevelRow="1" outlineLevelCol="1"/>
  <cols>
    <col min="1" max="1" width="1.85546875" style="1" customWidth="1"/>
    <col min="2" max="2" width="41.85546875" style="1" customWidth="1"/>
    <col min="3" max="9" width="9.85546875" style="1" hidden="1" customWidth="1"/>
    <col min="10" max="13" width="9.85546875" style="1" hidden="1" customWidth="1" outlineLevel="1"/>
    <col min="14" max="14" width="9.85546875" style="1" hidden="1" customWidth="1" collapsed="1"/>
    <col min="15" max="18" width="9.85546875" style="1" hidden="1" customWidth="1" outlineLevel="1"/>
    <col min="19" max="19" width="9.85546875" style="1" hidden="1" customWidth="1" collapsed="1"/>
    <col min="20" max="23" width="9.85546875" style="1" hidden="1" customWidth="1" outlineLevel="1"/>
    <col min="24" max="24" width="9.85546875" style="1" hidden="1" customWidth="1" collapsed="1"/>
    <col min="25" max="28" width="9.85546875" style="1" hidden="1" customWidth="1" outlineLevel="1"/>
    <col min="29" max="29" width="9.85546875" style="1" hidden="1" customWidth="1" collapsed="1"/>
    <col min="30" max="33" width="9.85546875" style="1" hidden="1" customWidth="1" outlineLevel="1"/>
    <col min="34" max="34" width="9.85546875" style="1" hidden="1" customWidth="1" collapsed="1"/>
    <col min="35" max="38" width="9.85546875" style="1" hidden="1" customWidth="1" outlineLevel="1"/>
    <col min="39" max="39" width="9.85546875" style="1" hidden="1" customWidth="1" collapsed="1"/>
    <col min="40" max="43" width="9.85546875" style="1" hidden="1" customWidth="1" outlineLevel="1"/>
    <col min="44" max="44" width="9.85546875" style="1" hidden="1" customWidth="1" collapsed="1"/>
    <col min="45" max="48" width="9.85546875" style="1" hidden="1" customWidth="1" outlineLevel="1"/>
    <col min="49" max="49" width="9.85546875" style="1" hidden="1" customWidth="1" collapsed="1"/>
    <col min="50" max="53" width="9.85546875" style="1" hidden="1" customWidth="1" outlineLevel="1"/>
    <col min="54" max="54" width="9.85546875" style="1" collapsed="1"/>
    <col min="55" max="58" width="9.85546875" style="1" hidden="1" customWidth="1" outlineLevel="1"/>
    <col min="59" max="59" width="9.85546875" style="1" collapsed="1"/>
    <col min="60" max="63" width="9.85546875" style="1" hidden="1" customWidth="1" outlineLevel="1"/>
    <col min="64" max="64" width="9.85546875" style="1" collapsed="1"/>
    <col min="65" max="68" width="9.85546875" style="1" hidden="1" customWidth="1" outlineLevel="1"/>
    <col min="69" max="69" width="9.85546875" style="1" collapsed="1"/>
    <col min="70" max="73" width="9.85546875" style="1" hidden="1" customWidth="1" outlineLevel="1"/>
    <col min="74" max="74" width="9.85546875" style="1" collapsed="1"/>
    <col min="75" max="78" width="9.85546875" style="1" hidden="1" customWidth="1" outlineLevel="1"/>
    <col min="79" max="79" width="9.85546875" style="1" collapsed="1"/>
    <col min="80" max="83" width="9.85546875" style="1" hidden="1" customWidth="1" outlineLevel="1"/>
    <col min="84" max="84" width="9.85546875" style="1" collapsed="1"/>
    <col min="85" max="88" width="9.85546875" style="1" hidden="1" customWidth="1" outlineLevel="1"/>
    <col min="89" max="89" width="9.85546875" style="1" collapsed="1"/>
    <col min="90" max="93" width="9.85546875" style="1" hidden="1" customWidth="1" outlineLevel="1"/>
    <col min="94" max="94" width="9.85546875" style="1" collapsed="1"/>
    <col min="95" max="16384" width="9.85546875" style="1"/>
  </cols>
  <sheetData>
    <row r="1" spans="1:97" ht="12.75" thickBot="1"/>
    <row r="2" spans="1:97" ht="6" customHeight="1">
      <c r="C2" s="45"/>
      <c r="D2" s="45"/>
      <c r="E2" s="45"/>
      <c r="F2" s="45"/>
      <c r="G2" s="45"/>
      <c r="H2" s="45"/>
      <c r="I2" s="45"/>
      <c r="N2" s="45"/>
      <c r="S2" s="45"/>
      <c r="X2" s="45"/>
      <c r="AC2" s="45"/>
      <c r="AH2" s="45"/>
      <c r="AM2" s="45"/>
      <c r="AR2" s="45"/>
      <c r="AW2" s="45"/>
      <c r="BB2" s="45"/>
      <c r="BG2" s="45"/>
      <c r="BL2" s="45"/>
      <c r="BQ2" s="45"/>
      <c r="BV2" s="45"/>
      <c r="CA2" s="45"/>
      <c r="CF2" s="45"/>
      <c r="CK2" s="45"/>
      <c r="CP2" s="45"/>
      <c r="CQ2" s="45"/>
      <c r="CR2" s="45"/>
      <c r="CS2" s="45"/>
    </row>
    <row r="3" spans="1:97" ht="15.75">
      <c r="B3" s="44" t="s">
        <v>262</v>
      </c>
      <c r="C3" s="42">
        <v>1997</v>
      </c>
      <c r="D3" s="42">
        <v>1998</v>
      </c>
      <c r="E3" s="42">
        <v>1999</v>
      </c>
      <c r="F3" s="42">
        <v>2000</v>
      </c>
      <c r="G3" s="42">
        <v>2001</v>
      </c>
      <c r="H3" s="42">
        <v>2002</v>
      </c>
      <c r="I3" s="42">
        <v>2003</v>
      </c>
      <c r="J3" s="149" t="s">
        <v>0</v>
      </c>
      <c r="K3" s="149" t="s">
        <v>1</v>
      </c>
      <c r="L3" s="149" t="s">
        <v>2</v>
      </c>
      <c r="M3" s="149" t="s">
        <v>3</v>
      </c>
      <c r="N3" s="42">
        <v>2004</v>
      </c>
      <c r="O3" s="149" t="s">
        <v>4</v>
      </c>
      <c r="P3" s="149" t="s">
        <v>5</v>
      </c>
      <c r="Q3" s="149" t="s">
        <v>6</v>
      </c>
      <c r="R3" s="149" t="s">
        <v>7</v>
      </c>
      <c r="S3" s="42">
        <v>2005</v>
      </c>
      <c r="T3" s="149" t="s">
        <v>8</v>
      </c>
      <c r="U3" s="149" t="s">
        <v>9</v>
      </c>
      <c r="V3" s="149" t="s">
        <v>10</v>
      </c>
      <c r="W3" s="149" t="s">
        <v>11</v>
      </c>
      <c r="X3" s="42">
        <v>2006</v>
      </c>
      <c r="Y3" s="149" t="s">
        <v>12</v>
      </c>
      <c r="Z3" s="149" t="s">
        <v>13</v>
      </c>
      <c r="AA3" s="149" t="s">
        <v>14</v>
      </c>
      <c r="AB3" s="149" t="s">
        <v>15</v>
      </c>
      <c r="AC3" s="42">
        <v>2007</v>
      </c>
      <c r="AD3" s="149" t="s">
        <v>16</v>
      </c>
      <c r="AE3" s="149" t="s">
        <v>17</v>
      </c>
      <c r="AF3" s="149" t="s">
        <v>18</v>
      </c>
      <c r="AG3" s="149" t="s">
        <v>19</v>
      </c>
      <c r="AH3" s="42">
        <v>2008</v>
      </c>
      <c r="AI3" s="149" t="s">
        <v>20</v>
      </c>
      <c r="AJ3" s="149" t="s">
        <v>21</v>
      </c>
      <c r="AK3" s="149" t="s">
        <v>22</v>
      </c>
      <c r="AL3" s="149" t="s">
        <v>23</v>
      </c>
      <c r="AM3" s="42">
        <v>2009</v>
      </c>
      <c r="AN3" s="149" t="s">
        <v>208</v>
      </c>
      <c r="AO3" s="149" t="s">
        <v>209</v>
      </c>
      <c r="AP3" s="149" t="s">
        <v>210</v>
      </c>
      <c r="AQ3" s="149" t="s">
        <v>211</v>
      </c>
      <c r="AR3" s="42">
        <v>2010</v>
      </c>
      <c r="AS3" s="149" t="s">
        <v>212</v>
      </c>
      <c r="AT3" s="149" t="s">
        <v>213</v>
      </c>
      <c r="AU3" s="149" t="s">
        <v>214</v>
      </c>
      <c r="AV3" s="149" t="s">
        <v>215</v>
      </c>
      <c r="AW3" s="42">
        <v>2011</v>
      </c>
      <c r="AX3" s="149" t="s">
        <v>282</v>
      </c>
      <c r="AY3" s="149" t="s">
        <v>283</v>
      </c>
      <c r="AZ3" s="149" t="s">
        <v>284</v>
      </c>
      <c r="BA3" s="149" t="s">
        <v>285</v>
      </c>
      <c r="BB3" s="42">
        <v>2012</v>
      </c>
      <c r="BC3" s="43" t="s">
        <v>308</v>
      </c>
      <c r="BD3" s="43" t="s">
        <v>309</v>
      </c>
      <c r="BE3" s="43" t="s">
        <v>310</v>
      </c>
      <c r="BF3" s="43" t="s">
        <v>311</v>
      </c>
      <c r="BG3" s="42">
        <v>2013</v>
      </c>
      <c r="BH3" s="43" t="s">
        <v>312</v>
      </c>
      <c r="BI3" s="43" t="s">
        <v>313</v>
      </c>
      <c r="BJ3" s="43" t="s">
        <v>314</v>
      </c>
      <c r="BK3" s="43" t="s">
        <v>315</v>
      </c>
      <c r="BL3" s="42">
        <v>2014</v>
      </c>
      <c r="BM3" s="43" t="s">
        <v>382</v>
      </c>
      <c r="BN3" s="43" t="s">
        <v>383</v>
      </c>
      <c r="BO3" s="43" t="s">
        <v>384</v>
      </c>
      <c r="BP3" s="43" t="s">
        <v>385</v>
      </c>
      <c r="BQ3" s="42">
        <v>2015</v>
      </c>
      <c r="BR3" s="43" t="s">
        <v>386</v>
      </c>
      <c r="BS3" s="43" t="s">
        <v>387</v>
      </c>
      <c r="BT3" s="43" t="s">
        <v>388</v>
      </c>
      <c r="BU3" s="43" t="s">
        <v>389</v>
      </c>
      <c r="BV3" s="42">
        <v>2016</v>
      </c>
      <c r="BW3" s="43" t="s">
        <v>390</v>
      </c>
      <c r="BX3" s="43" t="s">
        <v>391</v>
      </c>
      <c r="BY3" s="43" t="s">
        <v>392</v>
      </c>
      <c r="BZ3" s="43" t="s">
        <v>393</v>
      </c>
      <c r="CA3" s="42">
        <v>2017</v>
      </c>
      <c r="CB3" s="43" t="s">
        <v>445</v>
      </c>
      <c r="CC3" s="43" t="s">
        <v>446</v>
      </c>
      <c r="CD3" s="43" t="s">
        <v>447</v>
      </c>
      <c r="CE3" s="43" t="s">
        <v>448</v>
      </c>
      <c r="CF3" s="42">
        <v>2018</v>
      </c>
      <c r="CG3" s="43" t="s">
        <v>459</v>
      </c>
      <c r="CH3" s="43" t="s">
        <v>460</v>
      </c>
      <c r="CI3" s="43" t="s">
        <v>461</v>
      </c>
      <c r="CJ3" s="43" t="s">
        <v>462</v>
      </c>
      <c r="CK3" s="42">
        <v>2019</v>
      </c>
      <c r="CL3" s="43" t="s">
        <v>466</v>
      </c>
      <c r="CM3" s="43" t="s">
        <v>470</v>
      </c>
      <c r="CN3" s="43" t="s">
        <v>471</v>
      </c>
      <c r="CO3" s="43" t="s">
        <v>472</v>
      </c>
      <c r="CP3" s="42" t="s">
        <v>457</v>
      </c>
      <c r="CQ3" s="42" t="s">
        <v>463</v>
      </c>
      <c r="CR3" s="42" t="s">
        <v>464</v>
      </c>
      <c r="CS3" s="42" t="s">
        <v>465</v>
      </c>
    </row>
    <row r="4" spans="1:97" ht="12.75">
      <c r="B4" s="41" t="s">
        <v>111</v>
      </c>
      <c r="C4" s="40">
        <v>35795</v>
      </c>
      <c r="D4" s="40">
        <v>36160</v>
      </c>
      <c r="E4" s="40">
        <v>36525</v>
      </c>
      <c r="F4" s="40">
        <v>36891</v>
      </c>
      <c r="G4" s="40">
        <v>37256</v>
      </c>
      <c r="H4" s="40">
        <v>37621</v>
      </c>
      <c r="I4" s="40">
        <v>37986</v>
      </c>
      <c r="J4" s="148">
        <v>38077</v>
      </c>
      <c r="K4" s="148">
        <v>38168</v>
      </c>
      <c r="L4" s="148">
        <v>38260</v>
      </c>
      <c r="M4" s="148">
        <v>38352</v>
      </c>
      <c r="N4" s="40">
        <v>38352</v>
      </c>
      <c r="O4" s="148">
        <v>38442</v>
      </c>
      <c r="P4" s="148">
        <v>38533</v>
      </c>
      <c r="Q4" s="148">
        <v>38625</v>
      </c>
      <c r="R4" s="148">
        <v>38717</v>
      </c>
      <c r="S4" s="40">
        <v>38717</v>
      </c>
      <c r="T4" s="148">
        <v>38807</v>
      </c>
      <c r="U4" s="148">
        <v>38898</v>
      </c>
      <c r="V4" s="148">
        <v>38990</v>
      </c>
      <c r="W4" s="148">
        <v>39082</v>
      </c>
      <c r="X4" s="40">
        <v>39082</v>
      </c>
      <c r="Y4" s="148">
        <v>39172</v>
      </c>
      <c r="Z4" s="148">
        <v>39263</v>
      </c>
      <c r="AA4" s="148">
        <v>39355</v>
      </c>
      <c r="AB4" s="148">
        <v>39447</v>
      </c>
      <c r="AC4" s="40">
        <v>39447</v>
      </c>
      <c r="AD4" s="148">
        <v>39538</v>
      </c>
      <c r="AE4" s="148">
        <v>39629</v>
      </c>
      <c r="AF4" s="148">
        <v>39721</v>
      </c>
      <c r="AG4" s="148">
        <v>39813</v>
      </c>
      <c r="AH4" s="40">
        <v>39813</v>
      </c>
      <c r="AI4" s="148">
        <v>39903</v>
      </c>
      <c r="AJ4" s="148">
        <v>39994</v>
      </c>
      <c r="AK4" s="148">
        <v>40086</v>
      </c>
      <c r="AL4" s="148">
        <v>40178</v>
      </c>
      <c r="AM4" s="40">
        <v>40178</v>
      </c>
      <c r="AN4" s="148">
        <v>40268</v>
      </c>
      <c r="AO4" s="148">
        <v>40359</v>
      </c>
      <c r="AP4" s="148">
        <v>40451</v>
      </c>
      <c r="AQ4" s="148">
        <v>40543</v>
      </c>
      <c r="AR4" s="40">
        <v>40543</v>
      </c>
      <c r="AS4" s="148">
        <v>40633</v>
      </c>
      <c r="AT4" s="148">
        <v>40724</v>
      </c>
      <c r="AU4" s="148">
        <v>40816</v>
      </c>
      <c r="AV4" s="148">
        <v>40908</v>
      </c>
      <c r="AW4" s="40">
        <v>40908</v>
      </c>
      <c r="AX4" s="148">
        <v>40999</v>
      </c>
      <c r="AY4" s="148">
        <v>41090</v>
      </c>
      <c r="AZ4" s="148">
        <v>41182</v>
      </c>
      <c r="BA4" s="148">
        <v>41274</v>
      </c>
      <c r="BB4" s="40">
        <v>41274</v>
      </c>
      <c r="BC4" s="39">
        <v>41364</v>
      </c>
      <c r="BD4" s="39">
        <v>41455</v>
      </c>
      <c r="BE4" s="39">
        <v>41547</v>
      </c>
      <c r="BF4" s="38">
        <v>41639</v>
      </c>
      <c r="BG4" s="40">
        <v>41639</v>
      </c>
      <c r="BH4" s="39">
        <v>41729</v>
      </c>
      <c r="BI4" s="39">
        <v>41820</v>
      </c>
      <c r="BJ4" s="39">
        <v>41912</v>
      </c>
      <c r="BK4" s="38">
        <v>42004</v>
      </c>
      <c r="BL4" s="37">
        <v>42004</v>
      </c>
      <c r="BM4" s="39">
        <v>42094</v>
      </c>
      <c r="BN4" s="39">
        <v>42185</v>
      </c>
      <c r="BO4" s="39">
        <v>42277</v>
      </c>
      <c r="BP4" s="38">
        <v>42369</v>
      </c>
      <c r="BQ4" s="37">
        <v>42369</v>
      </c>
      <c r="BR4" s="39">
        <v>42460</v>
      </c>
      <c r="BS4" s="39">
        <v>42551</v>
      </c>
      <c r="BT4" s="39">
        <v>42643</v>
      </c>
      <c r="BU4" s="38">
        <v>42735</v>
      </c>
      <c r="BV4" s="40">
        <v>42735</v>
      </c>
      <c r="BW4" s="39">
        <v>42825</v>
      </c>
      <c r="BX4" s="39">
        <v>42916</v>
      </c>
      <c r="BY4" s="39">
        <v>43008</v>
      </c>
      <c r="BZ4" s="38">
        <v>43100</v>
      </c>
      <c r="CA4" s="37">
        <v>43100</v>
      </c>
      <c r="CB4" s="39">
        <v>43190</v>
      </c>
      <c r="CC4" s="39">
        <v>43281</v>
      </c>
      <c r="CD4" s="39">
        <v>43373</v>
      </c>
      <c r="CE4" s="38">
        <v>43465</v>
      </c>
      <c r="CF4" s="37">
        <v>43465</v>
      </c>
      <c r="CG4" s="39">
        <v>43554</v>
      </c>
      <c r="CH4" s="39">
        <v>43646</v>
      </c>
      <c r="CI4" s="39">
        <v>43738</v>
      </c>
      <c r="CJ4" s="38">
        <v>43830</v>
      </c>
      <c r="CK4" s="37">
        <v>43830</v>
      </c>
      <c r="CL4" s="39">
        <v>43920</v>
      </c>
      <c r="CM4" s="39">
        <v>44012</v>
      </c>
      <c r="CN4" s="39">
        <v>44104</v>
      </c>
      <c r="CO4" s="38">
        <v>44196</v>
      </c>
      <c r="CP4" s="37">
        <v>44196</v>
      </c>
      <c r="CQ4" s="37">
        <v>44561</v>
      </c>
      <c r="CR4" s="37">
        <v>44926</v>
      </c>
      <c r="CS4" s="37">
        <v>45291</v>
      </c>
    </row>
    <row r="5" spans="1:97">
      <c r="C5" s="12"/>
      <c r="D5" s="12"/>
      <c r="E5" s="12"/>
      <c r="F5" s="12"/>
      <c r="G5" s="12"/>
      <c r="H5" s="12"/>
      <c r="I5" s="12"/>
      <c r="N5" s="12"/>
      <c r="S5" s="12"/>
      <c r="X5" s="12"/>
      <c r="AC5" s="12"/>
      <c r="AH5" s="12"/>
      <c r="AM5" s="12"/>
      <c r="AR5" s="12"/>
      <c r="AW5" s="12"/>
      <c r="BB5" s="12"/>
      <c r="BG5" s="12"/>
      <c r="BL5" s="12"/>
      <c r="BQ5" s="12"/>
      <c r="BV5" s="12"/>
      <c r="CA5" s="12"/>
      <c r="CF5" s="12"/>
      <c r="CK5" s="12"/>
      <c r="CP5" s="12"/>
      <c r="CQ5" s="12"/>
      <c r="CR5" s="12"/>
      <c r="CS5" s="12"/>
    </row>
    <row r="6" spans="1:97">
      <c r="B6" s="9" t="s">
        <v>142</v>
      </c>
      <c r="C6" s="12"/>
      <c r="D6" s="12"/>
      <c r="E6" s="12"/>
      <c r="F6" s="12"/>
      <c r="G6" s="12"/>
      <c r="H6" s="12"/>
      <c r="I6" s="12"/>
      <c r="N6" s="12"/>
      <c r="S6" s="12"/>
      <c r="X6" s="12"/>
      <c r="AC6" s="12"/>
      <c r="AH6" s="12"/>
      <c r="AM6" s="12"/>
      <c r="AR6" s="12"/>
      <c r="AW6" s="12"/>
      <c r="BB6" s="12"/>
      <c r="BG6" s="12"/>
      <c r="BL6" s="12"/>
      <c r="BQ6" s="12"/>
      <c r="BV6" s="12"/>
      <c r="CA6" s="12"/>
      <c r="CF6" s="12"/>
      <c r="CK6" s="12"/>
      <c r="CP6" s="12"/>
      <c r="CQ6" s="12"/>
      <c r="CR6" s="12"/>
      <c r="CS6" s="12"/>
    </row>
    <row r="7" spans="1:97">
      <c r="B7" s="1" t="s">
        <v>61</v>
      </c>
      <c r="C7" s="146">
        <f>'Data (2)'!C80</f>
        <v>73.36</v>
      </c>
      <c r="D7" s="146">
        <f>'Data (2)'!D80</f>
        <v>50.439</v>
      </c>
      <c r="E7" s="146">
        <f>'Data (2)'!E80</f>
        <v>-23.3</v>
      </c>
      <c r="F7" s="146">
        <f>'Data (2)'!F80</f>
        <v>54.2</v>
      </c>
      <c r="G7" s="146">
        <f>'Data (2)'!G80</f>
        <v>-433.7</v>
      </c>
      <c r="H7" s="146">
        <f>'Data (2)'!H80</f>
        <v>-13.6</v>
      </c>
      <c r="I7" s="146">
        <f>'Data (2)'!I80</f>
        <v>-11.1</v>
      </c>
      <c r="J7" s="22">
        <f>'Data (2)'!J80</f>
        <v>8.1</v>
      </c>
      <c r="K7" s="22">
        <f>'Data (2)'!K80-J7</f>
        <v>8.7999999999999989</v>
      </c>
      <c r="L7" s="22">
        <f>'Data (2)'!L80-K7-J7</f>
        <v>4.3000000000000007</v>
      </c>
      <c r="M7" s="22">
        <f>'Data (2)'!M80-L7-K7-J7</f>
        <v>7.6000000000000014</v>
      </c>
      <c r="N7" s="146">
        <f t="shared" ref="N7:N48" si="0">SUM(J7:M7)</f>
        <v>28.8</v>
      </c>
      <c r="O7" s="22">
        <f>'Data (2)'!O80</f>
        <v>-22.4</v>
      </c>
      <c r="P7" s="22">
        <f>'Data (2)'!P80-O7</f>
        <v>26.2</v>
      </c>
      <c r="Q7" s="22">
        <f>'Data (2)'!Q80-P7-O7</f>
        <v>1.1000000000000014</v>
      </c>
      <c r="R7" s="22">
        <f>'Data (2)'!R80-Q7-P7-O7</f>
        <v>136.4</v>
      </c>
      <c r="S7" s="146">
        <f t="shared" ref="S7:S48" si="1">SUM(O7:R7)</f>
        <v>141.30000000000001</v>
      </c>
      <c r="T7" s="22">
        <f>'Data (2)'!T80</f>
        <v>14.5</v>
      </c>
      <c r="U7" s="22">
        <f>'Data (2)'!U80-T7</f>
        <v>17.600000000000001</v>
      </c>
      <c r="V7" s="22">
        <f>'Data (2)'!V80-U7-T7</f>
        <v>15.699999999999996</v>
      </c>
      <c r="W7" s="22">
        <f>'Data (2)'!W80-V7-U7-T7</f>
        <v>18.100000000000009</v>
      </c>
      <c r="X7" s="146">
        <f t="shared" ref="X7:X48" si="2">SUM(T7:W7)</f>
        <v>65.900000000000006</v>
      </c>
      <c r="Y7" s="22">
        <f>'Data (2)'!Y80</f>
        <v>23.5</v>
      </c>
      <c r="Z7" s="22">
        <f>'Data (2)'!Z80-Y7</f>
        <v>8.7999999999999972</v>
      </c>
      <c r="AA7" s="22">
        <f>'Data (2)'!AA80-Z7-Y7</f>
        <v>17.200000000000003</v>
      </c>
      <c r="AB7" s="22">
        <f>'Data (2)'!AB80-AA7-Z7-Y7</f>
        <v>11.799999999999997</v>
      </c>
      <c r="AC7" s="146">
        <f t="shared" ref="AC7:AC48" si="3">SUM(Y7:AB7)</f>
        <v>61.3</v>
      </c>
      <c r="AD7" s="22">
        <f>'Data (2)'!AD80</f>
        <v>23.2</v>
      </c>
      <c r="AE7" s="22">
        <f>'Data (2)'!AE80-AD7</f>
        <v>26.7</v>
      </c>
      <c r="AF7" s="22">
        <f>'Data (2)'!AF80-AE7-AD7</f>
        <v>33</v>
      </c>
      <c r="AG7" s="22">
        <f>'Data (2)'!AG80-AF7-AE7-AD7</f>
        <v>28.3</v>
      </c>
      <c r="AH7" s="146">
        <f t="shared" ref="AH7:AH48" si="4">SUM(AD7:AG7)</f>
        <v>111.2</v>
      </c>
      <c r="AI7" s="22">
        <f>'Data (2)'!AI80</f>
        <v>23.4</v>
      </c>
      <c r="AJ7" s="22">
        <f>'Data (2)'!AJ80-AI7</f>
        <v>16.800000000000004</v>
      </c>
      <c r="AK7" s="22">
        <f>'Data (2)'!AK80-AJ7-AI7</f>
        <v>10.399999999999999</v>
      </c>
      <c r="AL7" s="22">
        <f>'Data (2)'!AL80-AK7-AJ7-AI7</f>
        <v>5.6999999999999957</v>
      </c>
      <c r="AM7" s="146">
        <f t="shared" ref="AM7:AM48" si="5">SUM(AI7:AL7)</f>
        <v>56.3</v>
      </c>
      <c r="AN7" s="22">
        <f>'Data (2)'!AN80</f>
        <v>15.8</v>
      </c>
      <c r="AO7" s="22">
        <f>'Data (2)'!AO80-AN7</f>
        <v>23.099999999999998</v>
      </c>
      <c r="AP7" s="22">
        <f>'Data (2)'!AP80-AO7-AN7</f>
        <v>15.600000000000001</v>
      </c>
      <c r="AQ7" s="22">
        <f>'Data (2)'!AQ80-AP7-AO7-AN7</f>
        <v>22.900000000000002</v>
      </c>
      <c r="AR7" s="146">
        <f t="shared" ref="AR7:AR48" si="6">SUM(AN7:AQ7)</f>
        <v>77.400000000000006</v>
      </c>
      <c r="AS7" s="22">
        <f>'Data (2)'!AS80</f>
        <v>26.4</v>
      </c>
      <c r="AT7" s="22">
        <f>'Data (2)'!AT80-AS7</f>
        <v>37.4</v>
      </c>
      <c r="AU7" s="22">
        <f>'Data (2)'!AU80-AT7-AS7</f>
        <v>32.200000000000003</v>
      </c>
      <c r="AV7" s="22">
        <f>'Data (2)'!AV80-AU7-AT7-AS7</f>
        <v>39.500000000000007</v>
      </c>
      <c r="AW7" s="146">
        <f t="shared" ref="AW7:AW48" si="7">SUM(AS7:AV7)</f>
        <v>135.5</v>
      </c>
      <c r="AX7" s="22">
        <f>'Data (2)'!AX80</f>
        <v>39.6</v>
      </c>
      <c r="AY7" s="22">
        <f>'Data (2)'!AY80-AX7</f>
        <v>47.999999999999993</v>
      </c>
      <c r="AZ7" s="22">
        <f>'Data (2)'!AZ80-AY7-AX7</f>
        <v>39.800000000000004</v>
      </c>
      <c r="BA7" s="22">
        <f>'Data (2)'!BA80-AZ7-AY7-AX7</f>
        <v>36.9</v>
      </c>
      <c r="BB7" s="146">
        <f t="shared" ref="BB7:BB48" si="8">SUM(AX7:BA7)</f>
        <v>164.3</v>
      </c>
      <c r="BC7" s="22">
        <f>'Data (2)'!BC80</f>
        <v>43.6</v>
      </c>
      <c r="BD7" s="22">
        <f>'Data (2)'!BD80-BC7</f>
        <v>48.499999999999993</v>
      </c>
      <c r="BE7" s="22">
        <f>'Data (2)'!BE80-BD7-BC7</f>
        <v>48.70000000000001</v>
      </c>
      <c r="BF7" s="22">
        <f>'Data (2)'!BF80-BE7-BD7-BC7</f>
        <v>47.099999999999987</v>
      </c>
      <c r="BG7" s="146">
        <f t="shared" ref="BG7:BG34" si="9">SUM(BC7:BF7)</f>
        <v>187.9</v>
      </c>
      <c r="BH7" s="22">
        <f>'Data (2)'!BH80</f>
        <v>50.1</v>
      </c>
      <c r="BI7" s="22">
        <f>'Data (2)'!BI80-BH7</f>
        <v>50.6</v>
      </c>
      <c r="BJ7" s="22">
        <f>'Data (2)'!BJ80-BI7-BH7</f>
        <v>55.800000000000004</v>
      </c>
      <c r="BK7" s="22">
        <f>'Data (2)'!BK80-BJ7-BI7-BH7</f>
        <v>52.9</v>
      </c>
      <c r="BL7" s="146">
        <f>SUM(BH7:BK7)</f>
        <v>209.4</v>
      </c>
      <c r="BM7" s="22">
        <f>'Data (2)'!BM80</f>
        <v>68.099999999999994</v>
      </c>
      <c r="BN7" s="22">
        <f>'Data (2)'!BN80-BM7</f>
        <v>61.700000000000017</v>
      </c>
      <c r="BO7" s="22">
        <f>'Data (2)'!BO80-BN7-BM7</f>
        <v>53.5</v>
      </c>
      <c r="BP7" s="22">
        <f>'Data (2)'!BP80-BO7-BN7-BM7</f>
        <v>53.899999999999977</v>
      </c>
      <c r="BQ7" s="146">
        <f>SUM(BM7:BP7)</f>
        <v>237.2</v>
      </c>
      <c r="BR7" s="22">
        <f>'Data (2)'!BR80</f>
        <v>56</v>
      </c>
      <c r="BS7" s="22">
        <f>'Data (2)'!BS80-BR7</f>
        <v>66.099999999999994</v>
      </c>
      <c r="BT7" s="22">
        <f>'Data (2)'!BT80-BS7-BR7</f>
        <v>68.200000000000017</v>
      </c>
      <c r="BU7" s="22">
        <f>'Data (2)'!BU80-BT7-BS7-BR7</f>
        <v>59.5</v>
      </c>
      <c r="BV7" s="146">
        <f>SUM(BR7:BU7)</f>
        <v>249.8</v>
      </c>
      <c r="BW7" s="22">
        <f>'Data (2)'!BW80</f>
        <v>64.599999999999994</v>
      </c>
      <c r="BX7" s="22">
        <f>'Data (2)'!BX80-BW7</f>
        <v>61.600000000000009</v>
      </c>
      <c r="BY7" s="22">
        <f>'Data (2)'!BY80-BX7-BW7</f>
        <v>69.700000000000017</v>
      </c>
      <c r="BZ7" s="22">
        <f>'Data (2)'!BZ80-BY7-BX7-BW7</f>
        <v>88.1</v>
      </c>
      <c r="CA7" s="146">
        <f>SUM(BW7:BZ7)</f>
        <v>284</v>
      </c>
      <c r="CB7" s="22">
        <f>'Data (2)'!CB80</f>
        <v>61.6</v>
      </c>
      <c r="CC7" s="22">
        <f>'Data (2)'!CC80-CB7</f>
        <v>68.800000000000011</v>
      </c>
      <c r="CD7" s="22">
        <f>'Data (2)'!CD80-CC7-CB7</f>
        <v>80.099999999999994</v>
      </c>
      <c r="CE7" s="22">
        <f>'Data (2)'!CE80-CD7-CC7-CB7</f>
        <v>66.100000000000023</v>
      </c>
      <c r="CF7" s="146">
        <f>SUM(CB7:CE7)</f>
        <v>276.60000000000002</v>
      </c>
      <c r="CG7" s="22">
        <f>'Data (2)'!CG80</f>
        <v>72.2</v>
      </c>
      <c r="CH7" s="22">
        <f>'Data (2)'!CH80-CG7</f>
        <v>80.899999999999991</v>
      </c>
      <c r="CI7" s="22">
        <f>'Data (2)'!CI80-CH7-CG7</f>
        <v>80.3</v>
      </c>
      <c r="CJ7" s="22">
        <f>'Data (2)'!CJ80-CI7-CH7-CG7</f>
        <v>73.200000000000031</v>
      </c>
      <c r="CK7" s="146">
        <f>SUM(CG7:CJ7)</f>
        <v>306.60000000000002</v>
      </c>
      <c r="CL7" s="22">
        <f>'Data (2)'!CL80</f>
        <v>42.4</v>
      </c>
      <c r="CM7" s="147">
        <f>'IS (2)'!CM20</f>
        <v>0.20011595400000343</v>
      </c>
      <c r="CN7" s="147">
        <f>'IS (2)'!CN20</f>
        <v>16.687745996000004</v>
      </c>
      <c r="CO7" s="147">
        <f>'IS (2)'!CO20</f>
        <v>29.964129423999999</v>
      </c>
      <c r="CP7" s="146">
        <f>SUM(CL7:CO7)</f>
        <v>89.251991373999999</v>
      </c>
      <c r="CQ7" s="145">
        <f>'IS (2)'!CQ20</f>
        <v>135.99019765500998</v>
      </c>
      <c r="CR7" s="145">
        <f>'IS (2)'!CR20</f>
        <v>171.02602824040565</v>
      </c>
      <c r="CS7" s="145">
        <f>'IS (2)'!CS20</f>
        <v>210.43764199250467</v>
      </c>
    </row>
    <row r="8" spans="1:97">
      <c r="B8" s="29" t="s">
        <v>241</v>
      </c>
      <c r="C8" s="12">
        <f>'Data (2)'!C81</f>
        <v>0</v>
      </c>
      <c r="D8" s="12">
        <f>'Data (2)'!D81</f>
        <v>0</v>
      </c>
      <c r="E8" s="12">
        <f>'Data (2)'!E81</f>
        <v>0</v>
      </c>
      <c r="F8" s="12">
        <f>'Data (2)'!F81</f>
        <v>0</v>
      </c>
      <c r="G8" s="12">
        <f>'Data (2)'!G81</f>
        <v>0</v>
      </c>
      <c r="H8" s="12">
        <f>'Data (2)'!H81</f>
        <v>0</v>
      </c>
      <c r="I8" s="12">
        <f>'Data (2)'!I81</f>
        <v>0</v>
      </c>
      <c r="J8" s="1">
        <f>'Data (2)'!J81</f>
        <v>0</v>
      </c>
      <c r="K8" s="1">
        <f>'Data (2)'!K81-J8</f>
        <v>0</v>
      </c>
      <c r="L8" s="1">
        <f>'Data (2)'!L81-K8-J8</f>
        <v>0</v>
      </c>
      <c r="M8" s="1">
        <f>'Data (2)'!M81-L8-K8-J8</f>
        <v>0</v>
      </c>
      <c r="N8" s="12">
        <f t="shared" si="0"/>
        <v>0</v>
      </c>
      <c r="O8" s="1">
        <f>'Data (2)'!O81</f>
        <v>0</v>
      </c>
      <c r="P8" s="1">
        <f>'Data (2)'!P81-O8</f>
        <v>0</v>
      </c>
      <c r="Q8" s="1">
        <f>'Data (2)'!Q81-P8-O8</f>
        <v>0</v>
      </c>
      <c r="R8" s="1">
        <f>'Data (2)'!R81-Q8-P8-O8</f>
        <v>0</v>
      </c>
      <c r="S8" s="12">
        <f t="shared" si="1"/>
        <v>0</v>
      </c>
      <c r="T8" s="1">
        <f>'Data (2)'!T81</f>
        <v>0</v>
      </c>
      <c r="U8" s="1">
        <f>'Data (2)'!U81-T8</f>
        <v>0</v>
      </c>
      <c r="V8" s="1">
        <f>'Data (2)'!V81-U8-T8</f>
        <v>0</v>
      </c>
      <c r="W8" s="1">
        <f>'Data (2)'!W81-V8-U8-T8</f>
        <v>-1.8</v>
      </c>
      <c r="X8" s="12">
        <f t="shared" si="2"/>
        <v>-1.8</v>
      </c>
      <c r="Y8" s="1">
        <f>'Data (2)'!Y81</f>
        <v>-8.6999999999999993</v>
      </c>
      <c r="Z8" s="1">
        <f>'Data (2)'!Z81-Y8</f>
        <v>8.6999999999999993</v>
      </c>
      <c r="AA8" s="1">
        <f>'Data (2)'!AA81-Z8-Y8</f>
        <v>0.90000000000000036</v>
      </c>
      <c r="AB8" s="1">
        <f>'Data (2)'!AB81-AA8-Z8-Y8</f>
        <v>1.0999999999999996</v>
      </c>
      <c r="AC8" s="12">
        <f t="shared" si="3"/>
        <v>2</v>
      </c>
      <c r="AD8" s="1">
        <f>'Data (2)'!AD81</f>
        <v>0</v>
      </c>
      <c r="AE8" s="1">
        <f>'Data (2)'!AE81-AD8</f>
        <v>0</v>
      </c>
      <c r="AF8" s="1">
        <f>'Data (2)'!AF81-AE8-AD8</f>
        <v>0</v>
      </c>
      <c r="AG8" s="1">
        <f>'Data (2)'!AG81-AF8-AE8-AD8</f>
        <v>0</v>
      </c>
      <c r="AH8" s="12">
        <f t="shared" si="4"/>
        <v>0</v>
      </c>
      <c r="AI8" s="1">
        <f>'Data (2)'!AI81</f>
        <v>0</v>
      </c>
      <c r="AJ8" s="1">
        <f>'Data (2)'!AJ81-AI8</f>
        <v>0</v>
      </c>
      <c r="AK8" s="1">
        <f>'Data (2)'!AK81-AJ8-AI8</f>
        <v>0</v>
      </c>
      <c r="AL8" s="1">
        <f>'Data (2)'!AL81-AK8-AJ8-AI8</f>
        <v>0</v>
      </c>
      <c r="AM8" s="12">
        <f t="shared" si="5"/>
        <v>0</v>
      </c>
      <c r="AN8" s="1">
        <f>'Data (2)'!AN81</f>
        <v>0</v>
      </c>
      <c r="AO8" s="1">
        <f>'Data (2)'!AO81-AN8</f>
        <v>0</v>
      </c>
      <c r="AP8" s="1">
        <f>'Data (2)'!AP81-AO8-AN8</f>
        <v>0</v>
      </c>
      <c r="AQ8" s="1">
        <f>'Data (2)'!AQ81-AP8-AO8-AN8</f>
        <v>0</v>
      </c>
      <c r="AR8" s="12">
        <f t="shared" si="6"/>
        <v>0</v>
      </c>
      <c r="AS8" s="1">
        <f>'Data (2)'!AS81</f>
        <v>0</v>
      </c>
      <c r="AT8" s="1">
        <f>'Data (2)'!AT81-AS8</f>
        <v>0</v>
      </c>
      <c r="AU8" s="1">
        <f>'Data (2)'!AU81-AT8-AS8</f>
        <v>0</v>
      </c>
      <c r="AV8" s="1">
        <f>'Data (2)'!AV81-AU8-AT8-AS8</f>
        <v>0</v>
      </c>
      <c r="AW8" s="12">
        <f t="shared" si="7"/>
        <v>0</v>
      </c>
      <c r="AX8" s="1">
        <f>'Data (2)'!AX81</f>
        <v>0</v>
      </c>
      <c r="AY8" s="1">
        <f>'Data (2)'!AY81-AX8</f>
        <v>0</v>
      </c>
      <c r="AZ8" s="1">
        <f>'Data (2)'!AZ81-AY8-AX8</f>
        <v>0</v>
      </c>
      <c r="BA8" s="1">
        <f>'Data (2)'!BA81-AZ8-AY8-AX8</f>
        <v>0</v>
      </c>
      <c r="BB8" s="12">
        <f t="shared" si="8"/>
        <v>0</v>
      </c>
      <c r="BC8" s="1">
        <f>'Data (2)'!BC81</f>
        <v>0</v>
      </c>
      <c r="BD8" s="1">
        <f>'Data (2)'!BD81-BC8</f>
        <v>0</v>
      </c>
      <c r="BE8" s="1">
        <f>'Data (2)'!BE81-BD8-BC8</f>
        <v>0</v>
      </c>
      <c r="BF8" s="1">
        <f>'Data (2)'!BF81-BE8-BD8-BC8</f>
        <v>0</v>
      </c>
      <c r="BG8" s="12">
        <f t="shared" si="9"/>
        <v>0</v>
      </c>
      <c r="BH8" s="1">
        <f>'Data (2)'!BH81</f>
        <v>0</v>
      </c>
      <c r="BI8" s="1">
        <f>'Data (2)'!BI81-BH8</f>
        <v>0</v>
      </c>
      <c r="BJ8" s="1">
        <f>'Data (2)'!BJ81-BI8-BH8</f>
        <v>0</v>
      </c>
      <c r="BK8" s="1">
        <f>'Data (2)'!BK81-BJ8-BI8-BH8</f>
        <v>0</v>
      </c>
      <c r="BL8" s="12">
        <f>'IS (2)'!BL19</f>
        <v>0</v>
      </c>
      <c r="BM8" s="1">
        <f>'Data (2)'!BM81</f>
        <v>0</v>
      </c>
      <c r="BN8" s="1">
        <f>'Data (2)'!BN81-BM8</f>
        <v>0</v>
      </c>
      <c r="BO8" s="1">
        <f>'Data (2)'!BO81-BN8-BM8</f>
        <v>0</v>
      </c>
      <c r="BP8" s="1">
        <f>'Data (2)'!BP81-BO8-BN8-BM8</f>
        <v>0</v>
      </c>
      <c r="BQ8" s="12">
        <f>'IS (2)'!BQ19</f>
        <v>0</v>
      </c>
      <c r="BR8" s="1">
        <f>'Data (2)'!BR81</f>
        <v>0</v>
      </c>
      <c r="BS8" s="1">
        <f>'Data (2)'!BS81-BR8</f>
        <v>0</v>
      </c>
      <c r="BT8" s="1">
        <f>'Data (2)'!BT81-BS8-BR8</f>
        <v>0</v>
      </c>
      <c r="BU8" s="1">
        <f>'Data (2)'!BU81-BT8-BS8-BR8</f>
        <v>0</v>
      </c>
      <c r="BV8" s="12">
        <f>'IS (2)'!BV19</f>
        <v>0</v>
      </c>
      <c r="BW8" s="1">
        <f>'Data (2)'!BW81</f>
        <v>0</v>
      </c>
      <c r="BX8" s="1">
        <f>'Data (2)'!BX81-BW8</f>
        <v>0</v>
      </c>
      <c r="BY8" s="1">
        <f>'Data (2)'!BY81-BX8-BW8</f>
        <v>0</v>
      </c>
      <c r="BZ8" s="1">
        <f>'Data (2)'!BZ81-BY8-BX8-BW8</f>
        <v>0</v>
      </c>
      <c r="CA8" s="12">
        <f>'IS (2)'!CA19</f>
        <v>0</v>
      </c>
      <c r="CB8" s="1">
        <f>'Data (2)'!CB81</f>
        <v>0</v>
      </c>
      <c r="CC8" s="1">
        <f>'Data (2)'!CC81-CB8</f>
        <v>0</v>
      </c>
      <c r="CD8" s="1">
        <f>'Data (2)'!CD81-CC8-CB8</f>
        <v>0</v>
      </c>
      <c r="CE8" s="1">
        <f>'Data (2)'!CE81-CD8-CC8-CB8</f>
        <v>0</v>
      </c>
      <c r="CF8" s="12">
        <f>'IS (2)'!CF19</f>
        <v>0</v>
      </c>
      <c r="CG8" s="1">
        <f>'Data (2)'!CG81</f>
        <v>0</v>
      </c>
      <c r="CH8" s="1">
        <f>'Data (2)'!CH81-CG8</f>
        <v>0</v>
      </c>
      <c r="CI8" s="1">
        <f>'Data (2)'!CI81-CH8-CG8</f>
        <v>0</v>
      </c>
      <c r="CJ8" s="1">
        <f>'Data (2)'!CJ81-CI8-CH8-CG8</f>
        <v>0</v>
      </c>
      <c r="CK8" s="12">
        <f>'IS (2)'!CK19</f>
        <v>0</v>
      </c>
      <c r="CL8" s="1">
        <f>'Data (2)'!CL81</f>
        <v>0</v>
      </c>
      <c r="CM8" s="1">
        <f>'IS (2)'!CM19</f>
        <v>0</v>
      </c>
      <c r="CN8" s="1">
        <f>'IS (2)'!CN19</f>
        <v>0</v>
      </c>
      <c r="CO8" s="1">
        <f>'IS (2)'!CO19</f>
        <v>0</v>
      </c>
      <c r="CP8" s="12">
        <f>'IS (2)'!CP19</f>
        <v>0</v>
      </c>
      <c r="CQ8" s="12">
        <f>'IS (2)'!CQ19</f>
        <v>0</v>
      </c>
      <c r="CR8" s="12">
        <f>'IS (2)'!CR19</f>
        <v>0</v>
      </c>
      <c r="CS8" s="12">
        <f>'IS (2)'!CS19</f>
        <v>0</v>
      </c>
    </row>
    <row r="9" spans="1:97">
      <c r="B9" s="29" t="s">
        <v>62</v>
      </c>
      <c r="C9" s="12">
        <f>'Data (2)'!C82</f>
        <v>73.36</v>
      </c>
      <c r="D9" s="12">
        <f>'Data (2)'!D82</f>
        <v>50.439</v>
      </c>
      <c r="E9" s="12">
        <f>'Data (2)'!E82</f>
        <v>-23.3</v>
      </c>
      <c r="F9" s="12">
        <f>'Data (2)'!F82</f>
        <v>54.2</v>
      </c>
      <c r="G9" s="12">
        <f>'Data (2)'!G82</f>
        <v>-433.7</v>
      </c>
      <c r="H9" s="12">
        <f>'Data (2)'!H82</f>
        <v>-13.6</v>
      </c>
      <c r="I9" s="12">
        <f>'Data (2)'!I82</f>
        <v>-11.1</v>
      </c>
      <c r="J9" s="1">
        <f>'Data (2)'!J82</f>
        <v>8.1</v>
      </c>
      <c r="K9" s="1">
        <f>'Data (2)'!K82-J9</f>
        <v>8.7999999999999989</v>
      </c>
      <c r="L9" s="1">
        <f>'Data (2)'!L82-K9-J9</f>
        <v>4.3000000000000007</v>
      </c>
      <c r="M9" s="1">
        <f>'Data (2)'!M82-L9-K9-J9</f>
        <v>7.6000000000000014</v>
      </c>
      <c r="N9" s="12">
        <f t="shared" si="0"/>
        <v>28.8</v>
      </c>
      <c r="O9" s="1">
        <f>'Data (2)'!O82</f>
        <v>-22.4</v>
      </c>
      <c r="P9" s="1">
        <f>'Data (2)'!P82-O9</f>
        <v>26.2</v>
      </c>
      <c r="Q9" s="1">
        <f>'Data (2)'!Q82-P9-O9</f>
        <v>1.1000000000000014</v>
      </c>
      <c r="R9" s="1">
        <f>'Data (2)'!R82-Q9-P9-O9</f>
        <v>136.4</v>
      </c>
      <c r="S9" s="12">
        <f t="shared" si="1"/>
        <v>141.30000000000001</v>
      </c>
      <c r="T9" s="1">
        <f>'Data (2)'!T82</f>
        <v>14.5</v>
      </c>
      <c r="U9" s="1">
        <f>'Data (2)'!U82-T9</f>
        <v>17.600000000000001</v>
      </c>
      <c r="V9" s="1">
        <f>'Data (2)'!V82-U9-T9</f>
        <v>15.699999999999996</v>
      </c>
      <c r="W9" s="1">
        <f>'Data (2)'!W82-V9-U9-T9</f>
        <v>16.300000000000011</v>
      </c>
      <c r="X9" s="12">
        <f t="shared" si="2"/>
        <v>64.100000000000009</v>
      </c>
      <c r="Y9" s="1">
        <f>'Data (2)'!Y82</f>
        <v>14.8</v>
      </c>
      <c r="Z9" s="1">
        <f>'Data (2)'!Z82-Y9</f>
        <v>17.499999999999996</v>
      </c>
      <c r="AA9" s="1">
        <f>'Data (2)'!AA82-Z9-Y9</f>
        <v>18.100000000000005</v>
      </c>
      <c r="AB9" s="1">
        <f>'Data (2)'!AB82-AA9-Z9-Y9</f>
        <v>12.899999999999991</v>
      </c>
      <c r="AC9" s="12">
        <f t="shared" si="3"/>
        <v>63.3</v>
      </c>
      <c r="AD9" s="1">
        <f>'Data (2)'!AD82</f>
        <v>23.2</v>
      </c>
      <c r="AE9" s="1">
        <f>'Data (2)'!AE82-AD9</f>
        <v>26.7</v>
      </c>
      <c r="AF9" s="1">
        <f>'Data (2)'!AF82-AE9-AD9</f>
        <v>33</v>
      </c>
      <c r="AG9" s="1">
        <f>'Data (2)'!AG82-AF9-AE9-AD9</f>
        <v>28.3</v>
      </c>
      <c r="AH9" s="12">
        <f t="shared" si="4"/>
        <v>111.2</v>
      </c>
      <c r="AI9" s="1">
        <f>'Data (2)'!AI82</f>
        <v>23.4</v>
      </c>
      <c r="AJ9" s="1">
        <f>'Data (2)'!AJ82-AI9</f>
        <v>16.800000000000004</v>
      </c>
      <c r="AK9" s="1">
        <f>'Data (2)'!AK82-AJ9-AI9</f>
        <v>10.399999999999999</v>
      </c>
      <c r="AL9" s="1">
        <f>'Data (2)'!AL82-AK9-AJ9-AI9</f>
        <v>5.6999999999999957</v>
      </c>
      <c r="AM9" s="12">
        <f t="shared" si="5"/>
        <v>56.3</v>
      </c>
      <c r="AN9" s="1">
        <f>'Data (2)'!AN82</f>
        <v>15.8</v>
      </c>
      <c r="AO9" s="1">
        <f>'Data (2)'!AO82-AN9</f>
        <v>23.099999999999998</v>
      </c>
      <c r="AP9" s="1">
        <f>'Data (2)'!AP82-AO9-AN9</f>
        <v>15.600000000000001</v>
      </c>
      <c r="AQ9" s="1">
        <f>'Data (2)'!AQ82-AP9-AO9-AN9</f>
        <v>22.900000000000002</v>
      </c>
      <c r="AR9" s="12">
        <f t="shared" si="6"/>
        <v>77.400000000000006</v>
      </c>
      <c r="AS9" s="1">
        <f>'Data (2)'!AS82</f>
        <v>26.4</v>
      </c>
      <c r="AT9" s="1">
        <f>'Data (2)'!AT82-AS9</f>
        <v>37.4</v>
      </c>
      <c r="AU9" s="1">
        <f>'Data (2)'!AU82-AT9-AS9</f>
        <v>32.200000000000003</v>
      </c>
      <c r="AV9" s="1">
        <f>'Data (2)'!AV82-AU9-AT9-AS9</f>
        <v>39.500000000000007</v>
      </c>
      <c r="AW9" s="12">
        <f t="shared" si="7"/>
        <v>135.5</v>
      </c>
      <c r="AX9" s="1">
        <f>'Data (2)'!AX82</f>
        <v>39.6</v>
      </c>
      <c r="AY9" s="1">
        <f>'Data (2)'!AY82-AX9</f>
        <v>47.999999999999993</v>
      </c>
      <c r="AZ9" s="1">
        <f>'Data (2)'!AZ82-AY9-AX9</f>
        <v>39.800000000000004</v>
      </c>
      <c r="BA9" s="1">
        <f>'Data (2)'!BA82-AZ9-AY9-AX9</f>
        <v>36.9</v>
      </c>
      <c r="BB9" s="12">
        <f t="shared" si="8"/>
        <v>164.3</v>
      </c>
      <c r="BC9" s="1">
        <f>'Data (2)'!BC82</f>
        <v>43.6</v>
      </c>
      <c r="BD9" s="1">
        <f>'Data (2)'!BD82-BC9</f>
        <v>48.499999999999993</v>
      </c>
      <c r="BE9" s="1">
        <f>'Data (2)'!BE82-BD9-BC9</f>
        <v>48.70000000000001</v>
      </c>
      <c r="BF9" s="1">
        <f>'Data (2)'!BF82-BE9-BD9-BC9</f>
        <v>47.099999999999987</v>
      </c>
      <c r="BG9" s="12">
        <f t="shared" si="9"/>
        <v>187.9</v>
      </c>
      <c r="BH9" s="1">
        <f>'Data (2)'!BH82</f>
        <v>50.1</v>
      </c>
      <c r="BI9" s="1">
        <f>'Data (2)'!BI82-BH9</f>
        <v>50.6</v>
      </c>
      <c r="BJ9" s="1">
        <f>'Data (2)'!BJ82-BI9-BH9</f>
        <v>55.800000000000004</v>
      </c>
      <c r="BK9" s="1">
        <f>'Data (2)'!BK82-BJ9-BI9-BH9</f>
        <v>52.9</v>
      </c>
      <c r="BL9" s="12">
        <f>BL7-BL8</f>
        <v>209.4</v>
      </c>
      <c r="BM9" s="1">
        <f>'Data (2)'!BM82</f>
        <v>68.099999999999994</v>
      </c>
      <c r="BN9" s="1">
        <f>'Data (2)'!BN82-BM9</f>
        <v>61.700000000000017</v>
      </c>
      <c r="BO9" s="1">
        <f>'Data (2)'!BO82-BN9-BM9</f>
        <v>53.5</v>
      </c>
      <c r="BP9" s="1">
        <f>'Data (2)'!BP82-BO9-BN9-BM9</f>
        <v>53.899999999999977</v>
      </c>
      <c r="BQ9" s="12">
        <f>BQ7-BQ8</f>
        <v>237.2</v>
      </c>
      <c r="BR9" s="1">
        <f>'Data (2)'!BR82</f>
        <v>56</v>
      </c>
      <c r="BS9" s="1">
        <f>'Data (2)'!BS82-BR9</f>
        <v>66.099999999999994</v>
      </c>
      <c r="BT9" s="1">
        <f>'Data (2)'!BT82-BS9-BR9</f>
        <v>68.200000000000017</v>
      </c>
      <c r="BU9" s="1">
        <f>'Data (2)'!BU82-BT9-BS9-BR9</f>
        <v>59.5</v>
      </c>
      <c r="BV9" s="12">
        <f>BV7-BV8</f>
        <v>249.8</v>
      </c>
      <c r="BW9" s="1">
        <f>'Data (2)'!BW82</f>
        <v>64.599999999999994</v>
      </c>
      <c r="BX9" s="1">
        <f>'Data (2)'!BX82-BW9</f>
        <v>61.600000000000009</v>
      </c>
      <c r="BY9" s="1">
        <f>'Data (2)'!BY82-BX9-BW9</f>
        <v>69.700000000000017</v>
      </c>
      <c r="BZ9" s="1">
        <f>'Data (2)'!BZ82-BY9-BX9-BW9</f>
        <v>88.1</v>
      </c>
      <c r="CA9" s="12">
        <f>CA7-CA8</f>
        <v>284</v>
      </c>
      <c r="CB9" s="1">
        <f>'Data (2)'!CB82</f>
        <v>61.6</v>
      </c>
      <c r="CC9" s="1">
        <f>'Data (2)'!CC82-CB9</f>
        <v>68.800000000000011</v>
      </c>
      <c r="CD9" s="1">
        <f>'Data (2)'!CD82-CC9-CB9</f>
        <v>80.099999999999994</v>
      </c>
      <c r="CE9" s="1">
        <f>'Data (2)'!CE82-CD9-CC9-CB9</f>
        <v>66.100000000000023</v>
      </c>
      <c r="CF9" s="12">
        <f>CF7-CF8</f>
        <v>276.60000000000002</v>
      </c>
      <c r="CG9" s="1">
        <f>'Data (2)'!CG82</f>
        <v>72.2</v>
      </c>
      <c r="CH9" s="1">
        <f>'Data (2)'!CH82-CG9</f>
        <v>80.899999999999991</v>
      </c>
      <c r="CI9" s="1">
        <f>'Data (2)'!CI82-CH9-CG9</f>
        <v>80.3</v>
      </c>
      <c r="CJ9" s="1">
        <f>'Data (2)'!CJ82-CI9-CH9-CG9</f>
        <v>73.200000000000031</v>
      </c>
      <c r="CK9" s="12">
        <f>CK7-CK8</f>
        <v>306.60000000000002</v>
      </c>
      <c r="CL9" s="1">
        <f>'Data (2)'!CL82</f>
        <v>42.4</v>
      </c>
      <c r="CM9" s="1">
        <f t="shared" ref="CM9:CS9" si="10">CM7-CM8</f>
        <v>0.20011595400000343</v>
      </c>
      <c r="CN9" s="1">
        <f t="shared" si="10"/>
        <v>16.687745996000004</v>
      </c>
      <c r="CO9" s="1">
        <f t="shared" si="10"/>
        <v>29.964129423999999</v>
      </c>
      <c r="CP9" s="12">
        <f t="shared" si="10"/>
        <v>89.251991373999999</v>
      </c>
      <c r="CQ9" s="12">
        <f t="shared" si="10"/>
        <v>135.99019765500998</v>
      </c>
      <c r="CR9" s="12">
        <f t="shared" si="10"/>
        <v>171.02602824040565</v>
      </c>
      <c r="CS9" s="12">
        <f t="shared" si="10"/>
        <v>210.43764199250467</v>
      </c>
    </row>
    <row r="10" spans="1:97">
      <c r="A10" s="155"/>
      <c r="B10" s="29" t="s">
        <v>63</v>
      </c>
      <c r="C10" s="12">
        <f>'Data (2)'!C83</f>
        <v>35.796999999999997</v>
      </c>
      <c r="D10" s="12">
        <f>'Data (2)'!D83</f>
        <v>37.442</v>
      </c>
      <c r="E10" s="12">
        <f>'Data (2)'!E83</f>
        <v>47.9</v>
      </c>
      <c r="F10" s="12">
        <f>'Data (2)'!F83</f>
        <v>45.6</v>
      </c>
      <c r="G10" s="12">
        <f>'Data (2)'!G83</f>
        <v>50.7</v>
      </c>
      <c r="H10" s="12">
        <f>'Data (2)'!H83</f>
        <v>47.2</v>
      </c>
      <c r="I10" s="12">
        <f>'Data (2)'!I83</f>
        <v>52.2</v>
      </c>
      <c r="J10" s="1">
        <f>'Data (2)'!J83</f>
        <v>13.3</v>
      </c>
      <c r="K10" s="1">
        <f>'Data (2)'!K83-J10</f>
        <v>13.2</v>
      </c>
      <c r="L10" s="1">
        <f>'Data (2)'!L83-K10-J10</f>
        <v>12.399999999999999</v>
      </c>
      <c r="M10" s="1">
        <f>'Data (2)'!M83-L10-K10-J10</f>
        <v>13.100000000000001</v>
      </c>
      <c r="N10" s="12">
        <f t="shared" si="0"/>
        <v>52</v>
      </c>
      <c r="O10" s="1">
        <f>'Data (2)'!O83</f>
        <v>12.3</v>
      </c>
      <c r="P10" s="1">
        <f>'Data (2)'!P83-O10</f>
        <v>11.8</v>
      </c>
      <c r="Q10" s="1">
        <f>'Data (2)'!Q83-P10-O10</f>
        <v>11.399999999999999</v>
      </c>
      <c r="R10" s="1">
        <f>'Data (2)'!R83-Q10-P10-O10</f>
        <v>11.799999999999997</v>
      </c>
      <c r="S10" s="12">
        <f t="shared" si="1"/>
        <v>47.3</v>
      </c>
      <c r="T10" s="1">
        <f>'Data (2)'!T83</f>
        <v>11.6</v>
      </c>
      <c r="U10" s="1">
        <f>'Data (2)'!U83-T10</f>
        <v>11.799999999999999</v>
      </c>
      <c r="V10" s="1">
        <f>'Data (2)'!V83-U10-T10</f>
        <v>10.300000000000006</v>
      </c>
      <c r="W10" s="1">
        <f>'Data (2)'!W83-V10-U10-T10</f>
        <v>9.6999999999999975</v>
      </c>
      <c r="X10" s="12">
        <f t="shared" si="2"/>
        <v>43.4</v>
      </c>
      <c r="Y10" s="1">
        <f>'Data (2)'!Y83</f>
        <v>9.6999999999999993</v>
      </c>
      <c r="Z10" s="1">
        <f>'Data (2)'!Z83-Y10</f>
        <v>9.9000000000000021</v>
      </c>
      <c r="AA10" s="1">
        <f>'Data (2)'!AA83-Z10-Y10</f>
        <v>10.199999999999999</v>
      </c>
      <c r="AB10" s="1">
        <f>'Data (2)'!AB83-AA10-Z10-Y10</f>
        <v>9.9999999999999964</v>
      </c>
      <c r="AC10" s="12">
        <f t="shared" si="3"/>
        <v>39.799999999999997</v>
      </c>
      <c r="AD10" s="1">
        <f>'Data (2)'!AD83</f>
        <v>11</v>
      </c>
      <c r="AE10" s="1">
        <f>'Data (2)'!AE83-AD10</f>
        <v>11.399999999999999</v>
      </c>
      <c r="AF10" s="1">
        <f>'Data (2)'!AF83-AE10-AD10</f>
        <v>10.800000000000004</v>
      </c>
      <c r="AG10" s="1">
        <f>'Data (2)'!AG83-AF10-AE10-AD10</f>
        <v>10.699999999999996</v>
      </c>
      <c r="AH10" s="12">
        <f t="shared" si="4"/>
        <v>43.9</v>
      </c>
      <c r="AI10" s="1">
        <f>'Data (2)'!AI83</f>
        <v>10.9</v>
      </c>
      <c r="AJ10" s="1">
        <f>'Data (2)'!AJ83-AI10</f>
        <v>11.6</v>
      </c>
      <c r="AK10" s="1">
        <f>'Data (2)'!AK83-AJ10-AI10</f>
        <v>11.999999999999998</v>
      </c>
      <c r="AL10" s="1">
        <f>'Data (2)'!AL83-AK10-AJ10-AI10</f>
        <v>12.1</v>
      </c>
      <c r="AM10" s="12">
        <f t="shared" si="5"/>
        <v>46.6</v>
      </c>
      <c r="AN10" s="1">
        <f>'Data (2)'!AN83</f>
        <v>12</v>
      </c>
      <c r="AO10" s="1">
        <f>'Data (2)'!AO83-AN10</f>
        <v>13.600000000000001</v>
      </c>
      <c r="AP10" s="1">
        <f>'Data (2)'!AP83-AO10-AN10</f>
        <v>13.699999999999996</v>
      </c>
      <c r="AQ10" s="1">
        <f>'Data (2)'!AQ83-AP10-AO10-AN10</f>
        <v>13.900000000000006</v>
      </c>
      <c r="AR10" s="12">
        <f t="shared" si="6"/>
        <v>53.2</v>
      </c>
      <c r="AS10" s="1">
        <f>'Data (2)'!AS83</f>
        <v>14.1</v>
      </c>
      <c r="AT10" s="1">
        <f>'Data (2)'!AT83-AS10</f>
        <v>13.799999999999999</v>
      </c>
      <c r="AU10" s="1">
        <f>'Data (2)'!AU83-AT10-AS10</f>
        <v>13.700000000000005</v>
      </c>
      <c r="AV10" s="1">
        <f>'Data (2)'!AV83-AU10-AT10-AS10</f>
        <v>13.699999999999998</v>
      </c>
      <c r="AW10" s="12">
        <f t="shared" si="7"/>
        <v>55.3</v>
      </c>
      <c r="AX10" s="1">
        <f>'Data (2)'!AX83</f>
        <v>14</v>
      </c>
      <c r="AY10" s="1">
        <f>'Data (2)'!AY83-AX10</f>
        <v>14.3</v>
      </c>
      <c r="AZ10" s="1">
        <f>'Data (2)'!AZ83-AY10-AX10</f>
        <v>14.7</v>
      </c>
      <c r="BA10" s="1">
        <f>'Data (2)'!BA83-AZ10-AY10-AX10</f>
        <v>14.2</v>
      </c>
      <c r="BB10" s="12">
        <f t="shared" si="8"/>
        <v>57.2</v>
      </c>
      <c r="BC10" s="1">
        <f>'Data (2)'!BC83</f>
        <v>14.3</v>
      </c>
      <c r="BD10" s="1">
        <f>'Data (2)'!BD83-BC10</f>
        <v>13.8</v>
      </c>
      <c r="BE10" s="1">
        <f>'Data (2)'!BE83-BD10-BC10</f>
        <v>14.699999999999996</v>
      </c>
      <c r="BF10" s="1">
        <f>'Data (2)'!BF83-BE10-BD10-BC10</f>
        <v>16.5</v>
      </c>
      <c r="BG10" s="12">
        <f t="shared" si="9"/>
        <v>59.3</v>
      </c>
      <c r="BH10" s="1">
        <f>'Data (2)'!BH83</f>
        <v>17.100000000000001</v>
      </c>
      <c r="BI10" s="1">
        <f>'Data (2)'!BI83-BH10</f>
        <v>17.699999999999996</v>
      </c>
      <c r="BJ10" s="1">
        <f>'Data (2)'!BJ83-BI10-BH10</f>
        <v>17.800000000000004</v>
      </c>
      <c r="BK10" s="1">
        <f>'Data (2)'!BK83-BJ10-BI10-BH10</f>
        <v>18.600000000000001</v>
      </c>
      <c r="BL10" s="12">
        <f t="shared" ref="BL10:BL18" si="11">SUM(BH10:BK10)</f>
        <v>71.2</v>
      </c>
      <c r="BM10" s="1">
        <f>'Data (2)'!BM83</f>
        <v>18.3</v>
      </c>
      <c r="BN10" s="1">
        <f>'Data (2)'!BN83-BM10</f>
        <v>18.900000000000002</v>
      </c>
      <c r="BO10" s="1">
        <f>'Data (2)'!BO83-BN10-BM10</f>
        <v>19.299999999999994</v>
      </c>
      <c r="BP10" s="1">
        <f>'Data (2)'!BP83-BO10-BN10-BM10</f>
        <v>19.900000000000002</v>
      </c>
      <c r="BQ10" s="12">
        <f t="shared" ref="BQ10:BQ18" si="12">SUM(BM10:BP10)</f>
        <v>76.400000000000006</v>
      </c>
      <c r="BR10" s="1">
        <f>'Data (2)'!BR83</f>
        <v>22.2</v>
      </c>
      <c r="BS10" s="1">
        <f>'Data (2)'!BS83-BR10</f>
        <v>23.3</v>
      </c>
      <c r="BT10" s="1">
        <f>'Data (2)'!BT83-BS10-BR10</f>
        <v>23.500000000000004</v>
      </c>
      <c r="BU10" s="1">
        <f>'Data (2)'!BU83-BT10-BS10-BR10</f>
        <v>24.3</v>
      </c>
      <c r="BV10" s="12">
        <f t="shared" ref="BV10:BV18" si="13">SUM(BR10:BU10)</f>
        <v>93.3</v>
      </c>
      <c r="BW10" s="1">
        <f>'Data (2)'!BW83</f>
        <v>24.4</v>
      </c>
      <c r="BX10" s="1">
        <f>'Data (2)'!BX83-BW10</f>
        <v>25.1</v>
      </c>
      <c r="BY10" s="1">
        <f>'Data (2)'!BY83-BX10-BW10</f>
        <v>26.799999999999997</v>
      </c>
      <c r="BZ10" s="1">
        <f>'Data (2)'!BZ83-BY10-BX10-BW10</f>
        <v>28.200000000000003</v>
      </c>
      <c r="CA10" s="12">
        <f t="shared" ref="CA10:CA18" si="14">SUM(BW10:BZ10)</f>
        <v>104.5</v>
      </c>
      <c r="CB10" s="1">
        <f>'Data (2)'!CB83</f>
        <v>29.8</v>
      </c>
      <c r="CC10" s="1">
        <f>'Data (2)'!CC83-CB10</f>
        <v>29.8</v>
      </c>
      <c r="CD10" s="1">
        <f>'Data (2)'!CD83-CC10-CB10</f>
        <v>31.2</v>
      </c>
      <c r="CE10" s="1">
        <f>'Data (2)'!CE83-CD10-CC10-CB10</f>
        <v>32.299999999999997</v>
      </c>
      <c r="CF10" s="12">
        <f t="shared" ref="CF10:CF18" si="15">SUM(CB10:CE10)</f>
        <v>123.1</v>
      </c>
      <c r="CG10" s="1">
        <f>'Data (2)'!CG83</f>
        <v>38.700000000000003</v>
      </c>
      <c r="CH10" s="1">
        <f>'Data (2)'!CH83-CG10</f>
        <v>34</v>
      </c>
      <c r="CI10" s="1">
        <f>'Data (2)'!CI83-CH10-CG10</f>
        <v>34.399999999999991</v>
      </c>
      <c r="CJ10" s="1">
        <f>'Data (2)'!CJ83-CI10-CH10-CG10</f>
        <v>34.599999999999994</v>
      </c>
      <c r="CK10" s="12">
        <f t="shared" ref="CK10:CK18" si="16">SUM(CG10:CJ10)</f>
        <v>141.69999999999999</v>
      </c>
      <c r="CL10" s="1">
        <f>'Data (2)'!CL83</f>
        <v>35.5</v>
      </c>
      <c r="CM10" s="141">
        <v>36</v>
      </c>
      <c r="CN10" s="141">
        <v>37</v>
      </c>
      <c r="CO10" s="141">
        <v>39</v>
      </c>
      <c r="CP10" s="12">
        <f t="shared" ref="CP10:CP18" si="17">SUM(CL10:CO10)</f>
        <v>147.5</v>
      </c>
      <c r="CQ10" s="138">
        <v>155</v>
      </c>
      <c r="CR10" s="138">
        <v>150</v>
      </c>
      <c r="CS10" s="138">
        <v>145</v>
      </c>
    </row>
    <row r="11" spans="1:97">
      <c r="A11" s="155"/>
      <c r="B11" s="29" t="s">
        <v>242</v>
      </c>
      <c r="C11" s="12">
        <f>'Data (2)'!C84</f>
        <v>-33.203000000000003</v>
      </c>
      <c r="D11" s="12">
        <f>'Data (2)'!D84</f>
        <v>10.012</v>
      </c>
      <c r="E11" s="12">
        <f>'Data (2)'!E84</f>
        <v>13.4</v>
      </c>
      <c r="F11" s="12">
        <f>'Data (2)'!F84</f>
        <v>13.1</v>
      </c>
      <c r="G11" s="12">
        <f>'Data (2)'!G84</f>
        <v>12.5</v>
      </c>
      <c r="H11" s="12">
        <f>'Data (2)'!H84</f>
        <v>0</v>
      </c>
      <c r="I11" s="12">
        <f>'Data (2)'!I84</f>
        <v>3.5</v>
      </c>
      <c r="J11" s="1">
        <f>'Data (2)'!J84</f>
        <v>0.9</v>
      </c>
      <c r="K11" s="1">
        <f>'Data (2)'!K84-J11</f>
        <v>0.79999999999999993</v>
      </c>
      <c r="L11" s="1">
        <f>'Data (2)'!L84-K11-J11</f>
        <v>0.90000000000000024</v>
      </c>
      <c r="M11" s="1">
        <f>'Data (2)'!M84-L11-K11-J11</f>
        <v>0.69999999999999962</v>
      </c>
      <c r="N11" s="12">
        <f t="shared" si="0"/>
        <v>3.3</v>
      </c>
      <c r="O11" s="1">
        <f>'Data (2)'!O84</f>
        <v>0.8</v>
      </c>
      <c r="P11" s="1">
        <f>'Data (2)'!P84-O11</f>
        <v>0.39999999999999991</v>
      </c>
      <c r="Q11" s="1">
        <f>'Data (2)'!Q84-P11-O11</f>
        <v>0.5</v>
      </c>
      <c r="R11" s="1">
        <f>'Data (2)'!R84-Q11-P11-O11</f>
        <v>0.30000000000000004</v>
      </c>
      <c r="S11" s="12">
        <f t="shared" si="1"/>
        <v>2</v>
      </c>
      <c r="T11" s="1">
        <f>'Data (2)'!T84</f>
        <v>0.4</v>
      </c>
      <c r="U11" s="1">
        <f>'Data (2)'!U84-T11</f>
        <v>0.5</v>
      </c>
      <c r="V11" s="1">
        <f>'Data (2)'!V84-U11-T11</f>
        <v>0.4</v>
      </c>
      <c r="W11" s="1">
        <f>'Data (2)'!W84-V11-U11-T11</f>
        <v>0.30000000000000016</v>
      </c>
      <c r="X11" s="12">
        <f t="shared" si="2"/>
        <v>1.6</v>
      </c>
      <c r="Y11" s="1">
        <f>'Data (2)'!Y84</f>
        <v>0.4</v>
      </c>
      <c r="Z11" s="1">
        <f>'Data (2)'!Z84-Y11</f>
        <v>0.5</v>
      </c>
      <c r="AA11" s="1">
        <f>'Data (2)'!AA84-Z11-Y11</f>
        <v>0.49999999999999989</v>
      </c>
      <c r="AB11" s="1">
        <f>'Data (2)'!AB84-AA11-Z11-Y11</f>
        <v>0.30000000000000016</v>
      </c>
      <c r="AC11" s="12">
        <f t="shared" si="3"/>
        <v>1.7000000000000002</v>
      </c>
      <c r="AD11" s="1">
        <f>'Data (2)'!AD84</f>
        <v>0.4</v>
      </c>
      <c r="AE11" s="1">
        <f>'Data (2)'!AE84-AD11</f>
        <v>0.4</v>
      </c>
      <c r="AF11" s="1">
        <f>'Data (2)'!AF84-AE11-AD11</f>
        <v>0.39999999999999991</v>
      </c>
      <c r="AG11" s="1">
        <f>'Data (2)'!AG84-AF11-AE11-AD11</f>
        <v>0.5</v>
      </c>
      <c r="AH11" s="12">
        <f t="shared" si="4"/>
        <v>1.7</v>
      </c>
      <c r="AI11" s="1">
        <f>'Data (2)'!AI84</f>
        <v>0.5</v>
      </c>
      <c r="AJ11" s="1">
        <f>'Data (2)'!AJ84-AI11</f>
        <v>2.2999999999999998</v>
      </c>
      <c r="AK11" s="1">
        <f>'Data (2)'!AK84-AJ11-AI11</f>
        <v>1.2000000000000002</v>
      </c>
      <c r="AL11" s="1">
        <f>'Data (2)'!AL84-AK11-AJ11-AI11</f>
        <v>0.90000000000000036</v>
      </c>
      <c r="AM11" s="12">
        <f t="shared" si="5"/>
        <v>4.9000000000000004</v>
      </c>
      <c r="AN11" s="1">
        <f>'Data (2)'!AN84</f>
        <v>1.5</v>
      </c>
      <c r="AO11" s="1">
        <f>'Data (2)'!AO84-AN11</f>
        <v>0.89999999999999991</v>
      </c>
      <c r="AP11" s="1">
        <f>'Data (2)'!AP84-AO11-AN11</f>
        <v>7.4</v>
      </c>
      <c r="AQ11" s="1">
        <f>'Data (2)'!AQ84-AP11-AO11-AN11</f>
        <v>0.50000000000000044</v>
      </c>
      <c r="AR11" s="12">
        <f t="shared" si="6"/>
        <v>10.3</v>
      </c>
      <c r="AS11" s="1">
        <f>'Data (2)'!AS84</f>
        <v>5.4</v>
      </c>
      <c r="AT11" s="1">
        <f>'Data (2)'!AT84-AS11</f>
        <v>0.5</v>
      </c>
      <c r="AU11" s="1">
        <f>'Data (2)'!AU84-AT11-AS11</f>
        <v>0.5</v>
      </c>
      <c r="AV11" s="1">
        <f>'Data (2)'!AV84-AU11-AT11-AS11</f>
        <v>0.69999999999999929</v>
      </c>
      <c r="AW11" s="12">
        <f t="shared" si="7"/>
        <v>7.1</v>
      </c>
      <c r="AX11" s="1">
        <f>'Data (2)'!AX84</f>
        <v>0.5</v>
      </c>
      <c r="AY11" s="1">
        <f>'Data (2)'!AY84-AX11</f>
        <v>1.6</v>
      </c>
      <c r="AZ11" s="1">
        <f>'Data (2)'!AZ84-AY11-AX11</f>
        <v>0.39999999999999991</v>
      </c>
      <c r="BA11" s="1">
        <f>'Data (2)'!BA84-AZ11-AY11-AX11</f>
        <v>0.60000000000000009</v>
      </c>
      <c r="BB11" s="12">
        <f t="shared" si="8"/>
        <v>3.1</v>
      </c>
      <c r="BC11" s="1">
        <f>'Data (2)'!BC84</f>
        <v>0.5</v>
      </c>
      <c r="BD11" s="1">
        <f>'Data (2)'!BD84-BC11</f>
        <v>1</v>
      </c>
      <c r="BE11" s="1">
        <f>'Data (2)'!BE84-BD11-BC11</f>
        <v>0.30000000000000004</v>
      </c>
      <c r="BF11" s="1">
        <f>'Data (2)'!BF84-BE11-BD11-BC11</f>
        <v>0.30000000000000004</v>
      </c>
      <c r="BG11" s="12">
        <f t="shared" si="9"/>
        <v>2.1</v>
      </c>
      <c r="BH11" s="1">
        <f>'Data (2)'!BH84</f>
        <v>0.3</v>
      </c>
      <c r="BI11" s="1">
        <f>'Data (2)'!BI84-BH11</f>
        <v>0.3</v>
      </c>
      <c r="BJ11" s="1">
        <f>'Data (2)'!BJ84-BI11-BH11</f>
        <v>0.7</v>
      </c>
      <c r="BK11" s="1">
        <f>'Data (2)'!BK84-BJ11-BI11-BH11</f>
        <v>0.3000000000000001</v>
      </c>
      <c r="BL11" s="12">
        <f t="shared" si="11"/>
        <v>1.5999999999999999</v>
      </c>
      <c r="BM11" s="1">
        <f>'Data (2)'!BM84</f>
        <v>0.3</v>
      </c>
      <c r="BN11" s="1">
        <f>'Data (2)'!BN84-BM11</f>
        <v>0.2</v>
      </c>
      <c r="BO11" s="1">
        <f>'Data (2)'!BO84-BN11-BM11</f>
        <v>0.3000000000000001</v>
      </c>
      <c r="BP11" s="1">
        <f>'Data (2)'!BP84-BO11-BN11-BM11</f>
        <v>0.3000000000000001</v>
      </c>
      <c r="BQ11" s="12">
        <f t="shared" si="12"/>
        <v>1.1000000000000001</v>
      </c>
      <c r="BR11" s="1">
        <f>'Data (2)'!BR84</f>
        <v>0.3</v>
      </c>
      <c r="BS11" s="1">
        <f>'Data (2)'!BS84-BR11</f>
        <v>0.8</v>
      </c>
      <c r="BT11" s="1">
        <f>'Data (2)'!BT84-BS11-BR11</f>
        <v>0.29999999999999988</v>
      </c>
      <c r="BU11" s="1">
        <f>'Data (2)'!BU84-BT11-BS11-BR11</f>
        <v>0.3000000000000001</v>
      </c>
      <c r="BV11" s="12">
        <f t="shared" si="13"/>
        <v>1.7</v>
      </c>
      <c r="BW11" s="1">
        <f>'Data (2)'!BW84</f>
        <v>0.4</v>
      </c>
      <c r="BX11" s="1">
        <f>'Data (2)'!BX84-BW11</f>
        <v>0</v>
      </c>
      <c r="BY11" s="1">
        <f>'Data (2)'!BY84-BX11-BW11</f>
        <v>0.19999999999999996</v>
      </c>
      <c r="BZ11" s="1">
        <f>'Data (2)'!BZ84-BY11-BX11-BW11</f>
        <v>9.9999999999999978E-2</v>
      </c>
      <c r="CA11" s="12">
        <f t="shared" si="14"/>
        <v>0.7</v>
      </c>
      <c r="CB11" s="1">
        <f>'Data (2)'!CB84</f>
        <v>0.3</v>
      </c>
      <c r="CC11" s="1">
        <f>'Data (2)'!CC84-CB11</f>
        <v>0.39999999999999997</v>
      </c>
      <c r="CD11" s="1">
        <f>'Data (2)'!CD84-CC11-CB11</f>
        <v>0.5</v>
      </c>
      <c r="CE11" s="1">
        <f>'Data (2)'!CE84-CD11-CC11-CB11</f>
        <v>0.40000000000000019</v>
      </c>
      <c r="CF11" s="12">
        <f t="shared" si="15"/>
        <v>1.6</v>
      </c>
      <c r="CG11" s="1">
        <f>'Data (2)'!CG84</f>
        <v>0.3</v>
      </c>
      <c r="CH11" s="1">
        <f>'Data (2)'!CH84-CG11</f>
        <v>0.60000000000000009</v>
      </c>
      <c r="CI11" s="1">
        <f>'Data (2)'!CI84-CH11-CG11</f>
        <v>0.2</v>
      </c>
      <c r="CJ11" s="1">
        <f>'Data (2)'!CJ84-CI11-CH11-CG11</f>
        <v>-0.20000000000000012</v>
      </c>
      <c r="CK11" s="12">
        <f t="shared" si="16"/>
        <v>0.89999999999999991</v>
      </c>
      <c r="CL11" s="1">
        <f>'Data (2)'!CL84</f>
        <v>0.3</v>
      </c>
      <c r="CM11" s="141">
        <v>0</v>
      </c>
      <c r="CN11" s="141">
        <v>0</v>
      </c>
      <c r="CO11" s="141">
        <v>0</v>
      </c>
      <c r="CP11" s="12">
        <f t="shared" si="17"/>
        <v>0.3</v>
      </c>
      <c r="CQ11" s="138">
        <v>0</v>
      </c>
      <c r="CR11" s="138">
        <v>0</v>
      </c>
      <c r="CS11" s="138">
        <v>0</v>
      </c>
    </row>
    <row r="12" spans="1:97">
      <c r="A12" s="155"/>
      <c r="B12" s="29" t="s">
        <v>64</v>
      </c>
      <c r="C12" s="12">
        <f>'Data (2)'!C85</f>
        <v>8</v>
      </c>
      <c r="D12" s="12">
        <f>'Data (2)'!D85</f>
        <v>6.85</v>
      </c>
      <c r="E12" s="12">
        <f>'Data (2)'!E85</f>
        <v>-15.8</v>
      </c>
      <c r="F12" s="12">
        <f>'Data (2)'!F85</f>
        <v>8.6</v>
      </c>
      <c r="G12" s="12">
        <f>'Data (2)'!G85</f>
        <v>27.6</v>
      </c>
      <c r="H12" s="12">
        <f>'Data (2)'!H85</f>
        <v>1.7</v>
      </c>
      <c r="I12" s="12">
        <f>'Data (2)'!I85</f>
        <v>4.8</v>
      </c>
      <c r="J12" s="1">
        <f>'Data (2)'!J85</f>
        <v>-0.2</v>
      </c>
      <c r="K12" s="1">
        <f>'Data (2)'!K85-J12</f>
        <v>0.1</v>
      </c>
      <c r="L12" s="1">
        <f>'Data (2)'!L85-K12-J12</f>
        <v>-0.39999999999999997</v>
      </c>
      <c r="M12" s="1">
        <f>'Data (2)'!M85-L12-K12-J12</f>
        <v>-0.60000000000000009</v>
      </c>
      <c r="N12" s="12">
        <f t="shared" si="0"/>
        <v>-1.1000000000000001</v>
      </c>
      <c r="O12" s="1">
        <f>'Data (2)'!O85</f>
        <v>0</v>
      </c>
      <c r="P12" s="1">
        <f>'Data (2)'!P85-O12</f>
        <v>0.3</v>
      </c>
      <c r="Q12" s="1">
        <f>'Data (2)'!Q85-P12-O12</f>
        <v>0.7</v>
      </c>
      <c r="R12" s="1">
        <f>'Data (2)'!R85-Q12-P12-O12</f>
        <v>-119.4</v>
      </c>
      <c r="S12" s="12">
        <f t="shared" si="1"/>
        <v>-118.4</v>
      </c>
      <c r="T12" s="1">
        <f>'Data (2)'!T85</f>
        <v>5.5</v>
      </c>
      <c r="U12" s="1">
        <f>'Data (2)'!U85-T12</f>
        <v>5.4</v>
      </c>
      <c r="V12" s="1">
        <f>'Data (2)'!V85-U12-T12</f>
        <v>1.2999999999999989</v>
      </c>
      <c r="W12" s="1">
        <f>'Data (2)'!W85-V12-U12-T12</f>
        <v>4.8000000000000007</v>
      </c>
      <c r="X12" s="12">
        <f t="shared" si="2"/>
        <v>17</v>
      </c>
      <c r="Y12" s="1">
        <f>'Data (2)'!Y85</f>
        <v>5.4</v>
      </c>
      <c r="Z12" s="1">
        <f>'Data (2)'!Z85-Y12</f>
        <v>9.1999999999999993</v>
      </c>
      <c r="AA12" s="1">
        <f>'Data (2)'!AA85-Z12-Y12</f>
        <v>5.9</v>
      </c>
      <c r="AB12" s="1">
        <f>'Data (2)'!AB85-AA12-Z12-Y12</f>
        <v>-10.5</v>
      </c>
      <c r="AC12" s="12">
        <f t="shared" si="3"/>
        <v>10</v>
      </c>
      <c r="AD12" s="1">
        <f>'Data (2)'!AD85</f>
        <v>5.6</v>
      </c>
      <c r="AE12" s="1">
        <f>'Data (2)'!AE85-AD12</f>
        <v>-9.1</v>
      </c>
      <c r="AF12" s="1">
        <f>'Data (2)'!AF85-AE12-AD12</f>
        <v>7.7999999999999989</v>
      </c>
      <c r="AG12" s="1">
        <f>'Data (2)'!AG85-AF12-AE12-AD12</f>
        <v>-10.799999999999999</v>
      </c>
      <c r="AH12" s="12">
        <f t="shared" si="4"/>
        <v>-6.5</v>
      </c>
      <c r="AI12" s="1">
        <f>'Data (2)'!AI85</f>
        <v>6.8</v>
      </c>
      <c r="AJ12" s="1">
        <f>'Data (2)'!AJ85-AI12</f>
        <v>5.3</v>
      </c>
      <c r="AK12" s="1">
        <f>'Data (2)'!AK85-AJ12-AI12</f>
        <v>3.0999999999999988</v>
      </c>
      <c r="AL12" s="1">
        <f>'Data (2)'!AL85-AK12-AJ12-AI12</f>
        <v>4.400000000000003</v>
      </c>
      <c r="AM12" s="12">
        <f t="shared" si="5"/>
        <v>19.600000000000001</v>
      </c>
      <c r="AN12" s="1">
        <f>'Data (2)'!AN85</f>
        <v>-0.6</v>
      </c>
      <c r="AO12" s="1">
        <f>'Data (2)'!AO85-AN12</f>
        <v>4.8</v>
      </c>
      <c r="AP12" s="1">
        <f>'Data (2)'!AP85-AO12-AN12</f>
        <v>4.7</v>
      </c>
      <c r="AQ12" s="1">
        <f>'Data (2)'!AQ85-AP12-AO12-AN12</f>
        <v>7.200000000000002</v>
      </c>
      <c r="AR12" s="12">
        <f t="shared" si="6"/>
        <v>16.100000000000001</v>
      </c>
      <c r="AS12" s="1">
        <f>'Data (2)'!AS85</f>
        <v>9.3000000000000007</v>
      </c>
      <c r="AT12" s="1">
        <f>'Data (2)'!AT85-AS12</f>
        <v>-2.6000000000000005</v>
      </c>
      <c r="AU12" s="1">
        <f>'Data (2)'!AU85-AT12-AS12</f>
        <v>20.7</v>
      </c>
      <c r="AV12" s="1">
        <f>'Data (2)'!AV85-AU12-AT12-AS12</f>
        <v>-4.0000000000000009</v>
      </c>
      <c r="AW12" s="12">
        <f t="shared" si="7"/>
        <v>23.4</v>
      </c>
      <c r="AX12" s="1">
        <f>'Data (2)'!AX85</f>
        <v>12</v>
      </c>
      <c r="AY12" s="1">
        <f>'Data (2)'!AY85-AX12</f>
        <v>3.3000000000000007</v>
      </c>
      <c r="AZ12" s="1">
        <f>'Data (2)'!AZ85-AY12-AX12</f>
        <v>6</v>
      </c>
      <c r="BA12" s="1">
        <f>'Data (2)'!BA85-AZ12-AY12-AX12</f>
        <v>9.5999999999999979</v>
      </c>
      <c r="BB12" s="12">
        <f t="shared" si="8"/>
        <v>30.9</v>
      </c>
      <c r="BC12" s="1">
        <f>'Data (2)'!BC85</f>
        <v>1.2</v>
      </c>
      <c r="BD12" s="1">
        <f>'Data (2)'!BD85-BC12</f>
        <v>16.400000000000002</v>
      </c>
      <c r="BE12" s="1">
        <f>'Data (2)'!BE85-BD12-BC12</f>
        <v>0.49999999999999933</v>
      </c>
      <c r="BF12" s="1">
        <f>'Data (2)'!BF85-BE12-BD12-BC12</f>
        <v>-1.7000000000000035</v>
      </c>
      <c r="BG12" s="12">
        <f t="shared" si="9"/>
        <v>16.399999999999999</v>
      </c>
      <c r="BH12" s="1">
        <f>'Data (2)'!BH85</f>
        <v>19.3</v>
      </c>
      <c r="BI12" s="1">
        <f>'Data (2)'!BI85-BH12</f>
        <v>1.5999999999999979</v>
      </c>
      <c r="BJ12" s="1">
        <f>'Data (2)'!BJ85-BI12-BH12</f>
        <v>29.600000000000005</v>
      </c>
      <c r="BK12" s="1">
        <f>'Data (2)'!BK85-BJ12-BI12-BH12</f>
        <v>-10.8</v>
      </c>
      <c r="BL12" s="12">
        <f t="shared" si="11"/>
        <v>39.700000000000003</v>
      </c>
      <c r="BM12" s="1">
        <f>'Data (2)'!BM85</f>
        <v>11.3</v>
      </c>
      <c r="BN12" s="1">
        <f>'Data (2)'!BN85-BM12</f>
        <v>11.7</v>
      </c>
      <c r="BO12" s="1">
        <f>'Data (2)'!BO85-BN12-BM12</f>
        <v>16.299999999999997</v>
      </c>
      <c r="BP12" s="1">
        <f>'Data (2)'!BP85-BO12-BN12-BM12</f>
        <v>13.900000000000006</v>
      </c>
      <c r="BQ12" s="12">
        <f t="shared" si="12"/>
        <v>53.2</v>
      </c>
      <c r="BR12" s="1">
        <f>'Data (2)'!BR85</f>
        <v>13.1</v>
      </c>
      <c r="BS12" s="1">
        <f>'Data (2)'!BS85-BR12</f>
        <v>11.500000000000002</v>
      </c>
      <c r="BT12" s="1">
        <f>'Data (2)'!BT85-BS12-BR12</f>
        <v>25.9</v>
      </c>
      <c r="BU12" s="1">
        <f>'Data (2)'!BU85-BT12-BS12-BR12</f>
        <v>12.299999999999999</v>
      </c>
      <c r="BV12" s="12">
        <f t="shared" si="13"/>
        <v>62.8</v>
      </c>
      <c r="BW12" s="1">
        <f>'Data (2)'!BW85</f>
        <v>-5.0999999999999996</v>
      </c>
      <c r="BX12" s="1">
        <f>'Data (2)'!BX85-BW12</f>
        <v>7.1</v>
      </c>
      <c r="BY12" s="1">
        <f>'Data (2)'!BY85-BX12-BW12</f>
        <v>13.1</v>
      </c>
      <c r="BZ12" s="1">
        <f>'Data (2)'!BZ85-BY12-BX12-BW12</f>
        <v>-11.299999999999999</v>
      </c>
      <c r="CA12" s="12">
        <f t="shared" si="14"/>
        <v>3.8000000000000007</v>
      </c>
      <c r="CB12" s="1">
        <f>'Data (2)'!CB85</f>
        <v>10.1</v>
      </c>
      <c r="CC12" s="1">
        <f>'Data (2)'!CC85-CB12</f>
        <v>2.5999999999999996</v>
      </c>
      <c r="CD12" s="1">
        <f>'Data (2)'!CD85-CC12-CB12</f>
        <v>14.799999999999999</v>
      </c>
      <c r="CE12" s="1">
        <f>'Data (2)'!CE85-CD12-CC12-CB12</f>
        <v>1.8000000000000025</v>
      </c>
      <c r="CF12" s="12">
        <f t="shared" si="15"/>
        <v>29.300000000000004</v>
      </c>
      <c r="CG12" s="1">
        <f>'Data (2)'!CG85</f>
        <v>4.2</v>
      </c>
      <c r="CH12" s="1">
        <f>'Data (2)'!CH85-CG12</f>
        <v>2.5999999999999996</v>
      </c>
      <c r="CI12" s="1">
        <f>'Data (2)'!CI85-CH12-CG12</f>
        <v>2.5000000000000009</v>
      </c>
      <c r="CJ12" s="1">
        <f>'Data (2)'!CJ85-CI12-CH12-CG12</f>
        <v>7.0000000000000009</v>
      </c>
      <c r="CK12" s="12">
        <f t="shared" si="16"/>
        <v>16.3</v>
      </c>
      <c r="CL12" s="1">
        <f>'Data (2)'!CL85</f>
        <v>-0.6</v>
      </c>
      <c r="CM12" s="141">
        <v>0</v>
      </c>
      <c r="CN12" s="141">
        <v>0</v>
      </c>
      <c r="CO12" s="141">
        <v>0</v>
      </c>
      <c r="CP12" s="12">
        <f t="shared" si="17"/>
        <v>-0.6</v>
      </c>
      <c r="CQ12" s="138">
        <v>0</v>
      </c>
      <c r="CR12" s="138">
        <v>0</v>
      </c>
      <c r="CS12" s="138">
        <v>0</v>
      </c>
    </row>
    <row r="13" spans="1:97">
      <c r="B13" s="29" t="s">
        <v>65</v>
      </c>
      <c r="C13" s="12">
        <f>'Data (2)'!C86</f>
        <v>25.343</v>
      </c>
      <c r="D13" s="12">
        <f>'Data (2)'!D86</f>
        <v>12.711</v>
      </c>
      <c r="E13" s="12">
        <f>'Data (2)'!E86</f>
        <v>20.100000000000001</v>
      </c>
      <c r="F13" s="12">
        <f>'Data (2)'!F86</f>
        <v>10.9</v>
      </c>
      <c r="G13" s="12">
        <f>'Data (2)'!G86</f>
        <v>58.4</v>
      </c>
      <c r="H13" s="12">
        <f>'Data (2)'!H86</f>
        <v>0.5</v>
      </c>
      <c r="I13" s="12">
        <f>'Data (2)'!I86</f>
        <v>4</v>
      </c>
      <c r="J13" s="1">
        <f>'Data (2)'!J86</f>
        <v>0.5</v>
      </c>
      <c r="K13" s="1">
        <f>'Data (2)'!K86-J13</f>
        <v>0.89999999999999991</v>
      </c>
      <c r="L13" s="1">
        <f>'Data (2)'!L86-K13-J13</f>
        <v>0.60000000000000009</v>
      </c>
      <c r="M13" s="1">
        <f>'Data (2)'!M86-L13-K13-J13</f>
        <v>0.89999999999999991</v>
      </c>
      <c r="N13" s="12">
        <f t="shared" si="0"/>
        <v>2.9</v>
      </c>
      <c r="O13" s="1">
        <f>'Data (2)'!O86</f>
        <v>0.4</v>
      </c>
      <c r="P13" s="1">
        <f>'Data (2)'!P86-O13</f>
        <v>0.4</v>
      </c>
      <c r="Q13" s="1">
        <f>'Data (2)'!Q86-P13-O13</f>
        <v>0.99999999999999989</v>
      </c>
      <c r="R13" s="1">
        <f>'Data (2)'!R86-Q13-P13-O13</f>
        <v>1.1000000000000001</v>
      </c>
      <c r="S13" s="12">
        <f t="shared" si="1"/>
        <v>2.9</v>
      </c>
      <c r="T13" s="1">
        <f>'Data (2)'!T86</f>
        <v>3</v>
      </c>
      <c r="U13" s="1">
        <f>'Data (2)'!U86-T13</f>
        <v>1.0999999999999996</v>
      </c>
      <c r="V13" s="1">
        <f>'Data (2)'!V86-U13-T13</f>
        <v>1.4000000000000004</v>
      </c>
      <c r="W13" s="1">
        <f>'Data (2)'!W86-V13-U13-T13</f>
        <v>9.3000000000000007</v>
      </c>
      <c r="X13" s="12">
        <f t="shared" si="2"/>
        <v>14.8</v>
      </c>
      <c r="Y13" s="1">
        <f>'Data (2)'!Y86</f>
        <v>1.1000000000000001</v>
      </c>
      <c r="Z13" s="1">
        <f>'Data (2)'!Z86-Y13</f>
        <v>0.5</v>
      </c>
      <c r="AA13" s="1">
        <f>'Data (2)'!AA86-Z13-Y13</f>
        <v>2.4999999999999996</v>
      </c>
      <c r="AB13" s="1">
        <f>'Data (2)'!AB86-AA13-Z13-Y13</f>
        <v>3.2000000000000006</v>
      </c>
      <c r="AC13" s="12">
        <f t="shared" si="3"/>
        <v>7.3000000000000007</v>
      </c>
      <c r="AD13" s="1">
        <f>'Data (2)'!AD86</f>
        <v>0.6</v>
      </c>
      <c r="AE13" s="1">
        <f>'Data (2)'!AE86-AD13</f>
        <v>1.2000000000000002</v>
      </c>
      <c r="AF13" s="1">
        <f>'Data (2)'!AF86-AE13-AD13</f>
        <v>0.69999999999999984</v>
      </c>
      <c r="AG13" s="1">
        <f>'Data (2)'!AG86-AF13-AE13-AD13</f>
        <v>1.2999999999999998</v>
      </c>
      <c r="AH13" s="12">
        <f t="shared" si="4"/>
        <v>3.8</v>
      </c>
      <c r="AI13" s="1">
        <f>'Data (2)'!AI86</f>
        <v>0</v>
      </c>
      <c r="AJ13" s="1">
        <f>'Data (2)'!AJ86-AI13</f>
        <v>0</v>
      </c>
      <c r="AK13" s="1">
        <f>'Data (2)'!AK86-AJ13-AI13</f>
        <v>0</v>
      </c>
      <c r="AL13" s="1">
        <f>'Data (2)'!AL86-AK13-AJ13-AI13</f>
        <v>0</v>
      </c>
      <c r="AM13" s="12">
        <f t="shared" si="5"/>
        <v>0</v>
      </c>
      <c r="AN13" s="1">
        <f>'Data (2)'!AN86</f>
        <v>0</v>
      </c>
      <c r="AO13" s="1">
        <f>'Data (2)'!AO86-AN13</f>
        <v>0</v>
      </c>
      <c r="AP13" s="1">
        <f>'Data (2)'!AP86-AO13-AN13</f>
        <v>0</v>
      </c>
      <c r="AQ13" s="1">
        <f>'Data (2)'!AQ86-AP13-AO13-AN13</f>
        <v>0</v>
      </c>
      <c r="AR13" s="12">
        <f t="shared" si="6"/>
        <v>0</v>
      </c>
      <c r="AS13" s="1">
        <f>'Data (2)'!AS86</f>
        <v>0</v>
      </c>
      <c r="AT13" s="1">
        <f>'Data (2)'!AT86-AS13</f>
        <v>0</v>
      </c>
      <c r="AU13" s="1">
        <f>'Data (2)'!AU86-AT13-AS13</f>
        <v>0</v>
      </c>
      <c r="AV13" s="1">
        <f>'Data (2)'!AV86-AU13-AT13-AS13</f>
        <v>0</v>
      </c>
      <c r="AW13" s="12">
        <f t="shared" si="7"/>
        <v>0</v>
      </c>
      <c r="AX13" s="1">
        <f>'Data (2)'!AX86</f>
        <v>0</v>
      </c>
      <c r="AY13" s="1">
        <f>'Data (2)'!AY86-AX13</f>
        <v>0</v>
      </c>
      <c r="AZ13" s="1">
        <f>'Data (2)'!AZ86-AY13-AX13</f>
        <v>0</v>
      </c>
      <c r="BA13" s="1">
        <f>'Data (2)'!BA86-AZ13-AY13-AX13</f>
        <v>0</v>
      </c>
      <c r="BB13" s="12">
        <f t="shared" si="8"/>
        <v>0</v>
      </c>
      <c r="BC13" s="1">
        <f>'Data (2)'!BC86</f>
        <v>0</v>
      </c>
      <c r="BD13" s="1">
        <f>'Data (2)'!BD86-BC13</f>
        <v>0</v>
      </c>
      <c r="BE13" s="1">
        <f>'Data (2)'!BE86-BD13-BC13</f>
        <v>0</v>
      </c>
      <c r="BF13" s="1">
        <f>'Data (2)'!BF86-BE13-BD13-BC13</f>
        <v>0</v>
      </c>
      <c r="BG13" s="12">
        <f t="shared" si="9"/>
        <v>0</v>
      </c>
      <c r="BH13" s="1">
        <f>'Data (2)'!BH86</f>
        <v>0</v>
      </c>
      <c r="BI13" s="1">
        <f>'Data (2)'!BI86-BH13</f>
        <v>0</v>
      </c>
      <c r="BJ13" s="1">
        <f>'Data (2)'!BJ86-BI13-BH13</f>
        <v>0</v>
      </c>
      <c r="BK13" s="1">
        <f>'Data (2)'!BK86-BJ13-BI13-BH13</f>
        <v>0</v>
      </c>
      <c r="BL13" s="12">
        <f t="shared" si="11"/>
        <v>0</v>
      </c>
      <c r="BM13" s="1">
        <f>'Data (2)'!BM86</f>
        <v>0</v>
      </c>
      <c r="BN13" s="1">
        <f>'Data (2)'!BN86-BM13</f>
        <v>0</v>
      </c>
      <c r="BO13" s="1">
        <f>'Data (2)'!BO86-BN13-BM13</f>
        <v>0</v>
      </c>
      <c r="BP13" s="1">
        <f>'Data (2)'!BP86-BO13-BN13-BM13</f>
        <v>0</v>
      </c>
      <c r="BQ13" s="12">
        <f t="shared" si="12"/>
        <v>0</v>
      </c>
      <c r="BR13" s="1">
        <f>'Data (2)'!BR86</f>
        <v>0</v>
      </c>
      <c r="BS13" s="1">
        <f>'Data (2)'!BS86-BR13</f>
        <v>0</v>
      </c>
      <c r="BT13" s="1">
        <f>'Data (2)'!BT86-BS13-BR13</f>
        <v>0</v>
      </c>
      <c r="BU13" s="1">
        <f>'Data (2)'!BU86-BT13-BS13-BR13</f>
        <v>0</v>
      </c>
      <c r="BV13" s="12">
        <f t="shared" si="13"/>
        <v>0</v>
      </c>
      <c r="BW13" s="1">
        <f>'Data (2)'!BW86</f>
        <v>0</v>
      </c>
      <c r="BX13" s="1">
        <f>'Data (2)'!BX86-BW13</f>
        <v>0</v>
      </c>
      <c r="BY13" s="1">
        <f>'Data (2)'!BY86-BX13-BW13</f>
        <v>0</v>
      </c>
      <c r="BZ13" s="1">
        <f>'Data (2)'!BZ86-BY13-BX13-BW13</f>
        <v>0</v>
      </c>
      <c r="CA13" s="12">
        <f t="shared" si="14"/>
        <v>0</v>
      </c>
      <c r="CB13" s="1">
        <f>'Data (2)'!CB86</f>
        <v>0</v>
      </c>
      <c r="CC13" s="1">
        <f>'Data (2)'!CC86-CB13</f>
        <v>0</v>
      </c>
      <c r="CD13" s="1">
        <f>'Data (2)'!CD86-CC13-CB13</f>
        <v>0</v>
      </c>
      <c r="CE13" s="1">
        <f>'Data (2)'!CE86-CD13-CC13-CB13</f>
        <v>0</v>
      </c>
      <c r="CF13" s="12">
        <f t="shared" si="15"/>
        <v>0</v>
      </c>
      <c r="CG13" s="1">
        <f>'Data (2)'!CG86</f>
        <v>0</v>
      </c>
      <c r="CH13" s="1">
        <f>'Data (2)'!CH86-CG13</f>
        <v>0</v>
      </c>
      <c r="CI13" s="1">
        <f>'Data (2)'!CI86-CH13-CG13</f>
        <v>0</v>
      </c>
      <c r="CJ13" s="1">
        <f>'Data (2)'!CJ86-CI13-CH13-CG13</f>
        <v>0</v>
      </c>
      <c r="CK13" s="12">
        <f t="shared" si="16"/>
        <v>0</v>
      </c>
      <c r="CL13" s="1">
        <f>'Data (2)'!CL86</f>
        <v>0</v>
      </c>
      <c r="CM13" s="141">
        <v>0</v>
      </c>
      <c r="CN13" s="141">
        <v>0</v>
      </c>
      <c r="CO13" s="141">
        <v>0</v>
      </c>
      <c r="CP13" s="12">
        <f t="shared" si="17"/>
        <v>0</v>
      </c>
      <c r="CQ13" s="138">
        <v>0</v>
      </c>
      <c r="CR13" s="138">
        <v>0</v>
      </c>
      <c r="CS13" s="138">
        <v>0</v>
      </c>
    </row>
    <row r="14" spans="1:97">
      <c r="B14" s="29" t="s">
        <v>66</v>
      </c>
      <c r="C14" s="12">
        <f>'Data (2)'!C87</f>
        <v>-33.594999999999999</v>
      </c>
      <c r="D14" s="12">
        <f>'Data (2)'!D87</f>
        <v>-8.6509999999999998</v>
      </c>
      <c r="E14" s="12">
        <f>'Data (2)'!E87</f>
        <v>-9.5</v>
      </c>
      <c r="F14" s="12">
        <f>'Data (2)'!F87</f>
        <v>-11.8</v>
      </c>
      <c r="G14" s="12">
        <f>'Data (2)'!G87</f>
        <v>-12</v>
      </c>
      <c r="H14" s="12">
        <f>'Data (2)'!H87</f>
        <v>-24.3</v>
      </c>
      <c r="I14" s="12">
        <f>'Data (2)'!I87</f>
        <v>-9.1</v>
      </c>
      <c r="J14" s="1">
        <f>'Data (2)'!J87</f>
        <v>-1.5</v>
      </c>
      <c r="K14" s="1">
        <f>'Data (2)'!K87-J14</f>
        <v>-1.2999999999999998</v>
      </c>
      <c r="L14" s="1">
        <f>'Data (2)'!L87-K14-J14</f>
        <v>-1</v>
      </c>
      <c r="M14" s="1">
        <f>'Data (2)'!M87-L14-K14-J14</f>
        <v>-0.90000000000000036</v>
      </c>
      <c r="N14" s="12">
        <f t="shared" si="0"/>
        <v>-4.7</v>
      </c>
      <c r="O14" s="1">
        <f>'Data (2)'!O87</f>
        <v>-0.8</v>
      </c>
      <c r="P14" s="1">
        <f>'Data (2)'!P87-O14</f>
        <v>-0.30000000000000004</v>
      </c>
      <c r="Q14" s="1">
        <f>'Data (2)'!Q87-P14-O14</f>
        <v>-0.79999999999999982</v>
      </c>
      <c r="R14" s="1">
        <f>'Data (2)'!R87-Q14-P14-O14</f>
        <v>-0.80000000000000027</v>
      </c>
      <c r="S14" s="12">
        <f t="shared" si="1"/>
        <v>-2.7</v>
      </c>
      <c r="T14" s="1">
        <f>'Data (2)'!T87</f>
        <v>-1.1000000000000001</v>
      </c>
      <c r="U14" s="1">
        <f>'Data (2)'!U87-T14</f>
        <v>-2</v>
      </c>
      <c r="V14" s="1">
        <f>'Data (2)'!V87-U14-T14</f>
        <v>-2.3000000000000003</v>
      </c>
      <c r="W14" s="1">
        <f>'Data (2)'!W87-V14-U14-T14</f>
        <v>-2.7999999999999985</v>
      </c>
      <c r="X14" s="12">
        <f t="shared" si="2"/>
        <v>-8.1999999999999993</v>
      </c>
      <c r="Y14" s="1">
        <f>'Data (2)'!Y87</f>
        <v>-2.1</v>
      </c>
      <c r="Z14" s="1">
        <f>'Data (2)'!Z87-Y14</f>
        <v>-6.5</v>
      </c>
      <c r="AA14" s="1">
        <f>'Data (2)'!AA87-Z14-Y14</f>
        <v>-2.5999999999999992</v>
      </c>
      <c r="AB14" s="1">
        <f>'Data (2)'!AB87-AA14-Z14-Y14</f>
        <v>-3.7000000000000006</v>
      </c>
      <c r="AC14" s="12">
        <f t="shared" si="3"/>
        <v>-14.9</v>
      </c>
      <c r="AD14" s="1">
        <f>'Data (2)'!AD87</f>
        <v>-1.5</v>
      </c>
      <c r="AE14" s="1">
        <f>'Data (2)'!AE87-AD14</f>
        <v>-1.7000000000000002</v>
      </c>
      <c r="AF14" s="1">
        <f>'Data (2)'!AF87-AE14-AD14</f>
        <v>-0.5</v>
      </c>
      <c r="AG14" s="1">
        <f>'Data (2)'!AG87-AF14-AE14-AD14</f>
        <v>-0.59999999999999964</v>
      </c>
      <c r="AH14" s="12">
        <f t="shared" si="4"/>
        <v>-4.3</v>
      </c>
      <c r="AI14" s="1">
        <f>'Data (2)'!AI87</f>
        <v>-0.4</v>
      </c>
      <c r="AJ14" s="1">
        <f>'Data (2)'!AJ87-AI14</f>
        <v>-0.9</v>
      </c>
      <c r="AK14" s="1">
        <f>'Data (2)'!AK87-AJ14-AI14</f>
        <v>-0.19999999999999996</v>
      </c>
      <c r="AL14" s="1">
        <f>'Data (2)'!AL87-AK14-AJ14-AI14</f>
        <v>-0.19999999999999996</v>
      </c>
      <c r="AM14" s="12">
        <f t="shared" si="5"/>
        <v>-1.7</v>
      </c>
      <c r="AN14" s="1">
        <f>'Data (2)'!AN87</f>
        <v>0</v>
      </c>
      <c r="AO14" s="1">
        <f>'Data (2)'!AO87-AN14</f>
        <v>-0.4</v>
      </c>
      <c r="AP14" s="1">
        <f>'Data (2)'!AP87-AO14-AN14</f>
        <v>-9.9999999999999978E-2</v>
      </c>
      <c r="AQ14" s="1">
        <f>'Data (2)'!AQ87-AP14-AO14-AN14</f>
        <v>-0.30000000000000004</v>
      </c>
      <c r="AR14" s="12">
        <f t="shared" si="6"/>
        <v>-0.8</v>
      </c>
      <c r="AS14" s="1">
        <f>'Data (2)'!AS87</f>
        <v>0</v>
      </c>
      <c r="AT14" s="1">
        <f>'Data (2)'!AT87-AS14</f>
        <v>0</v>
      </c>
      <c r="AU14" s="1">
        <f>'Data (2)'!AU87-AT14-AS14</f>
        <v>0</v>
      </c>
      <c r="AV14" s="1">
        <f>'Data (2)'!AV87-AU14-AT14-AS14</f>
        <v>0</v>
      </c>
      <c r="AW14" s="12">
        <f t="shared" si="7"/>
        <v>0</v>
      </c>
      <c r="AX14" s="1">
        <f>'Data (2)'!AX87</f>
        <v>0</v>
      </c>
      <c r="AY14" s="1">
        <f>'Data (2)'!AY87-AX14</f>
        <v>0</v>
      </c>
      <c r="AZ14" s="1">
        <f>'Data (2)'!AZ87-AY14-AX14</f>
        <v>0</v>
      </c>
      <c r="BA14" s="1">
        <f>'Data (2)'!BA87-AZ14-AY14-AX14</f>
        <v>0</v>
      </c>
      <c r="BB14" s="12">
        <f t="shared" si="8"/>
        <v>0</v>
      </c>
      <c r="BC14" s="1">
        <f>'Data (2)'!BC87</f>
        <v>0</v>
      </c>
      <c r="BD14" s="1">
        <f>'Data (2)'!BD87-BC14</f>
        <v>0</v>
      </c>
      <c r="BE14" s="1">
        <f>'Data (2)'!BE87-BD14-BC14</f>
        <v>0</v>
      </c>
      <c r="BF14" s="1">
        <f>'Data (2)'!BF87-BE14-BD14-BC14</f>
        <v>0</v>
      </c>
      <c r="BG14" s="12">
        <f t="shared" si="9"/>
        <v>0</v>
      </c>
      <c r="BH14" s="1">
        <f>'Data (2)'!BH87</f>
        <v>0</v>
      </c>
      <c r="BI14" s="1">
        <f>'Data (2)'!BI87-BH14</f>
        <v>0</v>
      </c>
      <c r="BJ14" s="1">
        <f>'Data (2)'!BJ87-BI14-BH14</f>
        <v>0</v>
      </c>
      <c r="BK14" s="1">
        <f>'Data (2)'!BK87-BJ14-BI14-BH14</f>
        <v>0</v>
      </c>
      <c r="BL14" s="12">
        <f t="shared" si="11"/>
        <v>0</v>
      </c>
      <c r="BM14" s="1">
        <f>'Data (2)'!BM87</f>
        <v>0</v>
      </c>
      <c r="BN14" s="1">
        <f>'Data (2)'!BN87-BM14</f>
        <v>0</v>
      </c>
      <c r="BO14" s="1">
        <f>'Data (2)'!BO87-BN14-BM14</f>
        <v>0</v>
      </c>
      <c r="BP14" s="1">
        <f>'Data (2)'!BP87-BO14-BN14-BM14</f>
        <v>0</v>
      </c>
      <c r="BQ14" s="12">
        <f t="shared" si="12"/>
        <v>0</v>
      </c>
      <c r="BR14" s="1">
        <f>'Data (2)'!BR87</f>
        <v>0</v>
      </c>
      <c r="BS14" s="1">
        <f>'Data (2)'!BS87-BR14</f>
        <v>0</v>
      </c>
      <c r="BT14" s="1">
        <f>'Data (2)'!BT87-BS14-BR14</f>
        <v>0</v>
      </c>
      <c r="BU14" s="1">
        <f>'Data (2)'!BU87-BT14-BS14-BR14</f>
        <v>0</v>
      </c>
      <c r="BV14" s="12">
        <f t="shared" si="13"/>
        <v>0</v>
      </c>
      <c r="BW14" s="1">
        <f>'Data (2)'!BW87</f>
        <v>0</v>
      </c>
      <c r="BX14" s="1">
        <f>'Data (2)'!BX87-BW14</f>
        <v>0</v>
      </c>
      <c r="BY14" s="1">
        <f>'Data (2)'!BY87-BX14-BW14</f>
        <v>0</v>
      </c>
      <c r="BZ14" s="1">
        <f>'Data (2)'!BZ87-BY14-BX14-BW14</f>
        <v>0</v>
      </c>
      <c r="CA14" s="12">
        <f t="shared" si="14"/>
        <v>0</v>
      </c>
      <c r="CB14" s="1">
        <f>'Data (2)'!CB87</f>
        <v>0</v>
      </c>
      <c r="CC14" s="1">
        <f>'Data (2)'!CC87-CB14</f>
        <v>0</v>
      </c>
      <c r="CD14" s="1">
        <f>'Data (2)'!CD87-CC14-CB14</f>
        <v>0</v>
      </c>
      <c r="CE14" s="1">
        <f>'Data (2)'!CE87-CD14-CC14-CB14</f>
        <v>0</v>
      </c>
      <c r="CF14" s="12">
        <f t="shared" si="15"/>
        <v>0</v>
      </c>
      <c r="CG14" s="1">
        <f>'Data (2)'!CG87</f>
        <v>0</v>
      </c>
      <c r="CH14" s="1">
        <f>'Data (2)'!CH87-CG14</f>
        <v>0</v>
      </c>
      <c r="CI14" s="1">
        <f>'Data (2)'!CI87-CH14-CG14</f>
        <v>0</v>
      </c>
      <c r="CJ14" s="1">
        <f>'Data (2)'!CJ87-CI14-CH14-CG14</f>
        <v>0</v>
      </c>
      <c r="CK14" s="12">
        <f t="shared" si="16"/>
        <v>0</v>
      </c>
      <c r="CL14" s="1">
        <f>'Data (2)'!CL87</f>
        <v>0</v>
      </c>
      <c r="CM14" s="141">
        <v>0</v>
      </c>
      <c r="CN14" s="141">
        <v>0</v>
      </c>
      <c r="CO14" s="141">
        <v>0</v>
      </c>
      <c r="CP14" s="12">
        <f t="shared" si="17"/>
        <v>0</v>
      </c>
      <c r="CQ14" s="138">
        <v>0</v>
      </c>
      <c r="CR14" s="138">
        <v>0</v>
      </c>
      <c r="CS14" s="138">
        <v>0</v>
      </c>
    </row>
    <row r="15" spans="1:97">
      <c r="B15" s="29" t="s">
        <v>67</v>
      </c>
      <c r="C15" s="12">
        <f>'Data (2)'!C88</f>
        <v>0</v>
      </c>
      <c r="D15" s="12">
        <f>'Data (2)'!D88</f>
        <v>0</v>
      </c>
      <c r="E15" s="12">
        <f>'Data (2)'!E88</f>
        <v>0</v>
      </c>
      <c r="F15" s="12">
        <f>'Data (2)'!F88</f>
        <v>0</v>
      </c>
      <c r="G15" s="12">
        <f>'Data (2)'!G88</f>
        <v>0</v>
      </c>
      <c r="H15" s="12">
        <f>'Data (2)'!H88</f>
        <v>-0.5</v>
      </c>
      <c r="I15" s="12">
        <f>'Data (2)'!I88</f>
        <v>0</v>
      </c>
      <c r="J15" s="1">
        <f>'Data (2)'!J88</f>
        <v>0</v>
      </c>
      <c r="K15" s="1">
        <f>'Data (2)'!K88-J15</f>
        <v>0</v>
      </c>
      <c r="L15" s="1">
        <f>'Data (2)'!L88-K15-J15</f>
        <v>0</v>
      </c>
      <c r="M15" s="1">
        <f>'Data (2)'!M88-L15-K15-J15</f>
        <v>0</v>
      </c>
      <c r="N15" s="12">
        <f t="shared" si="0"/>
        <v>0</v>
      </c>
      <c r="O15" s="1">
        <f>'Data (2)'!O88</f>
        <v>0</v>
      </c>
      <c r="P15" s="1">
        <f>'Data (2)'!P88-O15</f>
        <v>0</v>
      </c>
      <c r="Q15" s="1">
        <f>'Data (2)'!Q88-P15-O15</f>
        <v>0</v>
      </c>
      <c r="R15" s="1">
        <f>'Data (2)'!R88-Q15-P15-O15</f>
        <v>40.9</v>
      </c>
      <c r="S15" s="12">
        <f t="shared" si="1"/>
        <v>40.9</v>
      </c>
      <c r="T15" s="1">
        <f>'Data (2)'!T88</f>
        <v>0</v>
      </c>
      <c r="U15" s="1">
        <f>'Data (2)'!U88-T15</f>
        <v>0</v>
      </c>
      <c r="V15" s="1">
        <f>'Data (2)'!V88-U15-T15</f>
        <v>0</v>
      </c>
      <c r="W15" s="1">
        <f>'Data (2)'!W88-V15-U15-T15</f>
        <v>0</v>
      </c>
      <c r="X15" s="12">
        <f t="shared" si="2"/>
        <v>0</v>
      </c>
      <c r="Y15" s="1">
        <f>'Data (2)'!Y88</f>
        <v>0</v>
      </c>
      <c r="Z15" s="1">
        <f>'Data (2)'!Z88-Y15</f>
        <v>0.4</v>
      </c>
      <c r="AA15" s="1">
        <f>'Data (2)'!AA88-Z15-Y15</f>
        <v>-0.4</v>
      </c>
      <c r="AB15" s="1">
        <f>'Data (2)'!AB88-AA15-Z15-Y15</f>
        <v>1.1000000000000001</v>
      </c>
      <c r="AC15" s="12">
        <f t="shared" si="3"/>
        <v>1.1000000000000001</v>
      </c>
      <c r="AD15" s="1">
        <f>'Data (2)'!AD88</f>
        <v>0</v>
      </c>
      <c r="AE15" s="1">
        <f>'Data (2)'!AE88-AD15</f>
        <v>0</v>
      </c>
      <c r="AF15" s="1">
        <f>'Data (2)'!AF88-AE15-AD15</f>
        <v>0</v>
      </c>
      <c r="AG15" s="1">
        <f>'Data (2)'!AG88-AF15-AE15-AD15</f>
        <v>0</v>
      </c>
      <c r="AH15" s="12">
        <f t="shared" si="4"/>
        <v>0</v>
      </c>
      <c r="AI15" s="1">
        <f>'Data (2)'!AI88</f>
        <v>0</v>
      </c>
      <c r="AJ15" s="1">
        <f>'Data (2)'!AJ88-AI15</f>
        <v>0</v>
      </c>
      <c r="AK15" s="1">
        <f>'Data (2)'!AK88-AJ15-AI15</f>
        <v>0</v>
      </c>
      <c r="AL15" s="1">
        <f>'Data (2)'!AL88-AK15-AJ15-AI15</f>
        <v>0</v>
      </c>
      <c r="AM15" s="12">
        <f t="shared" si="5"/>
        <v>0</v>
      </c>
      <c r="AN15" s="1">
        <f>'Data (2)'!AN88</f>
        <v>0</v>
      </c>
      <c r="AO15" s="1">
        <f>'Data (2)'!AO88-AN15</f>
        <v>0</v>
      </c>
      <c r="AP15" s="1">
        <f>'Data (2)'!AP88-AO15-AN15</f>
        <v>0</v>
      </c>
      <c r="AQ15" s="1">
        <f>'Data (2)'!AQ88-AP15-AO15-AN15</f>
        <v>0</v>
      </c>
      <c r="AR15" s="12">
        <f t="shared" si="6"/>
        <v>0</v>
      </c>
      <c r="AS15" s="1">
        <f>'Data (2)'!AS88</f>
        <v>0</v>
      </c>
      <c r="AT15" s="1">
        <f>'Data (2)'!AT88-AS15</f>
        <v>0</v>
      </c>
      <c r="AU15" s="1">
        <f>'Data (2)'!AU88-AT15-AS15</f>
        <v>0</v>
      </c>
      <c r="AV15" s="1">
        <f>'Data (2)'!AV88-AU15-AT15-AS15</f>
        <v>0</v>
      </c>
      <c r="AW15" s="12">
        <f t="shared" si="7"/>
        <v>0</v>
      </c>
      <c r="AX15" s="1">
        <f>'Data (2)'!AX88</f>
        <v>0</v>
      </c>
      <c r="AY15" s="1">
        <f>'Data (2)'!AY88-AX15</f>
        <v>0</v>
      </c>
      <c r="AZ15" s="1">
        <f>'Data (2)'!AZ88-AY15-AX15</f>
        <v>0</v>
      </c>
      <c r="BA15" s="1">
        <f>'Data (2)'!BA88-AZ15-AY15-AX15</f>
        <v>0</v>
      </c>
      <c r="BB15" s="12">
        <f t="shared" si="8"/>
        <v>0</v>
      </c>
      <c r="BC15" s="1">
        <f>'Data (2)'!BC88</f>
        <v>0</v>
      </c>
      <c r="BD15" s="1">
        <f>'Data (2)'!BD88-BC15</f>
        <v>0</v>
      </c>
      <c r="BE15" s="1">
        <f>'Data (2)'!BE88-BD15-BC15</f>
        <v>0</v>
      </c>
      <c r="BF15" s="1">
        <f>'Data (2)'!BF88-BE15-BD15-BC15</f>
        <v>0</v>
      </c>
      <c r="BG15" s="12">
        <f t="shared" si="9"/>
        <v>0</v>
      </c>
      <c r="BH15" s="1">
        <f>'Data (2)'!BH88</f>
        <v>0</v>
      </c>
      <c r="BI15" s="1">
        <f>'Data (2)'!BI88-BH15</f>
        <v>0</v>
      </c>
      <c r="BJ15" s="1">
        <f>'Data (2)'!BJ88-BI15-BH15</f>
        <v>0</v>
      </c>
      <c r="BK15" s="1">
        <f>'Data (2)'!BK88-BJ15-BI15-BH15</f>
        <v>0</v>
      </c>
      <c r="BL15" s="12">
        <f t="shared" si="11"/>
        <v>0</v>
      </c>
      <c r="BM15" s="1">
        <f>'Data (2)'!BM88</f>
        <v>0</v>
      </c>
      <c r="BN15" s="1">
        <f>'Data (2)'!BN88-BM15</f>
        <v>0</v>
      </c>
      <c r="BO15" s="1">
        <f>'Data (2)'!BO88-BN15-BM15</f>
        <v>0</v>
      </c>
      <c r="BP15" s="1">
        <f>'Data (2)'!BP88-BO15-BN15-BM15</f>
        <v>0</v>
      </c>
      <c r="BQ15" s="12">
        <f t="shared" si="12"/>
        <v>0</v>
      </c>
      <c r="BR15" s="1">
        <f>'Data (2)'!BR88</f>
        <v>0</v>
      </c>
      <c r="BS15" s="1">
        <f>'Data (2)'!BS88-BR15</f>
        <v>0</v>
      </c>
      <c r="BT15" s="1">
        <f>'Data (2)'!BT88-BS15-BR15</f>
        <v>0</v>
      </c>
      <c r="BU15" s="1">
        <f>'Data (2)'!BU88-BT15-BS15-BR15</f>
        <v>0</v>
      </c>
      <c r="BV15" s="12">
        <f t="shared" si="13"/>
        <v>0</v>
      </c>
      <c r="BW15" s="1">
        <f>'Data (2)'!BW88</f>
        <v>0</v>
      </c>
      <c r="BX15" s="1">
        <f>'Data (2)'!BX88-BW15</f>
        <v>0</v>
      </c>
      <c r="BY15" s="1">
        <f>'Data (2)'!BY88-BX15-BW15</f>
        <v>0</v>
      </c>
      <c r="BZ15" s="1">
        <f>'Data (2)'!BZ88-BY15-BX15-BW15</f>
        <v>0</v>
      </c>
      <c r="CA15" s="12">
        <f t="shared" si="14"/>
        <v>0</v>
      </c>
      <c r="CB15" s="1">
        <f>'Data (2)'!CB88</f>
        <v>0</v>
      </c>
      <c r="CC15" s="1">
        <f>'Data (2)'!CC88-CB15</f>
        <v>0</v>
      </c>
      <c r="CD15" s="1">
        <f>'Data (2)'!CD88-CC15-CB15</f>
        <v>0</v>
      </c>
      <c r="CE15" s="1">
        <f>'Data (2)'!CE88-CD15-CC15-CB15</f>
        <v>0</v>
      </c>
      <c r="CF15" s="12">
        <f t="shared" si="15"/>
        <v>0</v>
      </c>
      <c r="CG15" s="1">
        <f>'Data (2)'!CG88</f>
        <v>0</v>
      </c>
      <c r="CH15" s="1">
        <f>'Data (2)'!CH88-CG15</f>
        <v>0</v>
      </c>
      <c r="CI15" s="1">
        <f>'Data (2)'!CI88-CH15-CG15</f>
        <v>0</v>
      </c>
      <c r="CJ15" s="1">
        <f>'Data (2)'!CJ88-CI15-CH15-CG15</f>
        <v>0</v>
      </c>
      <c r="CK15" s="12">
        <f t="shared" si="16"/>
        <v>0</v>
      </c>
      <c r="CL15" s="1">
        <f>'Data (2)'!CL88</f>
        <v>0</v>
      </c>
      <c r="CM15" s="141">
        <v>0</v>
      </c>
      <c r="CN15" s="141">
        <v>0</v>
      </c>
      <c r="CO15" s="141">
        <v>0</v>
      </c>
      <c r="CP15" s="12">
        <f t="shared" si="17"/>
        <v>0</v>
      </c>
      <c r="CQ15" s="138">
        <v>0</v>
      </c>
      <c r="CR15" s="138">
        <v>0</v>
      </c>
      <c r="CS15" s="138">
        <v>0</v>
      </c>
    </row>
    <row r="16" spans="1:97">
      <c r="B16" s="29" t="s">
        <v>243</v>
      </c>
      <c r="C16" s="12">
        <f>'Data (2)'!C89</f>
        <v>0</v>
      </c>
      <c r="D16" s="12">
        <f>'Data (2)'!D89</f>
        <v>-0.51700000000000002</v>
      </c>
      <c r="E16" s="12">
        <f>'Data (2)'!E89</f>
        <v>20</v>
      </c>
      <c r="F16" s="12">
        <f>'Data (2)'!F89</f>
        <v>-5.5</v>
      </c>
      <c r="G16" s="12">
        <f>'Data (2)'!G89</f>
        <v>0</v>
      </c>
      <c r="H16" s="12">
        <f>'Data (2)'!H89</f>
        <v>10</v>
      </c>
      <c r="I16" s="12">
        <f>'Data (2)'!I89</f>
        <v>1.4</v>
      </c>
      <c r="J16" s="1">
        <f>'Data (2)'!J89</f>
        <v>-0.3</v>
      </c>
      <c r="K16" s="1">
        <f>'Data (2)'!K89-J16</f>
        <v>-0.5</v>
      </c>
      <c r="L16" s="1">
        <f>'Data (2)'!L89-K16-J16</f>
        <v>0</v>
      </c>
      <c r="M16" s="1">
        <f>'Data (2)'!M89-L16-K16-J16</f>
        <v>-0.3000000000000001</v>
      </c>
      <c r="N16" s="12">
        <f t="shared" si="0"/>
        <v>-1.1000000000000001</v>
      </c>
      <c r="O16" s="1">
        <f>'Data (2)'!O89</f>
        <v>-0.5</v>
      </c>
      <c r="P16" s="1">
        <f>'Data (2)'!P89-O16</f>
        <v>-0.89999999999999991</v>
      </c>
      <c r="Q16" s="1">
        <f>'Data (2)'!Q89-P16-O16</f>
        <v>-1.2000000000000002</v>
      </c>
      <c r="R16" s="1">
        <f>'Data (2)'!R89-Q16-P16-O16</f>
        <v>-1</v>
      </c>
      <c r="S16" s="12">
        <f t="shared" si="1"/>
        <v>-3.6</v>
      </c>
      <c r="T16" s="1">
        <f>'Data (2)'!T89</f>
        <v>-1.1000000000000001</v>
      </c>
      <c r="U16" s="1">
        <f>'Data (2)'!U89-T16</f>
        <v>-1.1000000000000001</v>
      </c>
      <c r="V16" s="1">
        <f>'Data (2)'!V89-U16-T16</f>
        <v>-1</v>
      </c>
      <c r="W16" s="1">
        <f>'Data (2)'!W89-V16-U16-T16</f>
        <v>-0.89999999999999947</v>
      </c>
      <c r="X16" s="12">
        <f t="shared" si="2"/>
        <v>-4.0999999999999996</v>
      </c>
      <c r="Y16" s="1">
        <f>'Data (2)'!Y89</f>
        <v>-1</v>
      </c>
      <c r="Z16" s="1">
        <f>'Data (2)'!Z89-Y16</f>
        <v>-1.4</v>
      </c>
      <c r="AA16" s="1">
        <f>'Data (2)'!AA89-Z16-Y16</f>
        <v>-0.80000000000000027</v>
      </c>
      <c r="AB16" s="1">
        <f>'Data (2)'!AB89-AA16-Z16-Y16</f>
        <v>-1.0999999999999996</v>
      </c>
      <c r="AC16" s="12">
        <f t="shared" si="3"/>
        <v>-4.3</v>
      </c>
      <c r="AD16" s="1">
        <f>'Data (2)'!AD89</f>
        <v>-1.4</v>
      </c>
      <c r="AE16" s="1">
        <f>'Data (2)'!AE89-AD16</f>
        <v>-1.2000000000000002</v>
      </c>
      <c r="AF16" s="1">
        <f>'Data (2)'!AF89-AE16-AD16</f>
        <v>-1.2999999999999998</v>
      </c>
      <c r="AG16" s="1">
        <f>'Data (2)'!AG89-AF16-AE16-AD16</f>
        <v>-12.299999999999999</v>
      </c>
      <c r="AH16" s="12">
        <f t="shared" si="4"/>
        <v>-16.2</v>
      </c>
      <c r="AI16" s="1">
        <f>'Data (2)'!AI89</f>
        <v>-0.1</v>
      </c>
      <c r="AJ16" s="1">
        <f>'Data (2)'!AJ89-AI16</f>
        <v>-0.30000000000000004</v>
      </c>
      <c r="AK16" s="1">
        <f>'Data (2)'!AK89-AJ16-AI16</f>
        <v>-0.19999999999999993</v>
      </c>
      <c r="AL16" s="1">
        <f>'Data (2)'!AL89-AK16-AJ16-AI16</f>
        <v>-9.999999999999995E-2</v>
      </c>
      <c r="AM16" s="12">
        <f t="shared" si="5"/>
        <v>-0.7</v>
      </c>
      <c r="AN16" s="1">
        <f>'Data (2)'!AN89</f>
        <v>-0.1</v>
      </c>
      <c r="AO16" s="1">
        <f>'Data (2)'!AO89-AN16</f>
        <v>-0.30000000000000004</v>
      </c>
      <c r="AP16" s="1">
        <f>'Data (2)'!AP89-AO16-AN16</f>
        <v>0</v>
      </c>
      <c r="AQ16" s="1">
        <f>'Data (2)'!AQ89-AP16-AO16-AN16</f>
        <v>-9.999999999999995E-2</v>
      </c>
      <c r="AR16" s="12">
        <f t="shared" si="6"/>
        <v>-0.5</v>
      </c>
      <c r="AS16" s="1">
        <f>'Data (2)'!AS89</f>
        <v>-0.5</v>
      </c>
      <c r="AT16" s="1">
        <f>'Data (2)'!AT89-AS16</f>
        <v>-0.19999999999999996</v>
      </c>
      <c r="AU16" s="1">
        <f>'Data (2)'!AU89-AT16-AS16</f>
        <v>-0.40000000000000013</v>
      </c>
      <c r="AV16" s="1">
        <f>'Data (2)'!AV89-AU16-AT16-AS16</f>
        <v>-0.5</v>
      </c>
      <c r="AW16" s="12">
        <f t="shared" si="7"/>
        <v>-1.6</v>
      </c>
      <c r="AX16" s="1">
        <f>'Data (2)'!AX89</f>
        <v>-0.4</v>
      </c>
      <c r="AY16" s="1">
        <f>'Data (2)'!AY89-AX16</f>
        <v>-0.29999999999999993</v>
      </c>
      <c r="AZ16" s="1">
        <f>'Data (2)'!AZ89-AY16-AX16</f>
        <v>0</v>
      </c>
      <c r="BA16" s="1">
        <f>'Data (2)'!BA89-AZ16-AY16-AX16</f>
        <v>0</v>
      </c>
      <c r="BB16" s="12">
        <f t="shared" si="8"/>
        <v>-0.7</v>
      </c>
      <c r="BC16" s="1">
        <f>'Data (2)'!BC89</f>
        <v>-0.2</v>
      </c>
      <c r="BD16" s="1">
        <f>'Data (2)'!BD89-BC16</f>
        <v>-0.3</v>
      </c>
      <c r="BE16" s="1">
        <f>'Data (2)'!BE89-BD16-BC16</f>
        <v>-0.3</v>
      </c>
      <c r="BF16" s="1">
        <f>'Data (2)'!BF89-BE16-BD16-BC16</f>
        <v>-0.49999999999999994</v>
      </c>
      <c r="BG16" s="12">
        <f t="shared" si="9"/>
        <v>-1.3</v>
      </c>
      <c r="BH16" s="1">
        <f>'Data (2)'!BH89</f>
        <v>-0.1</v>
      </c>
      <c r="BI16" s="1">
        <f>'Data (2)'!BI89-BH16</f>
        <v>-0.4</v>
      </c>
      <c r="BJ16" s="1">
        <f>'Data (2)'!BJ89-BI16-BH16</f>
        <v>-0.60000000000000009</v>
      </c>
      <c r="BK16" s="1">
        <f>'Data (2)'!BK89-BJ16-BI16-BH16</f>
        <v>-0.29999999999999982</v>
      </c>
      <c r="BL16" s="12">
        <f t="shared" si="11"/>
        <v>-1.4</v>
      </c>
      <c r="BM16" s="1">
        <f>'Data (2)'!BM89</f>
        <v>-0.3</v>
      </c>
      <c r="BN16" s="1">
        <f>'Data (2)'!BN89-BM16</f>
        <v>-0.60000000000000009</v>
      </c>
      <c r="BO16" s="1">
        <f>'Data (2)'!BO89-BN16-BM16</f>
        <v>-0.79999999999999982</v>
      </c>
      <c r="BP16" s="1">
        <f>'Data (2)'!BP89-BO16-BN16-BM16</f>
        <v>-0.3000000000000001</v>
      </c>
      <c r="BQ16" s="12">
        <f t="shared" si="12"/>
        <v>-2</v>
      </c>
      <c r="BR16" s="1">
        <f>'Data (2)'!BR89</f>
        <v>-0.4</v>
      </c>
      <c r="BS16" s="1">
        <f>'Data (2)'!BS89-BR16</f>
        <v>-0.79999999999999993</v>
      </c>
      <c r="BT16" s="1">
        <f>'Data (2)'!BT89-BS16-BR16</f>
        <v>-0.70000000000000007</v>
      </c>
      <c r="BU16" s="1">
        <f>'Data (2)'!BU89-BT16-BS16-BR16</f>
        <v>-0.59999999999999987</v>
      </c>
      <c r="BV16" s="12">
        <f t="shared" si="13"/>
        <v>-2.5</v>
      </c>
      <c r="BW16" s="1">
        <f>'Data (2)'!BW89</f>
        <v>-0.9</v>
      </c>
      <c r="BX16" s="1">
        <f>'Data (2)'!BX89-BW16</f>
        <v>-0.70000000000000007</v>
      </c>
      <c r="BY16" s="1">
        <f>'Data (2)'!BY89-BX16-BW16</f>
        <v>-1.1999999999999997</v>
      </c>
      <c r="BZ16" s="1">
        <f>'Data (2)'!BZ89-BY16-BX16-BW16</f>
        <v>-0.49999999999999989</v>
      </c>
      <c r="CA16" s="12">
        <f t="shared" si="14"/>
        <v>-3.3</v>
      </c>
      <c r="CB16" s="1">
        <f>'Data (2)'!CB89</f>
        <v>-1.3</v>
      </c>
      <c r="CC16" s="1">
        <f>'Data (2)'!CC89-CB16</f>
        <v>-0.99999999999999978</v>
      </c>
      <c r="CD16" s="1">
        <f>'Data (2)'!CD89-CC16-CB16</f>
        <v>-1.9999999999999998</v>
      </c>
      <c r="CE16" s="1">
        <f>'Data (2)'!CE89-CD16-CC16-CB16</f>
        <v>-1.2999999999999996</v>
      </c>
      <c r="CF16" s="12">
        <f t="shared" si="15"/>
        <v>-5.6</v>
      </c>
      <c r="CG16" s="1">
        <f>'Data (2)'!CG89</f>
        <v>-2</v>
      </c>
      <c r="CH16" s="1">
        <f>'Data (2)'!CH89-CG16</f>
        <v>-1.2999999999999998</v>
      </c>
      <c r="CI16" s="1">
        <f>'Data (2)'!CI89-CH16-CG16</f>
        <v>0.39999999999999991</v>
      </c>
      <c r="CJ16" s="1">
        <f>'Data (2)'!CJ89-CI16-CH16-CG16</f>
        <v>-0.79999999999999982</v>
      </c>
      <c r="CK16" s="12">
        <f t="shared" si="16"/>
        <v>-3.6999999999999997</v>
      </c>
      <c r="CL16" s="1">
        <f>'Data (2)'!CL89</f>
        <v>-0.5</v>
      </c>
      <c r="CM16" s="141">
        <v>0</v>
      </c>
      <c r="CN16" s="141">
        <v>0</v>
      </c>
      <c r="CO16" s="141">
        <v>0</v>
      </c>
      <c r="CP16" s="12">
        <f t="shared" si="17"/>
        <v>-0.5</v>
      </c>
      <c r="CQ16" s="138">
        <v>0</v>
      </c>
      <c r="CR16" s="138">
        <v>0</v>
      </c>
      <c r="CS16" s="138">
        <v>0</v>
      </c>
    </row>
    <row r="17" spans="2:98">
      <c r="B17" s="29" t="s">
        <v>68</v>
      </c>
      <c r="C17" s="12">
        <f>'Data (2)'!C90</f>
        <v>0</v>
      </c>
      <c r="D17" s="12">
        <f>'Data (2)'!D90</f>
        <v>0</v>
      </c>
      <c r="E17" s="12">
        <f>'Data (2)'!E90</f>
        <v>0</v>
      </c>
      <c r="F17" s="12">
        <f>'Data (2)'!F90</f>
        <v>0</v>
      </c>
      <c r="G17" s="12">
        <f>'Data (2)'!G90</f>
        <v>0</v>
      </c>
      <c r="H17" s="12">
        <f>'Data (2)'!H90</f>
        <v>0</v>
      </c>
      <c r="I17" s="12">
        <f>'Data (2)'!I90</f>
        <v>0</v>
      </c>
      <c r="J17" s="1">
        <f>'Data (2)'!J90</f>
        <v>0</v>
      </c>
      <c r="K17" s="1">
        <f>'Data (2)'!K90-J17</f>
        <v>0</v>
      </c>
      <c r="L17" s="1">
        <f>'Data (2)'!L90-K17-J17</f>
        <v>0</v>
      </c>
      <c r="M17" s="1">
        <f>'Data (2)'!M90-L17-K17-J17</f>
        <v>0</v>
      </c>
      <c r="N17" s="12">
        <f t="shared" si="0"/>
        <v>0</v>
      </c>
      <c r="O17" s="1">
        <f>'Data (2)'!O90</f>
        <v>0</v>
      </c>
      <c r="P17" s="1">
        <f>'Data (2)'!P90-O17</f>
        <v>0</v>
      </c>
      <c r="Q17" s="1">
        <f>'Data (2)'!Q90-P17-O17</f>
        <v>0</v>
      </c>
      <c r="R17" s="1">
        <f>'Data (2)'!R90-Q17-P17-O17</f>
        <v>0</v>
      </c>
      <c r="S17" s="12">
        <f t="shared" si="1"/>
        <v>0</v>
      </c>
      <c r="T17" s="1">
        <f>'Data (2)'!T90</f>
        <v>0</v>
      </c>
      <c r="U17" s="1">
        <f>'Data (2)'!U90-T17</f>
        <v>1.3</v>
      </c>
      <c r="V17" s="1">
        <f>'Data (2)'!V90-U17-T17</f>
        <v>0</v>
      </c>
      <c r="W17" s="1">
        <f>'Data (2)'!W90-V17-U17-T17</f>
        <v>0</v>
      </c>
      <c r="X17" s="12">
        <f t="shared" si="2"/>
        <v>1.3</v>
      </c>
      <c r="Y17" s="1">
        <f>'Data (2)'!Y90</f>
        <v>0</v>
      </c>
      <c r="Z17" s="1">
        <f>'Data (2)'!Z90-Y17</f>
        <v>0</v>
      </c>
      <c r="AA17" s="1">
        <f>'Data (2)'!AA90-Z17-Y17</f>
        <v>0</v>
      </c>
      <c r="AB17" s="1">
        <f>'Data (2)'!AB90-AA17-Z17-Y17</f>
        <v>0</v>
      </c>
      <c r="AC17" s="12">
        <f t="shared" si="3"/>
        <v>0</v>
      </c>
      <c r="AD17" s="1">
        <f>'Data (2)'!AD90</f>
        <v>0</v>
      </c>
      <c r="AE17" s="1">
        <f>'Data (2)'!AE90-AD17</f>
        <v>0</v>
      </c>
      <c r="AF17" s="1">
        <f>'Data (2)'!AF90-AE17-AD17</f>
        <v>0</v>
      </c>
      <c r="AG17" s="1">
        <f>'Data (2)'!AG90-AF17-AE17-AD17</f>
        <v>0</v>
      </c>
      <c r="AH17" s="12">
        <f t="shared" si="4"/>
        <v>0</v>
      </c>
      <c r="AI17" s="1">
        <f>'Data (2)'!AI90</f>
        <v>0</v>
      </c>
      <c r="AJ17" s="1">
        <f>'Data (2)'!AJ90-AI17</f>
        <v>0</v>
      </c>
      <c r="AK17" s="1">
        <f>'Data (2)'!AK90-AJ17-AI17</f>
        <v>0</v>
      </c>
      <c r="AL17" s="1">
        <f>'Data (2)'!AL90-AK17-AJ17-AI17</f>
        <v>0</v>
      </c>
      <c r="AM17" s="12">
        <f t="shared" si="5"/>
        <v>0</v>
      </c>
      <c r="AN17" s="1">
        <f>'Data (2)'!AN90</f>
        <v>0</v>
      </c>
      <c r="AO17" s="1">
        <f>'Data (2)'!AO90-AN17</f>
        <v>0</v>
      </c>
      <c r="AP17" s="1">
        <f>'Data (2)'!AP90-AO17-AN17</f>
        <v>0</v>
      </c>
      <c r="AQ17" s="1">
        <f>'Data (2)'!AQ90-AP17-AO17-AN17</f>
        <v>0</v>
      </c>
      <c r="AR17" s="12">
        <f t="shared" si="6"/>
        <v>0</v>
      </c>
      <c r="AS17" s="1">
        <f>'Data (2)'!AS90</f>
        <v>0</v>
      </c>
      <c r="AT17" s="1">
        <f>'Data (2)'!AT90-AS17</f>
        <v>0</v>
      </c>
      <c r="AU17" s="1">
        <f>'Data (2)'!AU90-AT17-AS17</f>
        <v>0</v>
      </c>
      <c r="AV17" s="1">
        <f>'Data (2)'!AV90-AU17-AT17-AS17</f>
        <v>0</v>
      </c>
      <c r="AW17" s="12">
        <f t="shared" si="7"/>
        <v>0</v>
      </c>
      <c r="AX17" s="1">
        <f>'Data (2)'!AX90</f>
        <v>0</v>
      </c>
      <c r="AY17" s="1">
        <f>'Data (2)'!AY90-AX17</f>
        <v>0</v>
      </c>
      <c r="AZ17" s="1">
        <f>'Data (2)'!AZ90-AY17-AX17</f>
        <v>0</v>
      </c>
      <c r="BA17" s="1">
        <f>'Data (2)'!BA90-AZ17-AY17-AX17</f>
        <v>0</v>
      </c>
      <c r="BB17" s="12">
        <f t="shared" si="8"/>
        <v>0</v>
      </c>
      <c r="BC17" s="1">
        <f>'Data (2)'!BC90</f>
        <v>0</v>
      </c>
      <c r="BD17" s="1">
        <f>'Data (2)'!BD90-BC17</f>
        <v>0</v>
      </c>
      <c r="BE17" s="1">
        <f>'Data (2)'!BE90-BD17-BC17</f>
        <v>0</v>
      </c>
      <c r="BF17" s="1">
        <f>'Data (2)'!BF90-BE17-BD17-BC17</f>
        <v>0</v>
      </c>
      <c r="BG17" s="12">
        <f t="shared" si="9"/>
        <v>0</v>
      </c>
      <c r="BH17" s="1">
        <f>'Data (2)'!BH90</f>
        <v>0</v>
      </c>
      <c r="BI17" s="1">
        <f>'Data (2)'!BI90-BH17</f>
        <v>0</v>
      </c>
      <c r="BJ17" s="1">
        <f>'Data (2)'!BJ90-BI17-BH17</f>
        <v>0</v>
      </c>
      <c r="BK17" s="1">
        <f>'Data (2)'!BK90-BJ17-BI17-BH17</f>
        <v>0</v>
      </c>
      <c r="BL17" s="12">
        <f t="shared" si="11"/>
        <v>0</v>
      </c>
      <c r="BM17" s="1">
        <f>'Data (2)'!BM90</f>
        <v>0</v>
      </c>
      <c r="BN17" s="1">
        <f>'Data (2)'!BN90-BM17</f>
        <v>0</v>
      </c>
      <c r="BO17" s="1">
        <f>'Data (2)'!BO90-BN17-BM17</f>
        <v>0</v>
      </c>
      <c r="BP17" s="1">
        <f>'Data (2)'!BP90-BO17-BN17-BM17</f>
        <v>0</v>
      </c>
      <c r="BQ17" s="12">
        <f t="shared" si="12"/>
        <v>0</v>
      </c>
      <c r="BR17" s="1">
        <f>'Data (2)'!BR90</f>
        <v>0</v>
      </c>
      <c r="BS17" s="1">
        <f>'Data (2)'!BS90-BR17</f>
        <v>0</v>
      </c>
      <c r="BT17" s="1">
        <f>'Data (2)'!BT90-BS17-BR17</f>
        <v>0</v>
      </c>
      <c r="BU17" s="1">
        <f>'Data (2)'!BU90-BT17-BS17-BR17</f>
        <v>0</v>
      </c>
      <c r="BV17" s="12">
        <f t="shared" si="13"/>
        <v>0</v>
      </c>
      <c r="BW17" s="1">
        <f>'Data (2)'!BW90</f>
        <v>0</v>
      </c>
      <c r="BX17" s="1">
        <f>'Data (2)'!BX90-BW17</f>
        <v>0</v>
      </c>
      <c r="BY17" s="1">
        <f>'Data (2)'!BY90-BX17-BW17</f>
        <v>0</v>
      </c>
      <c r="BZ17" s="1">
        <f>'Data (2)'!BZ90-BY17-BX17-BW17</f>
        <v>0</v>
      </c>
      <c r="CA17" s="12">
        <f t="shared" si="14"/>
        <v>0</v>
      </c>
      <c r="CB17" s="1">
        <f>'Data (2)'!CB90</f>
        <v>0</v>
      </c>
      <c r="CC17" s="1">
        <f>'Data (2)'!CC90-CB17</f>
        <v>0</v>
      </c>
      <c r="CD17" s="1">
        <f>'Data (2)'!CD90-CC17-CB17</f>
        <v>0</v>
      </c>
      <c r="CE17" s="1">
        <f>'Data (2)'!CE90-CD17-CC17-CB17</f>
        <v>0</v>
      </c>
      <c r="CF17" s="12">
        <f t="shared" si="15"/>
        <v>0</v>
      </c>
      <c r="CG17" s="1">
        <f>'Data (2)'!CG90</f>
        <v>0</v>
      </c>
      <c r="CH17" s="1">
        <f>'Data (2)'!CH90-CG17</f>
        <v>0</v>
      </c>
      <c r="CI17" s="1">
        <f>'Data (2)'!CI90-CH17-CG17</f>
        <v>0</v>
      </c>
      <c r="CJ17" s="1">
        <f>'Data (2)'!CJ90-CI17-CH17-CG17</f>
        <v>0</v>
      </c>
      <c r="CK17" s="12">
        <f t="shared" si="16"/>
        <v>0</v>
      </c>
      <c r="CL17" s="1">
        <f>'Data (2)'!CL90</f>
        <v>0</v>
      </c>
      <c r="CM17" s="141">
        <v>0</v>
      </c>
      <c r="CN17" s="141">
        <v>0</v>
      </c>
      <c r="CO17" s="141">
        <v>0</v>
      </c>
      <c r="CP17" s="12">
        <f t="shared" si="17"/>
        <v>0</v>
      </c>
      <c r="CQ17" s="138">
        <v>0</v>
      </c>
      <c r="CR17" s="138">
        <v>0</v>
      </c>
      <c r="CS17" s="138">
        <v>0</v>
      </c>
    </row>
    <row r="18" spans="2:98">
      <c r="B18" s="29" t="s">
        <v>69</v>
      </c>
      <c r="C18" s="12">
        <f>'Data (2)'!C91</f>
        <v>0</v>
      </c>
      <c r="D18" s="12">
        <f>'Data (2)'!D91</f>
        <v>0</v>
      </c>
      <c r="E18" s="12">
        <f>'Data (2)'!E91</f>
        <v>0</v>
      </c>
      <c r="F18" s="12">
        <f>'Data (2)'!F91</f>
        <v>0</v>
      </c>
      <c r="G18" s="12">
        <f>'Data (2)'!G91</f>
        <v>0</v>
      </c>
      <c r="H18" s="12">
        <f>'Data (2)'!H91</f>
        <v>0</v>
      </c>
      <c r="I18" s="12">
        <f>'Data (2)'!I91</f>
        <v>0</v>
      </c>
      <c r="J18" s="1">
        <f>'Data (2)'!J91</f>
        <v>0</v>
      </c>
      <c r="K18" s="1">
        <f>'Data (2)'!K91-J18</f>
        <v>0</v>
      </c>
      <c r="L18" s="1">
        <f>'Data (2)'!L91-K18-J18</f>
        <v>0</v>
      </c>
      <c r="M18" s="1">
        <f>'Data (2)'!M91-L18-K18-J18</f>
        <v>0</v>
      </c>
      <c r="N18" s="12">
        <f t="shared" si="0"/>
        <v>0</v>
      </c>
      <c r="O18" s="1">
        <f>'Data (2)'!O91</f>
        <v>0</v>
      </c>
      <c r="P18" s="1">
        <f>'Data (2)'!P91-O18</f>
        <v>0</v>
      </c>
      <c r="Q18" s="1">
        <f>'Data (2)'!Q91-P18-O18</f>
        <v>0</v>
      </c>
      <c r="R18" s="1">
        <f>'Data (2)'!R91-Q18-P18-O18</f>
        <v>0</v>
      </c>
      <c r="S18" s="12">
        <f t="shared" si="1"/>
        <v>0</v>
      </c>
      <c r="T18" s="1">
        <f>'Data (2)'!T91</f>
        <v>3.4</v>
      </c>
      <c r="U18" s="1">
        <f>'Data (2)'!U91-T18</f>
        <v>2.5000000000000004</v>
      </c>
      <c r="V18" s="1">
        <f>'Data (2)'!V91-U18-T18</f>
        <v>1.6999999999999997</v>
      </c>
      <c r="W18" s="1">
        <f>'Data (2)'!W91-V18-U18-T18</f>
        <v>1.6</v>
      </c>
      <c r="X18" s="12">
        <f t="shared" si="2"/>
        <v>9.1999999999999993</v>
      </c>
      <c r="Y18" s="1">
        <f>'Data (2)'!Y91</f>
        <v>4.9000000000000004</v>
      </c>
      <c r="Z18" s="1">
        <f>'Data (2)'!Z91-Y18</f>
        <v>1.7999999999999998</v>
      </c>
      <c r="AA18" s="1">
        <f>'Data (2)'!AA91-Z18-Y18</f>
        <v>1.3999999999999995</v>
      </c>
      <c r="AB18" s="1">
        <f>'Data (2)'!AB91-AA18-Z18-Y18</f>
        <v>2.2999999999999998</v>
      </c>
      <c r="AC18" s="12">
        <f t="shared" si="3"/>
        <v>10.399999999999999</v>
      </c>
      <c r="AD18" s="1">
        <f>'Data (2)'!AD91</f>
        <v>5.2</v>
      </c>
      <c r="AE18" s="1">
        <f>'Data (2)'!AE91-AD18</f>
        <v>1.7000000000000002</v>
      </c>
      <c r="AF18" s="1">
        <f>'Data (2)'!AF91-AE18-AD18</f>
        <v>1.7999999999999989</v>
      </c>
      <c r="AG18" s="1">
        <f>'Data (2)'!AG91-AF18-AE18-AD18</f>
        <v>0.70000000000000107</v>
      </c>
      <c r="AH18" s="12">
        <f t="shared" si="4"/>
        <v>9.4</v>
      </c>
      <c r="AI18" s="1">
        <f>'Data (2)'!AI91</f>
        <v>4.7</v>
      </c>
      <c r="AJ18" s="1">
        <f>'Data (2)'!AJ91-AI18</f>
        <v>0.79999999999999982</v>
      </c>
      <c r="AK18" s="1">
        <f>'Data (2)'!AK91-AJ18-AI18</f>
        <v>1.2000000000000002</v>
      </c>
      <c r="AL18" s="1">
        <f>'Data (2)'!AL91-AK18-AJ18-AI18</f>
        <v>1.6000000000000005</v>
      </c>
      <c r="AM18" s="12">
        <f t="shared" si="5"/>
        <v>8.3000000000000007</v>
      </c>
      <c r="AN18" s="1">
        <f>'Data (2)'!AN91</f>
        <v>5.7</v>
      </c>
      <c r="AO18" s="1">
        <f>'Data (2)'!AO91-AN18</f>
        <v>2.6000000000000005</v>
      </c>
      <c r="AP18" s="1">
        <f>'Data (2)'!AP91-AO18-AN18</f>
        <v>2.1999999999999993</v>
      </c>
      <c r="AQ18" s="1">
        <f>'Data (2)'!AQ91-AP18-AO18-AN18</f>
        <v>1.9000000000000004</v>
      </c>
      <c r="AR18" s="12">
        <f t="shared" si="6"/>
        <v>12.4</v>
      </c>
      <c r="AS18" s="1">
        <f>'Data (2)'!AS91</f>
        <v>6.4</v>
      </c>
      <c r="AT18" s="1">
        <f>'Data (2)'!AT91-AS18</f>
        <v>2.4000000000000004</v>
      </c>
      <c r="AU18" s="1">
        <f>'Data (2)'!AU91-AT18-AS18</f>
        <v>2.5</v>
      </c>
      <c r="AV18" s="1">
        <f>'Data (2)'!AV91-AU18-AT18-AS18</f>
        <v>2.5999999999999996</v>
      </c>
      <c r="AW18" s="12">
        <f t="shared" si="7"/>
        <v>13.9</v>
      </c>
      <c r="AX18" s="1">
        <f>'Data (2)'!AX91</f>
        <v>7.5</v>
      </c>
      <c r="AY18" s="1">
        <f>'Data (2)'!AY91-AX18</f>
        <v>3</v>
      </c>
      <c r="AZ18" s="1">
        <f>'Data (2)'!AZ91-AY18-AX18</f>
        <v>2.5999999999999996</v>
      </c>
      <c r="BA18" s="1">
        <f>'Data (2)'!BA91-AZ18-AY18-AX18</f>
        <v>2.7000000000000011</v>
      </c>
      <c r="BB18" s="12">
        <f t="shared" si="8"/>
        <v>15.8</v>
      </c>
      <c r="BC18" s="1">
        <f>'Data (2)'!BC91</f>
        <v>8.6999999999999993</v>
      </c>
      <c r="BD18" s="1">
        <f>'Data (2)'!BD91-BC18</f>
        <v>3.3000000000000007</v>
      </c>
      <c r="BE18" s="1">
        <f>'Data (2)'!BE91-BD18-BC18</f>
        <v>2.6999999999999993</v>
      </c>
      <c r="BF18" s="1">
        <f>'Data (2)'!BF91-BE18-BD18-BC18</f>
        <v>4.1999999999999993</v>
      </c>
      <c r="BG18" s="12">
        <f t="shared" si="9"/>
        <v>18.899999999999999</v>
      </c>
      <c r="BH18" s="1">
        <f>'Data (2)'!BH91</f>
        <v>8.8000000000000007</v>
      </c>
      <c r="BI18" s="1">
        <f>'Data (2)'!BI91-BH18</f>
        <v>2.6999999999999993</v>
      </c>
      <c r="BJ18" s="1">
        <f>'Data (2)'!BJ91-BI18-BH18</f>
        <v>2.5</v>
      </c>
      <c r="BK18" s="1">
        <f>'Data (2)'!BK91-BJ18-BI18-BH18</f>
        <v>3.1999999999999993</v>
      </c>
      <c r="BL18" s="12">
        <f t="shared" si="11"/>
        <v>17.2</v>
      </c>
      <c r="BM18" s="1">
        <f>'Data (2)'!BM91</f>
        <v>12</v>
      </c>
      <c r="BN18" s="1">
        <f>'Data (2)'!BN91-BM18</f>
        <v>2.4000000000000004</v>
      </c>
      <c r="BO18" s="1">
        <f>'Data (2)'!BO91-BN18-BM18</f>
        <v>0.79999999999999893</v>
      </c>
      <c r="BP18" s="1">
        <f>'Data (2)'!BP91-BO18-BN18-BM18</f>
        <v>2.7000000000000011</v>
      </c>
      <c r="BQ18" s="12">
        <f t="shared" si="12"/>
        <v>17.899999999999999</v>
      </c>
      <c r="BR18" s="1">
        <f>'Data (2)'!BR91</f>
        <v>10.5</v>
      </c>
      <c r="BS18" s="1">
        <f>'Data (2)'!BS91-BR18</f>
        <v>2.3000000000000007</v>
      </c>
      <c r="BT18" s="1">
        <f>'Data (2)'!BT91-BS18-BR18</f>
        <v>0.79999999999999893</v>
      </c>
      <c r="BU18" s="1">
        <f>'Data (2)'!BU91-BT18-BS18-BR18</f>
        <v>2.5000000000000018</v>
      </c>
      <c r="BV18" s="12">
        <f t="shared" si="13"/>
        <v>16.100000000000001</v>
      </c>
      <c r="BW18" s="1">
        <f>'Data (2)'!BW91</f>
        <v>10.9</v>
      </c>
      <c r="BX18" s="1">
        <f>'Data (2)'!BX91-BW18</f>
        <v>2.4000000000000004</v>
      </c>
      <c r="BY18" s="1">
        <f>'Data (2)'!BY91-BX18-BW18</f>
        <v>2.1999999999999993</v>
      </c>
      <c r="BZ18" s="1">
        <f>'Data (2)'!BZ91-BY18-BX18-BW18</f>
        <v>2.1000000000000014</v>
      </c>
      <c r="CA18" s="12">
        <f t="shared" si="14"/>
        <v>17.600000000000001</v>
      </c>
      <c r="CB18" s="1">
        <f>'Data (2)'!CB91</f>
        <v>9.9</v>
      </c>
      <c r="CC18" s="1">
        <f>'Data (2)'!CC91-CB18</f>
        <v>2.0999999999999996</v>
      </c>
      <c r="CD18" s="1">
        <f>'Data (2)'!CD91-CC18-CB18</f>
        <v>2</v>
      </c>
      <c r="CE18" s="1">
        <f>'Data (2)'!CE91-CD18-CC18-CB18</f>
        <v>2.1999999999999993</v>
      </c>
      <c r="CF18" s="12">
        <f t="shared" si="15"/>
        <v>16.2</v>
      </c>
      <c r="CG18" s="1">
        <f>'Data (2)'!CG91</f>
        <v>11.1</v>
      </c>
      <c r="CH18" s="1">
        <f>'Data (2)'!CH91-CG18</f>
        <v>2.4000000000000004</v>
      </c>
      <c r="CI18" s="1">
        <f>'Data (2)'!CI91-CH18-CG18</f>
        <v>2.4000000000000004</v>
      </c>
      <c r="CJ18" s="1">
        <f>'Data (2)'!CJ91-CI18-CH18-CG18</f>
        <v>2.4000000000000004</v>
      </c>
      <c r="CK18" s="12">
        <f t="shared" si="16"/>
        <v>18.3</v>
      </c>
      <c r="CL18" s="1">
        <f>'Data (2)'!CL91</f>
        <v>14.4</v>
      </c>
      <c r="CM18" s="141">
        <v>3</v>
      </c>
      <c r="CN18" s="141">
        <v>3</v>
      </c>
      <c r="CO18" s="141">
        <v>3</v>
      </c>
      <c r="CP18" s="12">
        <f t="shared" si="17"/>
        <v>23.4</v>
      </c>
      <c r="CQ18" s="138">
        <v>25</v>
      </c>
      <c r="CR18" s="138">
        <v>27</v>
      </c>
      <c r="CS18" s="138">
        <v>30</v>
      </c>
    </row>
    <row r="19" spans="2:98">
      <c r="B19" s="29" t="s">
        <v>244</v>
      </c>
      <c r="C19" s="12">
        <f>'Data (2)'!C92</f>
        <v>0</v>
      </c>
      <c r="D19" s="12">
        <f>'Data (2)'!D92</f>
        <v>0</v>
      </c>
      <c r="E19" s="12">
        <f>'Data (2)'!E92</f>
        <v>0</v>
      </c>
      <c r="F19" s="12">
        <f>'Data (2)'!F92</f>
        <v>-73.399999999999991</v>
      </c>
      <c r="G19" s="12">
        <f>'Data (2)'!G92</f>
        <v>319.3</v>
      </c>
      <c r="H19" s="12">
        <f>'Data (2)'!H92</f>
        <v>0</v>
      </c>
      <c r="I19" s="12">
        <f>'Data (2)'!I92</f>
        <v>0</v>
      </c>
      <c r="J19" s="1">
        <f>'Data (2)'!J92</f>
        <v>0</v>
      </c>
      <c r="K19" s="1">
        <f>'Data (2)'!K92-J19</f>
        <v>0</v>
      </c>
      <c r="L19" s="1">
        <f>'Data (2)'!L92-K19-J19</f>
        <v>0</v>
      </c>
      <c r="M19" s="1">
        <f>'Data (2)'!M92-L19-K19-J19</f>
        <v>0</v>
      </c>
      <c r="N19" s="12">
        <f t="shared" si="0"/>
        <v>0</v>
      </c>
      <c r="O19" s="1">
        <f>'Data (2)'!O92</f>
        <v>0</v>
      </c>
      <c r="P19" s="1">
        <f>'Data (2)'!P92-O19</f>
        <v>0</v>
      </c>
      <c r="Q19" s="1">
        <f>'Data (2)'!Q92-P19-O19</f>
        <v>0</v>
      </c>
      <c r="R19" s="1">
        <f>'Data (2)'!R92-Q19-P19-O19</f>
        <v>0</v>
      </c>
      <c r="S19" s="12">
        <f t="shared" si="1"/>
        <v>0</v>
      </c>
      <c r="T19" s="1">
        <f>'Data (2)'!T92</f>
        <v>0</v>
      </c>
      <c r="U19" s="1">
        <f>'Data (2)'!U92-T19</f>
        <v>0</v>
      </c>
      <c r="V19" s="1">
        <f>'Data (2)'!V92-U19-T19</f>
        <v>0</v>
      </c>
      <c r="W19" s="1">
        <f>'Data (2)'!W92-V19-U19-T19</f>
        <v>-15.7</v>
      </c>
      <c r="X19" s="12">
        <f t="shared" si="2"/>
        <v>-15.7</v>
      </c>
      <c r="Y19" s="1">
        <f>'Data (2)'!Y92</f>
        <v>-1.2000000000000002</v>
      </c>
      <c r="Z19" s="1">
        <f>'Data (2)'!Z92-Y19</f>
        <v>-1.9</v>
      </c>
      <c r="AA19" s="1">
        <f>'Data (2)'!AA92-Z19-Y19</f>
        <v>-2.1999999999999997</v>
      </c>
      <c r="AB19" s="1">
        <f>'Data (2)'!AB92-AA19-Z19-Y19</f>
        <v>-1.8000000000000003</v>
      </c>
      <c r="AC19" s="12">
        <f t="shared" si="3"/>
        <v>-7.1</v>
      </c>
      <c r="AD19" s="1">
        <f>'Data (2)'!AD92</f>
        <v>-0.4</v>
      </c>
      <c r="AE19" s="1">
        <f>'Data (2)'!AE92-AD19</f>
        <v>-0.6</v>
      </c>
      <c r="AF19" s="1">
        <f>'Data (2)'!AF92-AE19-AD19</f>
        <v>-9</v>
      </c>
      <c r="AG19" s="1">
        <f>'Data (2)'!AG92-AF19-AE19-AD19</f>
        <v>12</v>
      </c>
      <c r="AH19" s="12">
        <f t="shared" si="4"/>
        <v>2</v>
      </c>
      <c r="AI19" s="1">
        <f>'Data (2)'!AI92</f>
        <v>0.6</v>
      </c>
      <c r="AJ19" s="1">
        <f>'Data (2)'!AJ92-AI19</f>
        <v>-0.19999999999999996</v>
      </c>
      <c r="AK19" s="1">
        <f>'Data (2)'!AK92-AJ19-AI19</f>
        <v>9.9999999999999978E-2</v>
      </c>
      <c r="AL19" s="1">
        <f>'Data (2)'!AL92-AK19-AJ19-AI19</f>
        <v>-1.2</v>
      </c>
      <c r="AM19" s="12">
        <f t="shared" si="5"/>
        <v>-0.7</v>
      </c>
      <c r="AN19" s="1">
        <f>'Data (2)'!AN92</f>
        <v>-0.4</v>
      </c>
      <c r="AO19" s="1">
        <f>'Data (2)'!AO92-AN19</f>
        <v>-0.29999999999999993</v>
      </c>
      <c r="AP19" s="1">
        <f>'Data (2)'!AP92-AO19-AN19</f>
        <v>-0.10000000000000009</v>
      </c>
      <c r="AQ19" s="1">
        <f>'Data (2)'!AQ92-AP19-AO19-AN19</f>
        <v>-1.5</v>
      </c>
      <c r="AR19" s="12">
        <f t="shared" si="6"/>
        <v>-2.2999999999999998</v>
      </c>
      <c r="AS19" s="1">
        <f>'Data (2)'!AS92</f>
        <v>-7.7</v>
      </c>
      <c r="AT19" s="1">
        <f>'Data (2)'!AT92-AS19</f>
        <v>-1.6000000000000005</v>
      </c>
      <c r="AU19" s="1">
        <f>'Data (2)'!AU92-AT19-AS19</f>
        <v>-9.9999999999999645E-2</v>
      </c>
      <c r="AV19" s="1">
        <f>'Data (2)'!AV92-AU19-AT19-AS19</f>
        <v>-4.8</v>
      </c>
      <c r="AW19" s="12">
        <f t="shared" si="7"/>
        <v>-14.2</v>
      </c>
      <c r="AX19" s="1">
        <f>'Data (2)'!AX92</f>
        <v>-4.7</v>
      </c>
      <c r="AY19" s="1">
        <f>'Data (2)'!AY92-AX19</f>
        <v>-5.6000000000000005</v>
      </c>
      <c r="AZ19" s="1">
        <f>'Data (2)'!AZ92-AY19-AX19</f>
        <v>-0.39999999999999858</v>
      </c>
      <c r="BA19" s="1">
        <f>'Data (2)'!BA92-AZ19-AY19-AX19</f>
        <v>3.8999999999999995</v>
      </c>
      <c r="BB19" s="12">
        <f t="shared" si="8"/>
        <v>-6.8</v>
      </c>
      <c r="BC19" s="1">
        <f>'Data (2)'!BC92</f>
        <v>-3.7</v>
      </c>
      <c r="BD19" s="1">
        <f>'Data (2)'!BD92-BC19</f>
        <v>-0.29999999999999982</v>
      </c>
      <c r="BE19" s="1">
        <f>'Data (2)'!BE92-BD19-BC19</f>
        <v>-1</v>
      </c>
      <c r="BF19" s="1">
        <f>'Data (2)'!BF92-BE19-BD19-BC19</f>
        <v>-0.29999999999999982</v>
      </c>
      <c r="BG19" s="12">
        <f t="shared" si="9"/>
        <v>-5.3</v>
      </c>
      <c r="BH19" s="1">
        <f>'Data (2)'!BH92</f>
        <v>-3.5</v>
      </c>
      <c r="BI19" s="1">
        <f>'Data (2)'!BI92-BH19</f>
        <v>-1.7000000000000002</v>
      </c>
      <c r="BJ19" s="1">
        <f>'Data (2)'!BJ92-BI19-BH19</f>
        <v>-0.29999999999999982</v>
      </c>
      <c r="BK19" s="1">
        <f>'Data (2)'!BK92-BJ19-BI19-BH19</f>
        <v>-0.29999999999999982</v>
      </c>
      <c r="BL19" s="12">
        <f>BL26-SUM(BL9:BL18)-BL20</f>
        <v>-5.8000000000000593</v>
      </c>
      <c r="BM19" s="1">
        <f>'Data (2)'!BM92</f>
        <v>-8.5</v>
      </c>
      <c r="BN19" s="1">
        <f>'Data (2)'!BN92-BM19</f>
        <v>-9.9999999999999645E-2</v>
      </c>
      <c r="BO19" s="1">
        <f>'Data (2)'!BO92-BN19-BM19</f>
        <v>-0.59999999999999964</v>
      </c>
      <c r="BP19" s="1">
        <f>'Data (2)'!BP92-BO19-BN19-BM19</f>
        <v>0</v>
      </c>
      <c r="BQ19" s="12">
        <f>BQ26-SUM(BQ9:BQ18)-BQ20</f>
        <v>-9.2000000000000171</v>
      </c>
      <c r="BR19" s="1">
        <f>'Data (2)'!BR92</f>
        <v>0</v>
      </c>
      <c r="BS19" s="1">
        <f>'Data (2)'!BS92-BR19</f>
        <v>0</v>
      </c>
      <c r="BT19" s="1">
        <f>'Data (2)'!BT92-BS19-BR19</f>
        <v>0</v>
      </c>
      <c r="BU19" s="1">
        <f>'Data (2)'!BU92-BT19-BS19-BR19</f>
        <v>0</v>
      </c>
      <c r="BV19" s="12">
        <f>BV26-SUM(BV9:BV18)-BV20</f>
        <v>-7.1054273576010019E-14</v>
      </c>
      <c r="BW19" s="1">
        <f>'Data (2)'!BW92</f>
        <v>0</v>
      </c>
      <c r="BX19" s="1">
        <f>'Data (2)'!BX92-BW19</f>
        <v>0</v>
      </c>
      <c r="BY19" s="1">
        <f>'Data (2)'!BY92-BX19-BW19</f>
        <v>0</v>
      </c>
      <c r="BZ19" s="1">
        <f>'Data (2)'!BZ92-BY19-BX19-BW19</f>
        <v>0</v>
      </c>
      <c r="CA19" s="12">
        <f>CA26-SUM(CA9:CA18)-CA20</f>
        <v>3.5527136788005009E-14</v>
      </c>
      <c r="CB19" s="1">
        <f>'Data (2)'!CB92</f>
        <v>0</v>
      </c>
      <c r="CC19" s="1">
        <f>'Data (2)'!CC92-CB19</f>
        <v>0</v>
      </c>
      <c r="CD19" s="1">
        <f>'Data (2)'!CD92-CC19-CB19</f>
        <v>0</v>
      </c>
      <c r="CE19" s="1">
        <f>'Data (2)'!CE92-CD19-CC19-CB19</f>
        <v>0</v>
      </c>
      <c r="CF19" s="12">
        <f>CF26-SUM(CF9:CF18)-CF20</f>
        <v>-7.1054273576010019E-14</v>
      </c>
      <c r="CG19" s="1">
        <f>'Data (2)'!CG92</f>
        <v>0</v>
      </c>
      <c r="CH19" s="1">
        <f>'Data (2)'!CH92-CG19</f>
        <v>0</v>
      </c>
      <c r="CI19" s="1">
        <f>'Data (2)'!CI92-CH19-CG19</f>
        <v>0</v>
      </c>
      <c r="CJ19" s="1">
        <f>'Data (2)'!CJ92-CI19-CH19-CG19</f>
        <v>0</v>
      </c>
      <c r="CK19" s="12">
        <f>CK26-SUM(CK9:CK18)-CK20</f>
        <v>0</v>
      </c>
      <c r="CL19" s="1">
        <f>'Data (2)'!CL92</f>
        <v>0</v>
      </c>
      <c r="CM19" s="1">
        <f t="shared" ref="CM19:CS19" si="18">CM26-SUM(CM9:CM18)-CM20</f>
        <v>-316.25876285998288</v>
      </c>
      <c r="CN19" s="1">
        <f t="shared" si="18"/>
        <v>38.112311393316233</v>
      </c>
      <c r="CO19" s="1">
        <f t="shared" si="18"/>
        <v>115.08813582879569</v>
      </c>
      <c r="CP19" s="12">
        <f t="shared" si="18"/>
        <v>-163.05831563787092</v>
      </c>
      <c r="CQ19" s="12">
        <f t="shared" si="18"/>
        <v>4.3728199173929738</v>
      </c>
      <c r="CR19" s="12">
        <f t="shared" si="18"/>
        <v>37.941017490649358</v>
      </c>
      <c r="CS19" s="12">
        <f t="shared" si="18"/>
        <v>62.996052632456241</v>
      </c>
    </row>
    <row r="20" spans="2:98">
      <c r="B20" s="1" t="s">
        <v>70</v>
      </c>
      <c r="C20" s="18">
        <f t="shared" ref="C20:M20" si="19">SUM(C21:C25)</f>
        <v>-49.997999999999998</v>
      </c>
      <c r="D20" s="18">
        <f t="shared" si="19"/>
        <v>-14.506000000000004</v>
      </c>
      <c r="E20" s="18">
        <f t="shared" si="19"/>
        <v>80.900000000000006</v>
      </c>
      <c r="F20" s="18">
        <f t="shared" si="19"/>
        <v>-8.6999999999999993</v>
      </c>
      <c r="G20" s="18">
        <f t="shared" si="19"/>
        <v>12.200000000000005</v>
      </c>
      <c r="H20" s="18">
        <f t="shared" si="19"/>
        <v>44.9</v>
      </c>
      <c r="I20" s="18">
        <f t="shared" si="19"/>
        <v>1.2000000000000015</v>
      </c>
      <c r="J20" s="19">
        <f t="shared" si="19"/>
        <v>0</v>
      </c>
      <c r="K20" s="19">
        <f t="shared" si="19"/>
        <v>0</v>
      </c>
      <c r="L20" s="19">
        <f t="shared" si="19"/>
        <v>0</v>
      </c>
      <c r="M20" s="19">
        <f t="shared" si="19"/>
        <v>5.8000000000000025</v>
      </c>
      <c r="N20" s="18">
        <f t="shared" si="0"/>
        <v>5.8000000000000025</v>
      </c>
      <c r="O20" s="19">
        <f>SUM(O21:O25)</f>
        <v>0</v>
      </c>
      <c r="P20" s="19">
        <f>SUM(P21:P25)</f>
        <v>0</v>
      </c>
      <c r="Q20" s="19">
        <f>SUM(Q21:Q25)</f>
        <v>0</v>
      </c>
      <c r="R20" s="19">
        <f>SUM(R21:R25)</f>
        <v>-37.200000000000003</v>
      </c>
      <c r="S20" s="18">
        <f t="shared" si="1"/>
        <v>-37.200000000000003</v>
      </c>
      <c r="T20" s="19">
        <f>SUM(T21:T25)</f>
        <v>-45.8</v>
      </c>
      <c r="U20" s="19">
        <f>SUM(U21:U25)</f>
        <v>-6.1000000000000005</v>
      </c>
      <c r="V20" s="19">
        <f>SUM(V21:V25)</f>
        <v>3.5</v>
      </c>
      <c r="W20" s="19">
        <f>SUM(W21:W25)</f>
        <v>25.6</v>
      </c>
      <c r="X20" s="18">
        <f t="shared" si="2"/>
        <v>-22.799999999999997</v>
      </c>
      <c r="Y20" s="19">
        <f>SUM(Y21:Y25)</f>
        <v>-42.399999999999991</v>
      </c>
      <c r="Z20" s="19">
        <f>SUM(Z21:Z25)</f>
        <v>7.3999999999999986</v>
      </c>
      <c r="AA20" s="19">
        <f>SUM(AA21:AA25)</f>
        <v>-2.0999999999999996</v>
      </c>
      <c r="AB20" s="19">
        <f>SUM(AB21:AB25)</f>
        <v>36.1</v>
      </c>
      <c r="AC20" s="18">
        <f t="shared" si="3"/>
        <v>-0.99999999999999289</v>
      </c>
      <c r="AD20" s="19">
        <f>SUM(AD21:AD25)</f>
        <v>-57.399999999999991</v>
      </c>
      <c r="AE20" s="19">
        <f>SUM(AE21:AE25)</f>
        <v>-19.599999999999998</v>
      </c>
      <c r="AF20" s="19">
        <f>SUM(AF21:AF25)</f>
        <v>5.2000000000000037</v>
      </c>
      <c r="AG20" s="19">
        <f>SUM(AG21:AG25)</f>
        <v>25.699999999999996</v>
      </c>
      <c r="AH20" s="18">
        <f t="shared" si="4"/>
        <v>-46.099999999999987</v>
      </c>
      <c r="AI20" s="19">
        <f>SUM(AI21:AI25)</f>
        <v>-43.3</v>
      </c>
      <c r="AJ20" s="19">
        <f>SUM(AJ21:AJ25)</f>
        <v>31.400000000000002</v>
      </c>
      <c r="AK20" s="19">
        <f>SUM(AK21:AK25)</f>
        <v>42.5</v>
      </c>
      <c r="AL20" s="19">
        <f>SUM(AL21:AL25)</f>
        <v>9.5999999999999943</v>
      </c>
      <c r="AM20" s="18">
        <f t="shared" si="5"/>
        <v>40.200000000000003</v>
      </c>
      <c r="AN20" s="19">
        <f>SUM(AN21:AN25)</f>
        <v>-30.999999999999996</v>
      </c>
      <c r="AO20" s="19">
        <f>SUM(AO21:AO25)</f>
        <v>-15.199999999999992</v>
      </c>
      <c r="AP20" s="19">
        <f>SUM(AP21:AP25)</f>
        <v>-6.3000000000000087</v>
      </c>
      <c r="AQ20" s="19">
        <f>SUM(AQ21:AQ25)</f>
        <v>13.200000000000001</v>
      </c>
      <c r="AR20" s="18">
        <f t="shared" si="6"/>
        <v>-39.299999999999997</v>
      </c>
      <c r="AS20" s="19">
        <f>SUM(AS21:AS25)</f>
        <v>-36.500000000000007</v>
      </c>
      <c r="AT20" s="19">
        <f>SUM(AT21:AT25)</f>
        <v>10.700000000000005</v>
      </c>
      <c r="AU20" s="19">
        <f>SUM(AU21:AU25)</f>
        <v>-35.4</v>
      </c>
      <c r="AV20" s="19">
        <f>SUM(AV21:AV25)</f>
        <v>12.300000000000004</v>
      </c>
      <c r="AW20" s="18">
        <f t="shared" si="7"/>
        <v>-48.9</v>
      </c>
      <c r="AX20" s="19">
        <f>SUM(AX21:AX25)</f>
        <v>-46.3</v>
      </c>
      <c r="AY20" s="19">
        <f>SUM(AY21:AY25)</f>
        <v>-12.700000000000003</v>
      </c>
      <c r="AZ20" s="19">
        <f>SUM(AZ21:AZ25)</f>
        <v>13.599999999999998</v>
      </c>
      <c r="BA20" s="19">
        <f>SUM(BA21:BA25)</f>
        <v>13.999999999999998</v>
      </c>
      <c r="BB20" s="18">
        <f t="shared" si="8"/>
        <v>-31.400000000000006</v>
      </c>
      <c r="BC20" s="19">
        <f>SUM(BC21:BC25)</f>
        <v>-31.200000000000006</v>
      </c>
      <c r="BD20" s="19">
        <f>SUM(BD21:BD25)</f>
        <v>-7.4</v>
      </c>
      <c r="BE20" s="19">
        <f>SUM(BE21:BE25)</f>
        <v>22.1</v>
      </c>
      <c r="BF20" s="19">
        <f>SUM(BF21:BF25)</f>
        <v>11.400000000000002</v>
      </c>
      <c r="BG20" s="18">
        <f t="shared" si="9"/>
        <v>-5.100000000000005</v>
      </c>
      <c r="BH20" s="19">
        <f t="shared" ref="BH20:CS20" si="20">SUM(BH21:BH25)</f>
        <v>-58.6</v>
      </c>
      <c r="BI20" s="19">
        <f t="shared" si="20"/>
        <v>6.0999999999999979</v>
      </c>
      <c r="BJ20" s="19">
        <f t="shared" si="20"/>
        <v>-24</v>
      </c>
      <c r="BK20" s="19">
        <f t="shared" si="20"/>
        <v>62.600000000000009</v>
      </c>
      <c r="BL20" s="18">
        <f t="shared" si="20"/>
        <v>-13.899999999999986</v>
      </c>
      <c r="BM20" s="19">
        <f t="shared" si="20"/>
        <v>-115.79999999999998</v>
      </c>
      <c r="BN20" s="19">
        <f t="shared" si="20"/>
        <v>-29.400000000000006</v>
      </c>
      <c r="BO20" s="19">
        <f t="shared" si="20"/>
        <v>25.299999999999997</v>
      </c>
      <c r="BP20" s="19">
        <f t="shared" si="20"/>
        <v>46.300000000000004</v>
      </c>
      <c r="BQ20" s="18">
        <f t="shared" si="20"/>
        <v>-73.599999999999994</v>
      </c>
      <c r="BR20" s="19">
        <f t="shared" si="20"/>
        <v>-91.4</v>
      </c>
      <c r="BS20" s="19">
        <f t="shared" si="20"/>
        <v>21.4</v>
      </c>
      <c r="BT20" s="19">
        <f t="shared" si="20"/>
        <v>33.899999999999991</v>
      </c>
      <c r="BU20" s="19">
        <f t="shared" si="20"/>
        <v>16.300000000000011</v>
      </c>
      <c r="BV20" s="18">
        <f t="shared" si="20"/>
        <v>-19.799999999999997</v>
      </c>
      <c r="BW20" s="19">
        <f t="shared" si="20"/>
        <v>-40.199999999999996</v>
      </c>
      <c r="BX20" s="19">
        <f t="shared" si="20"/>
        <v>32.800000000000004</v>
      </c>
      <c r="BY20" s="19">
        <f t="shared" si="20"/>
        <v>15.299999999999999</v>
      </c>
      <c r="BZ20" s="19">
        <f t="shared" si="20"/>
        <v>13.500000000000002</v>
      </c>
      <c r="CA20" s="18">
        <f t="shared" si="20"/>
        <v>21.4</v>
      </c>
      <c r="CB20" s="19">
        <f t="shared" si="20"/>
        <v>-47.800000000000004</v>
      </c>
      <c r="CC20" s="19">
        <f t="shared" si="20"/>
        <v>-8.0999999999999961</v>
      </c>
      <c r="CD20" s="19">
        <f t="shared" si="20"/>
        <v>-5.4000000000000021</v>
      </c>
      <c r="CE20" s="19">
        <f t="shared" si="20"/>
        <v>41.500000000000007</v>
      </c>
      <c r="CF20" s="18">
        <f t="shared" si="20"/>
        <v>-19.799999999999997</v>
      </c>
      <c r="CG20" s="19">
        <f t="shared" si="20"/>
        <v>-78.59999999999998</v>
      </c>
      <c r="CH20" s="19">
        <f t="shared" si="20"/>
        <v>-7.9000000000000039</v>
      </c>
      <c r="CI20" s="19">
        <f t="shared" si="20"/>
        <v>-9.9999999999997646E-2</v>
      </c>
      <c r="CJ20" s="19">
        <f t="shared" si="20"/>
        <v>97.6</v>
      </c>
      <c r="CK20" s="18">
        <f t="shared" si="20"/>
        <v>11</v>
      </c>
      <c r="CL20" s="19">
        <f t="shared" si="20"/>
        <v>-82.899999999999991</v>
      </c>
      <c r="CM20" s="19">
        <f t="shared" si="20"/>
        <v>252.05864690598284</v>
      </c>
      <c r="CN20" s="19">
        <f t="shared" si="20"/>
        <v>-44.800057389316237</v>
      </c>
      <c r="CO20" s="19">
        <f t="shared" si="20"/>
        <v>-37.052265252795678</v>
      </c>
      <c r="CP20" s="18">
        <f t="shared" si="20"/>
        <v>87.306324263870934</v>
      </c>
      <c r="CQ20" s="18">
        <f t="shared" si="20"/>
        <v>-20.363017572402953</v>
      </c>
      <c r="CR20" s="18">
        <f t="shared" si="20"/>
        <v>-25.967045731055009</v>
      </c>
      <c r="CS20" s="18">
        <f t="shared" si="20"/>
        <v>-33.433694624960907</v>
      </c>
    </row>
    <row r="21" spans="2:98">
      <c r="B21" s="26" t="s">
        <v>71</v>
      </c>
      <c r="C21" s="12">
        <f>'Data (2)'!C94</f>
        <v>-37.557000000000002</v>
      </c>
      <c r="D21" s="12">
        <f>'Data (2)'!D94</f>
        <v>18.213999999999999</v>
      </c>
      <c r="E21" s="12">
        <f>'Data (2)'!E94</f>
        <v>16.100000000000001</v>
      </c>
      <c r="F21" s="12">
        <f>'Data (2)'!F94</f>
        <v>-7.7</v>
      </c>
      <c r="G21" s="12">
        <f>'Data (2)'!G94</f>
        <v>4.5999999999999996</v>
      </c>
      <c r="H21" s="12">
        <f>'Data (2)'!H94</f>
        <v>35.6</v>
      </c>
      <c r="I21" s="12">
        <f>'Data (2)'!I94</f>
        <v>5.9</v>
      </c>
      <c r="J21" s="1">
        <f>'Data (2)'!J94</f>
        <v>0</v>
      </c>
      <c r="K21" s="1">
        <f>'Data (2)'!K94-J21</f>
        <v>0</v>
      </c>
      <c r="L21" s="1">
        <f>'Data (2)'!L94-K21-J21</f>
        <v>0</v>
      </c>
      <c r="M21" s="1">
        <f>'Data (2)'!M94-L21-K21-J21</f>
        <v>-19.3</v>
      </c>
      <c r="N21" s="12">
        <f t="shared" si="0"/>
        <v>-19.3</v>
      </c>
      <c r="O21" s="1">
        <f>'Data (2)'!O94</f>
        <v>0</v>
      </c>
      <c r="P21" s="1">
        <f>'Data (2)'!P94-O21</f>
        <v>0</v>
      </c>
      <c r="Q21" s="1">
        <f>'Data (2)'!Q94-P21-O21</f>
        <v>0</v>
      </c>
      <c r="R21" s="1">
        <f>'Data (2)'!R94-Q21-P21-O21</f>
        <v>-16.899999999999999</v>
      </c>
      <c r="S21" s="12">
        <f t="shared" si="1"/>
        <v>-16.899999999999999</v>
      </c>
      <c r="T21" s="1">
        <f>'Data (2)'!T94</f>
        <v>-36.6</v>
      </c>
      <c r="U21" s="1">
        <f>'Data (2)'!U94-T21</f>
        <v>3</v>
      </c>
      <c r="V21" s="1">
        <f>'Data (2)'!V94-U21-T21</f>
        <v>10</v>
      </c>
      <c r="W21" s="1">
        <f>'Data (2)'!W94-V21-U21-T21</f>
        <v>9.2000000000000028</v>
      </c>
      <c r="X21" s="12">
        <f t="shared" si="2"/>
        <v>-14.399999999999999</v>
      </c>
      <c r="Y21" s="1">
        <f>'Data (2)'!Y94</f>
        <v>-17.2</v>
      </c>
      <c r="Z21" s="1">
        <f>'Data (2)'!Z94-Y21</f>
        <v>-2.4000000000000021</v>
      </c>
      <c r="AA21" s="1">
        <f>'Data (2)'!AA94-Z21-Y21</f>
        <v>12.400000000000002</v>
      </c>
      <c r="AB21" s="1">
        <f>'Data (2)'!AB94-AA21-Z21-Y21</f>
        <v>-2.8000000000000007</v>
      </c>
      <c r="AC21" s="12">
        <f t="shared" si="3"/>
        <v>-10</v>
      </c>
      <c r="AD21" s="1">
        <f>'Data (2)'!AD94</f>
        <v>-35.299999999999997</v>
      </c>
      <c r="AE21" s="1">
        <f>'Data (2)'!AE94-AD21</f>
        <v>-7.6000000000000014</v>
      </c>
      <c r="AF21" s="1">
        <f>'Data (2)'!AF94-AE21-AD21</f>
        <v>23.7</v>
      </c>
      <c r="AG21" s="1">
        <f>'Data (2)'!AG94-AF21-AE21-AD21</f>
        <v>16.099999999999998</v>
      </c>
      <c r="AH21" s="12">
        <f t="shared" si="4"/>
        <v>-3.1000000000000014</v>
      </c>
      <c r="AI21" s="1">
        <f>'Data (2)'!AI94</f>
        <v>-35.5</v>
      </c>
      <c r="AJ21" s="1">
        <f>'Data (2)'!AJ94-AI21</f>
        <v>50.3</v>
      </c>
      <c r="AK21" s="1">
        <f>'Data (2)'!AK94-AJ21-AI21</f>
        <v>23.400000000000006</v>
      </c>
      <c r="AL21" s="1">
        <f>'Data (2)'!AL94-AK21-AJ21-AI21</f>
        <v>-6.4000000000000057</v>
      </c>
      <c r="AM21" s="12">
        <f t="shared" si="5"/>
        <v>31.799999999999997</v>
      </c>
      <c r="AN21" s="1">
        <f>'Data (2)'!AN94</f>
        <v>-15.7</v>
      </c>
      <c r="AO21" s="1">
        <f>'Data (2)'!AO94-AN21</f>
        <v>-36.599999999999994</v>
      </c>
      <c r="AP21" s="1">
        <f>'Data (2)'!AP94-AO21-AN21</f>
        <v>23.599999999999994</v>
      </c>
      <c r="AQ21" s="1">
        <f>'Data (2)'!AQ94-AP21-AO21-AN21</f>
        <v>6.1999999999999993</v>
      </c>
      <c r="AR21" s="12">
        <f t="shared" si="6"/>
        <v>-22.500000000000004</v>
      </c>
      <c r="AS21" s="1">
        <f>'Data (2)'!AS94</f>
        <v>-30.1</v>
      </c>
      <c r="AT21" s="1">
        <f>'Data (2)'!AT94-AS21</f>
        <v>4.7000000000000028</v>
      </c>
      <c r="AU21" s="1">
        <f>'Data (2)'!AU94-AT21-AS21</f>
        <v>-6.3999999999999986</v>
      </c>
      <c r="AV21" s="1">
        <f>'Data (2)'!AV94-AU21-AT21-AS21</f>
        <v>3.5999999999999979</v>
      </c>
      <c r="AW21" s="12">
        <f t="shared" si="7"/>
        <v>-28.2</v>
      </c>
      <c r="AX21" s="1">
        <f>'Data (2)'!AX94</f>
        <v>-48.3</v>
      </c>
      <c r="AY21" s="1">
        <f>'Data (2)'!AY94-AX21</f>
        <v>-6.1000000000000014</v>
      </c>
      <c r="AZ21" s="1">
        <f>'Data (2)'!AZ94-AY21-AX21</f>
        <v>9.3999999999999986</v>
      </c>
      <c r="BA21" s="1">
        <f>'Data (2)'!BA94-AZ21-AY21-AX21</f>
        <v>16.899999999999999</v>
      </c>
      <c r="BB21" s="12">
        <f t="shared" si="8"/>
        <v>-28.1</v>
      </c>
      <c r="BC21" s="1">
        <f>'Data (2)'!BC94</f>
        <v>-40.200000000000003</v>
      </c>
      <c r="BD21" s="1">
        <f>'Data (2)'!BD94-BC21</f>
        <v>25.6</v>
      </c>
      <c r="BE21" s="1">
        <f>'Data (2)'!BE94-BD21-BC21</f>
        <v>14.5</v>
      </c>
      <c r="BF21" s="1">
        <f>'Data (2)'!BF94-BE21-BD21-BC21</f>
        <v>6.5</v>
      </c>
      <c r="BG21" s="12">
        <f t="shared" si="9"/>
        <v>6.3999999999999986</v>
      </c>
      <c r="BH21" s="1">
        <f>'Data (2)'!BH94</f>
        <v>-48.3</v>
      </c>
      <c r="BI21" s="1">
        <f>'Data (2)'!BI94-BH21</f>
        <v>-1.6000000000000014</v>
      </c>
      <c r="BJ21" s="1">
        <f>'Data (2)'!BJ94-BI21-BH21</f>
        <v>19.5</v>
      </c>
      <c r="BK21" s="1">
        <f>'Data (2)'!BK94-BJ21-BI21-BH21</f>
        <v>15</v>
      </c>
      <c r="BL21" s="12">
        <f t="shared" ref="BL21:BL34" si="21">SUM(BH21:BK21)</f>
        <v>-15.399999999999999</v>
      </c>
      <c r="BM21" s="1">
        <f>'Data (2)'!BM94</f>
        <v>-70.3</v>
      </c>
      <c r="BN21" s="1">
        <f>'Data (2)'!BN94-BM21</f>
        <v>4.7999999999999972</v>
      </c>
      <c r="BO21" s="1">
        <f>'Data (2)'!BO94-BN21-BM21</f>
        <v>26.6</v>
      </c>
      <c r="BP21" s="1">
        <f>'Data (2)'!BP94-BO21-BN21-BM21</f>
        <v>20.5</v>
      </c>
      <c r="BQ21" s="12">
        <f t="shared" ref="BQ21:BQ34" si="22">SUM(BM21:BP21)</f>
        <v>-18.399999999999999</v>
      </c>
      <c r="BR21" s="1">
        <f>'Data (2)'!BR94</f>
        <v>-68.8</v>
      </c>
      <c r="BS21" s="1">
        <f>'Data (2)'!BS94-BR21</f>
        <v>15.399999999999999</v>
      </c>
      <c r="BT21" s="1">
        <f>'Data (2)'!BT94-BS21-BR21</f>
        <v>36.599999999999994</v>
      </c>
      <c r="BU21" s="1">
        <f>'Data (2)'!BU94-BT21-BS21-BR21</f>
        <v>-0.59999999999999432</v>
      </c>
      <c r="BV21" s="12">
        <f t="shared" ref="BV21:BV34" si="23">SUM(BR21:BU21)</f>
        <v>-17.399999999999999</v>
      </c>
      <c r="BW21" s="1">
        <f>'Data (2)'!BW94</f>
        <v>-19.5</v>
      </c>
      <c r="BX21" s="1">
        <f>'Data (2)'!BX94-BW21</f>
        <v>21.9</v>
      </c>
      <c r="BY21" s="1">
        <f>'Data (2)'!BY94-BX21-BW21</f>
        <v>17.3</v>
      </c>
      <c r="BZ21" s="1">
        <f>'Data (2)'!BZ94-BY21-BX21-BW21</f>
        <v>0.5</v>
      </c>
      <c r="CA21" s="12">
        <f t="shared" ref="CA21:CA34" si="24">SUM(BW21:BZ21)</f>
        <v>20.2</v>
      </c>
      <c r="CB21" s="1">
        <f>'Data (2)'!CB94</f>
        <v>-41.2</v>
      </c>
      <c r="CC21" s="1">
        <f>'Data (2)'!CC94-CB21</f>
        <v>-2.1999999999999957</v>
      </c>
      <c r="CD21" s="1">
        <f>'Data (2)'!CD94-CC21-CB21</f>
        <v>15.7</v>
      </c>
      <c r="CE21" s="1">
        <f>'Data (2)'!CE94-CD21-CC21-CB21</f>
        <v>7</v>
      </c>
      <c r="CF21" s="12">
        <f t="shared" ref="CF21:CF34" si="25">SUM(CB21:CE21)</f>
        <v>-20.7</v>
      </c>
      <c r="CG21" s="1">
        <f>'Data (2)'!CG94</f>
        <v>-59.4</v>
      </c>
      <c r="CH21" s="1">
        <f>'Data (2)'!CH94-CG21</f>
        <v>11.399999999999999</v>
      </c>
      <c r="CI21" s="1">
        <f>'Data (2)'!CI94-CH21-CG21</f>
        <v>18.5</v>
      </c>
      <c r="CJ21" s="1">
        <f>'Data (2)'!CJ94-CI21-CH21-CG21</f>
        <v>66</v>
      </c>
      <c r="CK21" s="12">
        <f t="shared" ref="CK21:CK34" si="26">SUM(CG21:CJ21)</f>
        <v>36.5</v>
      </c>
      <c r="CL21" s="1">
        <f>'Data (2)'!CL94</f>
        <v>-42</v>
      </c>
      <c r="CM21" s="140">
        <f>'BS (2)'!CL8-'BS (2)'!CM8</f>
        <v>109.47664444444442</v>
      </c>
      <c r="CN21" s="140">
        <f>'BS (2)'!CM8-'BS (2)'!CN8</f>
        <v>-24.376194444444451</v>
      </c>
      <c r="CO21" s="140">
        <f>'BS (2)'!CN8-'BS (2)'!CO8</f>
        <v>-29.091196666666661</v>
      </c>
      <c r="CP21" s="12">
        <f t="shared" ref="CP21:CP34" si="27">SUM(CL21:CO21)</f>
        <v>14.009253333333305</v>
      </c>
      <c r="CQ21" s="139">
        <f>'BS (2)'!CP8-'BS (2)'!CQ8</f>
        <v>-16.017103853881252</v>
      </c>
      <c r="CR21" s="139">
        <f>'BS (2)'!CQ8-'BS (2)'!CR8</f>
        <v>-20.725451214794504</v>
      </c>
      <c r="CS21" s="139">
        <f>'BS (2)'!CR8-'BS (2)'!CS8</f>
        <v>-26.198380292904147</v>
      </c>
    </row>
    <row r="22" spans="2:98">
      <c r="B22" s="26" t="s">
        <v>72</v>
      </c>
      <c r="C22" s="12">
        <f>'Data (2)'!C95</f>
        <v>-23.797000000000001</v>
      </c>
      <c r="D22" s="12">
        <f>'Data (2)'!D95</f>
        <v>-9.3160000000000007</v>
      </c>
      <c r="E22" s="12">
        <f>'Data (2)'!E95</f>
        <v>49</v>
      </c>
      <c r="F22" s="12">
        <f>'Data (2)'!F95</f>
        <v>-17</v>
      </c>
      <c r="G22" s="12">
        <f>'Data (2)'!G95</f>
        <v>20.6</v>
      </c>
      <c r="H22" s="12">
        <f>'Data (2)'!H95</f>
        <v>25.8</v>
      </c>
      <c r="I22" s="12">
        <f>'Data (2)'!I95</f>
        <v>2.7</v>
      </c>
      <c r="J22" s="1">
        <f>'Data (2)'!J95</f>
        <v>0</v>
      </c>
      <c r="K22" s="1">
        <f>'Data (2)'!K95-J22</f>
        <v>0</v>
      </c>
      <c r="L22" s="1">
        <f>'Data (2)'!L95-K22-J22</f>
        <v>0</v>
      </c>
      <c r="M22" s="1">
        <f>'Data (2)'!M95-L22-K22-J22</f>
        <v>-17.5</v>
      </c>
      <c r="N22" s="12">
        <f t="shared" si="0"/>
        <v>-17.5</v>
      </c>
      <c r="O22" s="1">
        <f>'Data (2)'!O95</f>
        <v>0</v>
      </c>
      <c r="P22" s="1">
        <f>'Data (2)'!P95-O22</f>
        <v>0</v>
      </c>
      <c r="Q22" s="1">
        <f>'Data (2)'!Q95-P22-O22</f>
        <v>0</v>
      </c>
      <c r="R22" s="1">
        <f>'Data (2)'!R95-Q22-P22-O22</f>
        <v>-16.8</v>
      </c>
      <c r="S22" s="12">
        <f t="shared" si="1"/>
        <v>-16.8</v>
      </c>
      <c r="T22" s="1">
        <f>'Data (2)'!T95</f>
        <v>-4.5999999999999996</v>
      </c>
      <c r="U22" s="1">
        <f>'Data (2)'!U95-T22</f>
        <v>-1.3000000000000007</v>
      </c>
      <c r="V22" s="1">
        <f>'Data (2)'!V95-U22-T22</f>
        <v>-5.0999999999999996</v>
      </c>
      <c r="W22" s="1">
        <f>'Data (2)'!W95-V22-U22-T22</f>
        <v>-5.1000000000000014</v>
      </c>
      <c r="X22" s="12">
        <f t="shared" si="2"/>
        <v>-16.100000000000001</v>
      </c>
      <c r="Y22" s="1">
        <f>'Data (2)'!Y95</f>
        <v>-14.1</v>
      </c>
      <c r="Z22" s="1">
        <f>'Data (2)'!Z95-Y22</f>
        <v>-9.9999999999999645E-2</v>
      </c>
      <c r="AA22" s="1">
        <f>'Data (2)'!AA95-Z22-Y22</f>
        <v>-8.1000000000000032</v>
      </c>
      <c r="AB22" s="1">
        <f>'Data (2)'!AB95-AA22-Z22-Y22</f>
        <v>3.2000000000000011</v>
      </c>
      <c r="AC22" s="12">
        <f t="shared" si="3"/>
        <v>-19.100000000000001</v>
      </c>
      <c r="AD22" s="1">
        <f>'Data (2)'!AD95</f>
        <v>-15.4</v>
      </c>
      <c r="AE22" s="1">
        <f>'Data (2)'!AE95-AD22</f>
        <v>-5.4999999999999982</v>
      </c>
      <c r="AF22" s="1">
        <f>'Data (2)'!AF95-AE22-AD22</f>
        <v>-1.9999999999999982</v>
      </c>
      <c r="AG22" s="1">
        <f>'Data (2)'!AG95-AF22-AE22-AD22</f>
        <v>2.7999999999999972</v>
      </c>
      <c r="AH22" s="12">
        <f t="shared" si="4"/>
        <v>-20.100000000000001</v>
      </c>
      <c r="AI22" s="1">
        <f>'Data (2)'!AI95</f>
        <v>4.5999999999999996</v>
      </c>
      <c r="AJ22" s="1">
        <f>'Data (2)'!AJ95-AI22</f>
        <v>18</v>
      </c>
      <c r="AK22" s="1">
        <f>'Data (2)'!AK95-AJ22-AI22</f>
        <v>16.199999999999996</v>
      </c>
      <c r="AL22" s="1">
        <f>'Data (2)'!AL95-AK22-AJ22-AI22</f>
        <v>-0.3999999999999968</v>
      </c>
      <c r="AM22" s="12">
        <f t="shared" si="5"/>
        <v>38.4</v>
      </c>
      <c r="AN22" s="1">
        <f>'Data (2)'!AN95</f>
        <v>-13.6</v>
      </c>
      <c r="AO22" s="1">
        <f>'Data (2)'!AO95-AN22</f>
        <v>-15.299999999999999</v>
      </c>
      <c r="AP22" s="1">
        <f>'Data (2)'!AP95-AO22-AN22</f>
        <v>-13.600000000000003</v>
      </c>
      <c r="AQ22" s="1">
        <f>'Data (2)'!AQ95-AP22-AO22-AN22</f>
        <v>25.800000000000004</v>
      </c>
      <c r="AR22" s="12">
        <f t="shared" si="6"/>
        <v>-16.699999999999996</v>
      </c>
      <c r="AS22" s="1">
        <f>'Data (2)'!AS95</f>
        <v>-24.3</v>
      </c>
      <c r="AT22" s="1">
        <f>'Data (2)'!AT95-AS22</f>
        <v>-7.1999999999999993</v>
      </c>
      <c r="AU22" s="1">
        <f>'Data (2)'!AU95-AT22-AS22</f>
        <v>-10.299999999999994</v>
      </c>
      <c r="AV22" s="1">
        <f>'Data (2)'!AV95-AU22-AT22-AS22</f>
        <v>-7</v>
      </c>
      <c r="AW22" s="12">
        <f t="shared" si="7"/>
        <v>-48.8</v>
      </c>
      <c r="AX22" s="1">
        <f>'Data (2)'!AX95</f>
        <v>-13.5</v>
      </c>
      <c r="AY22" s="1">
        <f>'Data (2)'!AY95-AX22</f>
        <v>-15.2</v>
      </c>
      <c r="AZ22" s="1">
        <f>'Data (2)'!AZ95-AY22-AX22</f>
        <v>8</v>
      </c>
      <c r="BA22" s="1">
        <f>'Data (2)'!BA95-AZ22-AY22-AX22</f>
        <v>5.5</v>
      </c>
      <c r="BB22" s="12">
        <f t="shared" si="8"/>
        <v>-15.2</v>
      </c>
      <c r="BC22" s="1">
        <f>'Data (2)'!BC95</f>
        <v>-16.2</v>
      </c>
      <c r="BD22" s="1">
        <f>'Data (2)'!BD95-BC22</f>
        <v>-4.1000000000000014</v>
      </c>
      <c r="BE22" s="1">
        <f>'Data (2)'!BE95-BD22-BC22</f>
        <v>-4.8999999999999986</v>
      </c>
      <c r="BF22" s="1">
        <f>'Data (2)'!BF95-BE22-BD22-BC22</f>
        <v>-3.1999999999999993</v>
      </c>
      <c r="BG22" s="12">
        <f t="shared" si="9"/>
        <v>-28.4</v>
      </c>
      <c r="BH22" s="1">
        <f>'Data (2)'!BH95</f>
        <v>-18.3</v>
      </c>
      <c r="BI22" s="1">
        <f>'Data (2)'!BI95-BH22</f>
        <v>-5.3000000000000007</v>
      </c>
      <c r="BJ22" s="1">
        <f>'Data (2)'!BJ95-BI22-BH22</f>
        <v>-20.999999999999996</v>
      </c>
      <c r="BK22" s="1">
        <f>'Data (2)'!BK95-BJ22-BI22-BH22</f>
        <v>5.8000000000000007</v>
      </c>
      <c r="BL22" s="12">
        <f t="shared" si="21"/>
        <v>-38.799999999999997</v>
      </c>
      <c r="BM22" s="1">
        <f>'Data (2)'!BM95</f>
        <v>-37.9</v>
      </c>
      <c r="BN22" s="1">
        <f>'Data (2)'!BN95-BM22</f>
        <v>-10.600000000000001</v>
      </c>
      <c r="BO22" s="1">
        <f>'Data (2)'!BO95-BN22-BM22</f>
        <v>2.2999999999999972</v>
      </c>
      <c r="BP22" s="1">
        <f>'Data (2)'!BP95-BO22-BN22-BM22</f>
        <v>21.200000000000003</v>
      </c>
      <c r="BQ22" s="12">
        <f t="shared" si="22"/>
        <v>-25</v>
      </c>
      <c r="BR22" s="1">
        <f>'Data (2)'!BR95</f>
        <v>-20.7</v>
      </c>
      <c r="BS22" s="1">
        <f>'Data (2)'!BS95-BR22</f>
        <v>-1.9000000000000021</v>
      </c>
      <c r="BT22" s="1">
        <f>'Data (2)'!BT95-BS22-BR22</f>
        <v>17.600000000000001</v>
      </c>
      <c r="BU22" s="1">
        <f>'Data (2)'!BU95-BT22-BS22-BR22</f>
        <v>15.8</v>
      </c>
      <c r="BV22" s="12">
        <f t="shared" si="23"/>
        <v>10.8</v>
      </c>
      <c r="BW22" s="1">
        <f>'Data (2)'!BW95</f>
        <v>-10.9</v>
      </c>
      <c r="BX22" s="1">
        <f>'Data (2)'!BX95-BW22</f>
        <v>-0.69999999999999929</v>
      </c>
      <c r="BY22" s="1">
        <f>'Data (2)'!BY95-BX22-BW22</f>
        <v>4.8999999999999995</v>
      </c>
      <c r="BZ22" s="1">
        <f>'Data (2)'!BZ95-BY22-BX22-BW22</f>
        <v>9</v>
      </c>
      <c r="CA22" s="12">
        <f t="shared" si="24"/>
        <v>2.2999999999999998</v>
      </c>
      <c r="CB22" s="1">
        <f>'Data (2)'!CB95</f>
        <v>-14.6</v>
      </c>
      <c r="CC22" s="1">
        <f>'Data (2)'!CC95-CB22</f>
        <v>-14.000000000000002</v>
      </c>
      <c r="CD22" s="1">
        <f>'Data (2)'!CD95-CC22-CB22</f>
        <v>-3.5000000000000018</v>
      </c>
      <c r="CE22" s="1">
        <f>'Data (2)'!CE95-CD22-CC22-CB22</f>
        <v>6.9000000000000057</v>
      </c>
      <c r="CF22" s="12">
        <f t="shared" si="25"/>
        <v>-25.199999999999996</v>
      </c>
      <c r="CG22" s="1">
        <f>'Data (2)'!CG95</f>
        <v>-32.299999999999997</v>
      </c>
      <c r="CH22" s="1">
        <f>'Data (2)'!CH95-CG22</f>
        <v>-4</v>
      </c>
      <c r="CI22" s="1">
        <f>'Data (2)'!CI95-CH22-CG22</f>
        <v>-20.5</v>
      </c>
      <c r="CJ22" s="1">
        <f>'Data (2)'!CJ95-CI22-CH22-CG22</f>
        <v>26.4</v>
      </c>
      <c r="CK22" s="12">
        <f t="shared" si="26"/>
        <v>-30.4</v>
      </c>
      <c r="CL22" s="1">
        <f>'Data (2)'!CL95</f>
        <v>-26.4</v>
      </c>
      <c r="CM22" s="140">
        <f>'BS (2)'!CL9-'BS (2)'!CM9</f>
        <v>194.0176792615384</v>
      </c>
      <c r="CN22" s="140">
        <f>'BS (2)'!CM9-'BS (2)'!CN9</f>
        <v>-31.164641044871757</v>
      </c>
      <c r="CO22" s="140">
        <f>'BS (2)'!CN9-'BS (2)'!CO9</f>
        <v>-21.021579788351232</v>
      </c>
      <c r="CP22" s="12">
        <f t="shared" si="27"/>
        <v>115.43145842831541</v>
      </c>
      <c r="CQ22" s="139">
        <f>'BS (2)'!CP9-'BS (2)'!CQ9</f>
        <v>-13.846475316148798</v>
      </c>
      <c r="CR22" s="139">
        <f>'BS (2)'!CQ9-'BS (2)'!CR9</f>
        <v>-17.052787086677966</v>
      </c>
      <c r="CS22" s="139">
        <f>'BS (2)'!CR9-'BS (2)'!CS9</f>
        <v>-21.747675685165888</v>
      </c>
    </row>
    <row r="23" spans="2:98">
      <c r="B23" s="26" t="s">
        <v>245</v>
      </c>
      <c r="C23" s="12">
        <f>'Data (2)'!C96</f>
        <v>1.667</v>
      </c>
      <c r="D23" s="12">
        <f>'Data (2)'!D96</f>
        <v>-2.8580000000000001</v>
      </c>
      <c r="E23" s="12">
        <f>'Data (2)'!E96</f>
        <v>1.5</v>
      </c>
      <c r="F23" s="12">
        <f>'Data (2)'!F96</f>
        <v>-0.4</v>
      </c>
      <c r="G23" s="12">
        <f>'Data (2)'!G96</f>
        <v>1.1000000000000001</v>
      </c>
      <c r="H23" s="12">
        <f>'Data (2)'!H96</f>
        <v>-1.7</v>
      </c>
      <c r="I23" s="12">
        <f>'Data (2)'!I96</f>
        <v>0.9</v>
      </c>
      <c r="J23" s="1">
        <f>'Data (2)'!J96</f>
        <v>0</v>
      </c>
      <c r="K23" s="1">
        <f>'Data (2)'!K96-J23</f>
        <v>0</v>
      </c>
      <c r="L23" s="1">
        <f>'Data (2)'!L96-K23-J23</f>
        <v>0</v>
      </c>
      <c r="M23" s="1">
        <f>'Data (2)'!M96-L23-K23-J23</f>
        <v>-7.4</v>
      </c>
      <c r="N23" s="12">
        <f t="shared" si="0"/>
        <v>-7.4</v>
      </c>
      <c r="O23" s="1">
        <f>'Data (2)'!O96</f>
        <v>0</v>
      </c>
      <c r="P23" s="1">
        <f>'Data (2)'!P96-O23</f>
        <v>0</v>
      </c>
      <c r="Q23" s="1">
        <f>'Data (2)'!Q96-P23-O23</f>
        <v>0</v>
      </c>
      <c r="R23" s="1">
        <f>'Data (2)'!R96-Q23-P23-O23</f>
        <v>4.4000000000000004</v>
      </c>
      <c r="S23" s="12">
        <f t="shared" si="1"/>
        <v>4.4000000000000004</v>
      </c>
      <c r="T23" s="1">
        <f>'Data (2)'!T96</f>
        <v>0.6</v>
      </c>
      <c r="U23" s="1">
        <f>'Data (2)'!U96-T23</f>
        <v>-0.3</v>
      </c>
      <c r="V23" s="1">
        <f>'Data (2)'!V96-U23-T23</f>
        <v>-1.1000000000000001</v>
      </c>
      <c r="W23" s="1">
        <f>'Data (2)'!W96-V23-U23-T23</f>
        <v>0.20000000000000007</v>
      </c>
      <c r="X23" s="12">
        <f t="shared" si="2"/>
        <v>-0.6</v>
      </c>
      <c r="Y23" s="1">
        <f>'Data (2)'!Y96</f>
        <v>1.6</v>
      </c>
      <c r="Z23" s="1">
        <f>'Data (2)'!Z96-Y23</f>
        <v>-1.3</v>
      </c>
      <c r="AA23" s="1">
        <f>'Data (2)'!AA96-Z23-Y23</f>
        <v>-1.6</v>
      </c>
      <c r="AB23" s="1">
        <f>'Data (2)'!AB96-AA23-Z23-Y23</f>
        <v>1.6</v>
      </c>
      <c r="AC23" s="12">
        <f t="shared" si="3"/>
        <v>0.30000000000000004</v>
      </c>
      <c r="AD23" s="1">
        <f>'Data (2)'!AD96</f>
        <v>4.5999999999999996</v>
      </c>
      <c r="AE23" s="1">
        <f>'Data (2)'!AE96-AD23</f>
        <v>-2.6999999999999997</v>
      </c>
      <c r="AF23" s="1">
        <f>'Data (2)'!AF96-AE23-AD23</f>
        <v>0.20000000000000018</v>
      </c>
      <c r="AG23" s="1">
        <f>'Data (2)'!AG96-AF23-AE23-AD23</f>
        <v>0.90000000000000036</v>
      </c>
      <c r="AH23" s="12">
        <f t="shared" si="4"/>
        <v>3.0000000000000004</v>
      </c>
      <c r="AI23" s="1">
        <f>'Data (2)'!AI96</f>
        <v>2</v>
      </c>
      <c r="AJ23" s="1">
        <f>'Data (2)'!AJ96-AI23</f>
        <v>-5.5</v>
      </c>
      <c r="AK23" s="1">
        <f>'Data (2)'!AK96-AJ23-AI23</f>
        <v>-7.5</v>
      </c>
      <c r="AL23" s="1">
        <f>'Data (2)'!AL96-AK23-AJ23-AI23</f>
        <v>3.7</v>
      </c>
      <c r="AM23" s="12">
        <f t="shared" si="5"/>
        <v>-7.3</v>
      </c>
      <c r="AN23" s="1">
        <f>'Data (2)'!AN96</f>
        <v>-1.2</v>
      </c>
      <c r="AO23" s="1">
        <f>'Data (2)'!AO96-AN23</f>
        <v>1.6</v>
      </c>
      <c r="AP23" s="1">
        <f>'Data (2)'!AP96-AO23-AN23</f>
        <v>-0.70000000000000018</v>
      </c>
      <c r="AQ23" s="1">
        <f>'Data (2)'!AQ96-AP23-AO23-AN23</f>
        <v>0.10000000000000009</v>
      </c>
      <c r="AR23" s="12">
        <f t="shared" si="6"/>
        <v>-0.19999999999999996</v>
      </c>
      <c r="AS23" s="1">
        <f>'Data (2)'!AS96</f>
        <v>-1</v>
      </c>
      <c r="AT23" s="1">
        <f>'Data (2)'!AT96-AS23</f>
        <v>-2.1</v>
      </c>
      <c r="AU23" s="1">
        <f>'Data (2)'!AU96-AT23-AS23</f>
        <v>1.1000000000000001</v>
      </c>
      <c r="AV23" s="1">
        <f>'Data (2)'!AV96-AU23-AT23-AS23</f>
        <v>0.89999999999999991</v>
      </c>
      <c r="AW23" s="12">
        <f t="shared" si="7"/>
        <v>-1.1000000000000001</v>
      </c>
      <c r="AX23" s="1">
        <f>'Data (2)'!AX96</f>
        <v>2.6</v>
      </c>
      <c r="AY23" s="1">
        <f>'Data (2)'!AY96-AX23</f>
        <v>-1.1000000000000001</v>
      </c>
      <c r="AZ23" s="1">
        <f>'Data (2)'!AZ96-AY23-AX23</f>
        <v>0</v>
      </c>
      <c r="BA23" s="1">
        <f>'Data (2)'!BA96-AZ23-AY23-AX23</f>
        <v>-0.8</v>
      </c>
      <c r="BB23" s="12">
        <f t="shared" si="8"/>
        <v>0.7</v>
      </c>
      <c r="BC23" s="1">
        <f>'Data (2)'!BC96</f>
        <v>2.7</v>
      </c>
      <c r="BD23" s="1">
        <f>'Data (2)'!BD96-BC23</f>
        <v>-11.7</v>
      </c>
      <c r="BE23" s="1">
        <f>'Data (2)'!BE96-BD23-BC23</f>
        <v>6.9999999999999991</v>
      </c>
      <c r="BF23" s="1">
        <f>'Data (2)'!BF96-BE23-BD23-BC23</f>
        <v>-1.2999999999999998</v>
      </c>
      <c r="BG23" s="12">
        <f t="shared" si="9"/>
        <v>-3.3000000000000007</v>
      </c>
      <c r="BH23" s="1">
        <f>'Data (2)'!BH96</f>
        <v>-6.4</v>
      </c>
      <c r="BI23" s="1">
        <f>'Data (2)'!BI96-BH23</f>
        <v>7.5</v>
      </c>
      <c r="BJ23" s="1">
        <f>'Data (2)'!BJ96-BI23-BH23</f>
        <v>-12.700000000000001</v>
      </c>
      <c r="BK23" s="1">
        <f>'Data (2)'!BK96-BJ23-BI23-BH23</f>
        <v>15.700000000000001</v>
      </c>
      <c r="BL23" s="12">
        <f t="shared" si="21"/>
        <v>4.0999999999999996</v>
      </c>
      <c r="BM23" s="1">
        <f>'Data (2)'!BM96</f>
        <v>0.9</v>
      </c>
      <c r="BN23" s="1">
        <f>'Data (2)'!BN96-BM23</f>
        <v>-6.1000000000000005</v>
      </c>
      <c r="BO23" s="1">
        <f>'Data (2)'!BO96-BN23-BM23</f>
        <v>-0.79999999999999949</v>
      </c>
      <c r="BP23" s="1">
        <f>'Data (2)'!BP96-BO23-BN23-BM23</f>
        <v>3.1</v>
      </c>
      <c r="BQ23" s="12">
        <f t="shared" si="22"/>
        <v>-2.9</v>
      </c>
      <c r="BR23" s="1">
        <f>'Data (2)'!BR96</f>
        <v>-2</v>
      </c>
      <c r="BS23" s="1">
        <f>'Data (2)'!BS96-BR23</f>
        <v>-3.5999999999999996</v>
      </c>
      <c r="BT23" s="1">
        <f>'Data (2)'!BT96-BS23-BR23</f>
        <v>-1.7000000000000002</v>
      </c>
      <c r="BU23" s="1">
        <f>'Data (2)'!BU96-BT23-BS23-BR23</f>
        <v>3.2</v>
      </c>
      <c r="BV23" s="12">
        <f t="shared" si="23"/>
        <v>-4.0999999999999996</v>
      </c>
      <c r="BW23" s="1">
        <f>'Data (2)'!BW96</f>
        <v>-8.4</v>
      </c>
      <c r="BX23" s="1">
        <f>'Data (2)'!BX96-BW23</f>
        <v>5.5</v>
      </c>
      <c r="BY23" s="1">
        <f>'Data (2)'!BY96-BX23-BW23</f>
        <v>4.3000000000000007</v>
      </c>
      <c r="BZ23" s="1">
        <f>'Data (2)'!BZ96-BY23-BX23-BW23</f>
        <v>-1.5</v>
      </c>
      <c r="CA23" s="12">
        <f t="shared" si="24"/>
        <v>-9.9999999999999645E-2</v>
      </c>
      <c r="CB23" s="1">
        <f>'Data (2)'!CB96</f>
        <v>2.6</v>
      </c>
      <c r="CC23" s="1">
        <f>'Data (2)'!CC96-CB23</f>
        <v>-15.5</v>
      </c>
      <c r="CD23" s="1">
        <f>'Data (2)'!CD96-CC23-CB23</f>
        <v>7.9</v>
      </c>
      <c r="CE23" s="1">
        <f>'Data (2)'!CE96-CD23-CC23-CB23</f>
        <v>-3.6</v>
      </c>
      <c r="CF23" s="12">
        <f t="shared" si="25"/>
        <v>-8.6</v>
      </c>
      <c r="CG23" s="1">
        <f>'Data (2)'!CG96</f>
        <v>-5.8</v>
      </c>
      <c r="CH23" s="1">
        <f>'Data (2)'!CH96-CG23</f>
        <v>-10</v>
      </c>
      <c r="CI23" s="1">
        <f>'Data (2)'!CI96-CH23-CG23</f>
        <v>3.3</v>
      </c>
      <c r="CJ23" s="1">
        <f>'Data (2)'!CJ96-CI23-CH23-CG23</f>
        <v>6.7</v>
      </c>
      <c r="CK23" s="12">
        <f t="shared" si="26"/>
        <v>-5.8</v>
      </c>
      <c r="CL23" s="1">
        <f>'Data (2)'!CL96</f>
        <v>-7.6</v>
      </c>
      <c r="CM23" s="140">
        <f>'BS (2)'!CL10-'BS (2)'!CM10</f>
        <v>0</v>
      </c>
      <c r="CN23" s="140">
        <f>'BS (2)'!CM10-'BS (2)'!CN10</f>
        <v>0</v>
      </c>
      <c r="CO23" s="140">
        <f>'BS (2)'!CN10-'BS (2)'!CO10</f>
        <v>0</v>
      </c>
      <c r="CP23" s="12">
        <f t="shared" si="27"/>
        <v>-7.6</v>
      </c>
      <c r="CQ23" s="139">
        <f>'BS (2)'!CP10-'BS (2)'!CQ10</f>
        <v>0</v>
      </c>
      <c r="CR23" s="139">
        <f>'BS (2)'!CQ10-'BS (2)'!CR10</f>
        <v>0</v>
      </c>
      <c r="CS23" s="139">
        <f>'BS (2)'!CR10-'BS (2)'!CS10</f>
        <v>0</v>
      </c>
    </row>
    <row r="24" spans="2:98">
      <c r="B24" s="26" t="s">
        <v>246</v>
      </c>
      <c r="C24" s="12">
        <f>'Data (2)'!C97</f>
        <v>23.567</v>
      </c>
      <c r="D24" s="12">
        <f>'Data (2)'!D97</f>
        <v>-17.067</v>
      </c>
      <c r="E24" s="12">
        <f>'Data (2)'!E97</f>
        <v>11.9</v>
      </c>
      <c r="F24" s="12">
        <f>'Data (2)'!F97</f>
        <v>10.7</v>
      </c>
      <c r="G24" s="12">
        <f>'Data (2)'!G97</f>
        <v>-19.2</v>
      </c>
      <c r="H24" s="12">
        <f>'Data (2)'!H97</f>
        <v>-15.7</v>
      </c>
      <c r="I24" s="12">
        <f>'Data (2)'!I97</f>
        <v>-7.9</v>
      </c>
      <c r="J24" s="1">
        <f>'Data (2)'!J97</f>
        <v>0</v>
      </c>
      <c r="K24" s="1">
        <f>'Data (2)'!K97-J24</f>
        <v>0</v>
      </c>
      <c r="L24" s="1">
        <f>'Data (2)'!L97-K24-J24</f>
        <v>0</v>
      </c>
      <c r="M24" s="1">
        <f>'Data (2)'!M97-L24-K24-J24</f>
        <v>45.9</v>
      </c>
      <c r="N24" s="12">
        <f t="shared" si="0"/>
        <v>45.9</v>
      </c>
      <c r="O24" s="1">
        <f>'Data (2)'!O97</f>
        <v>0</v>
      </c>
      <c r="P24" s="1">
        <f>'Data (2)'!P97-O24</f>
        <v>0</v>
      </c>
      <c r="Q24" s="1">
        <f>'Data (2)'!Q97-P24-O24</f>
        <v>0</v>
      </c>
      <c r="R24" s="1">
        <f>'Data (2)'!R97-Q24-P24-O24</f>
        <v>-11.6</v>
      </c>
      <c r="S24" s="12">
        <f t="shared" si="1"/>
        <v>-11.6</v>
      </c>
      <c r="T24" s="1">
        <f>'Data (2)'!T97</f>
        <v>-0.4</v>
      </c>
      <c r="U24" s="1">
        <f>'Data (2)'!U97-T24</f>
        <v>-4.8999999999999995</v>
      </c>
      <c r="V24" s="1">
        <f>'Data (2)'!V97-U24-T24</f>
        <v>-0.30000000000000016</v>
      </c>
      <c r="W24" s="1">
        <f>'Data (2)'!W97-V24-U24-T24</f>
        <v>17.2</v>
      </c>
      <c r="X24" s="12">
        <f t="shared" si="2"/>
        <v>11.6</v>
      </c>
      <c r="Y24" s="1">
        <f>'Data (2)'!Y97</f>
        <v>-15.2</v>
      </c>
      <c r="Z24" s="1">
        <f>'Data (2)'!Z97-Y24</f>
        <v>24</v>
      </c>
      <c r="AA24" s="1">
        <f>'Data (2)'!AA97-Z24-Y24</f>
        <v>-17.2</v>
      </c>
      <c r="AB24" s="1">
        <f>'Data (2)'!AB97-AA24-Z24-Y24</f>
        <v>29.400000000000002</v>
      </c>
      <c r="AC24" s="12">
        <f t="shared" si="3"/>
        <v>21.000000000000004</v>
      </c>
      <c r="AD24" s="1">
        <f>'Data (2)'!AD97</f>
        <v>-13.3</v>
      </c>
      <c r="AE24" s="1">
        <f>'Data (2)'!AE97-AD24</f>
        <v>-8.5999999999999979</v>
      </c>
      <c r="AF24" s="1">
        <f>'Data (2)'!AF97-AE24-AD24</f>
        <v>-18.7</v>
      </c>
      <c r="AG24" s="1">
        <f>'Data (2)'!AG97-AF24-AE24-AD24</f>
        <v>14.899999999999999</v>
      </c>
      <c r="AH24" s="12">
        <f t="shared" si="4"/>
        <v>-25.699999999999996</v>
      </c>
      <c r="AI24" s="1">
        <f>'Data (2)'!AI97</f>
        <v>-17.100000000000001</v>
      </c>
      <c r="AJ24" s="1">
        <f>'Data (2)'!AJ97-AI24</f>
        <v>-31.699999999999996</v>
      </c>
      <c r="AK24" s="1">
        <f>'Data (2)'!AK97-AJ24-AI24</f>
        <v>11.399999999999999</v>
      </c>
      <c r="AL24" s="1">
        <f>'Data (2)'!AL97-AK24-AJ24-AI24</f>
        <v>9.2999999999999972</v>
      </c>
      <c r="AM24" s="12">
        <f t="shared" si="5"/>
        <v>-28.1</v>
      </c>
      <c r="AN24" s="1">
        <f>'Data (2)'!AN97</f>
        <v>1.5</v>
      </c>
      <c r="AO24" s="1">
        <f>'Data (2)'!AO97-AN24</f>
        <v>35.4</v>
      </c>
      <c r="AP24" s="1">
        <f>'Data (2)'!AP97-AO24-AN24</f>
        <v>-9.6999999999999993</v>
      </c>
      <c r="AQ24" s="1">
        <f>'Data (2)'!AQ97-AP24-AO24-AN24</f>
        <v>-22.7</v>
      </c>
      <c r="AR24" s="12">
        <f t="shared" si="6"/>
        <v>4.5</v>
      </c>
      <c r="AS24" s="1">
        <f>'Data (2)'!AS97</f>
        <v>24.7</v>
      </c>
      <c r="AT24" s="1">
        <f>'Data (2)'!AT97-AS24</f>
        <v>11.3</v>
      </c>
      <c r="AU24" s="1">
        <f>'Data (2)'!AU97-AT24-AS24</f>
        <v>-17.600000000000001</v>
      </c>
      <c r="AV24" s="1">
        <f>'Data (2)'!AV97-AU24-AT24-AS24</f>
        <v>15.700000000000006</v>
      </c>
      <c r="AW24" s="12">
        <f t="shared" si="7"/>
        <v>34.100000000000009</v>
      </c>
      <c r="AX24" s="1">
        <f>'Data (2)'!AX97</f>
        <v>17.7</v>
      </c>
      <c r="AY24" s="1">
        <f>'Data (2)'!AY97-AX24</f>
        <v>10.3</v>
      </c>
      <c r="AZ24" s="1">
        <f>'Data (2)'!AZ97-AY24-AX24</f>
        <v>-1.1000000000000014</v>
      </c>
      <c r="BA24" s="1">
        <f>'Data (2)'!BA97-AZ24-AY24-AX24</f>
        <v>-6.5999999999999979</v>
      </c>
      <c r="BB24" s="12">
        <f t="shared" si="8"/>
        <v>20.3</v>
      </c>
      <c r="BC24" s="1">
        <f>'Data (2)'!BC97</f>
        <v>20.8</v>
      </c>
      <c r="BD24" s="1">
        <f>'Data (2)'!BD97-BC24</f>
        <v>-16.100000000000001</v>
      </c>
      <c r="BE24" s="1">
        <f>'Data (2)'!BE97-BD24-BC24</f>
        <v>8.1999999999999993</v>
      </c>
      <c r="BF24" s="1">
        <f>'Data (2)'!BF97-BE24-BD24-BC24</f>
        <v>6.3000000000000007</v>
      </c>
      <c r="BG24" s="12">
        <f t="shared" si="9"/>
        <v>19.2</v>
      </c>
      <c r="BH24" s="1">
        <f>'Data (2)'!BH97</f>
        <v>11.9</v>
      </c>
      <c r="BI24" s="1">
        <f>'Data (2)'!BI97-BH24</f>
        <v>5.6</v>
      </c>
      <c r="BJ24" s="1">
        <f>'Data (2)'!BJ97-BI24-BH24</f>
        <v>-6.8000000000000007</v>
      </c>
      <c r="BK24" s="1">
        <f>'Data (2)'!BK97-BJ24-BI24-BH24</f>
        <v>29.400000000000006</v>
      </c>
      <c r="BL24" s="12">
        <f t="shared" si="21"/>
        <v>40.100000000000009</v>
      </c>
      <c r="BM24" s="1">
        <f>'Data (2)'!BM97</f>
        <v>-5.3</v>
      </c>
      <c r="BN24" s="1">
        <f>'Data (2)'!BN97-BM24</f>
        <v>-10.399999999999999</v>
      </c>
      <c r="BO24" s="1">
        <f>'Data (2)'!BO97-BN24-BM24</f>
        <v>-10.3</v>
      </c>
      <c r="BP24" s="1">
        <f>'Data (2)'!BP97-BO24-BN24-BM24</f>
        <v>14.399999999999999</v>
      </c>
      <c r="BQ24" s="12">
        <f t="shared" si="22"/>
        <v>-11.600000000000001</v>
      </c>
      <c r="BR24" s="1">
        <f>'Data (2)'!BR97</f>
        <v>0.8</v>
      </c>
      <c r="BS24" s="1">
        <f>'Data (2)'!BS97-BR24</f>
        <v>8.5</v>
      </c>
      <c r="BT24" s="1">
        <f>'Data (2)'!BT97-BS24-BR24</f>
        <v>-18.400000000000002</v>
      </c>
      <c r="BU24" s="1">
        <f>'Data (2)'!BU97-BT24-BS24-BR24</f>
        <v>1.2000000000000017</v>
      </c>
      <c r="BV24" s="12">
        <f t="shared" si="23"/>
        <v>-7.8999999999999995</v>
      </c>
      <c r="BW24" s="1">
        <f>'Data (2)'!BW97</f>
        <v>-0.9</v>
      </c>
      <c r="BX24" s="1">
        <f>'Data (2)'!BX97-BW24</f>
        <v>5.9</v>
      </c>
      <c r="BY24" s="1">
        <f>'Data (2)'!BY97-BX24-BW24</f>
        <v>-14.8</v>
      </c>
      <c r="BZ24" s="1">
        <f>'Data (2)'!BZ97-BY24-BX24-BW24</f>
        <v>7.7000000000000011</v>
      </c>
      <c r="CA24" s="12">
        <f t="shared" si="24"/>
        <v>-2.0999999999999996</v>
      </c>
      <c r="CB24" s="1">
        <f>'Data (2)'!CB97</f>
        <v>7</v>
      </c>
      <c r="CC24" s="1">
        <f>'Data (2)'!CC97-CB24</f>
        <v>17.7</v>
      </c>
      <c r="CD24" s="1">
        <f>'Data (2)'!CD97-CC24-CB24</f>
        <v>-24.5</v>
      </c>
      <c r="CE24" s="1">
        <f>'Data (2)'!CE97-CD24-CC24-CB24</f>
        <v>23.099999999999998</v>
      </c>
      <c r="CF24" s="12">
        <f t="shared" si="25"/>
        <v>23.299999999999997</v>
      </c>
      <c r="CG24" s="1">
        <f>'Data (2)'!CG97</f>
        <v>19.100000000000001</v>
      </c>
      <c r="CH24" s="1">
        <f>'Data (2)'!CH97-CG24</f>
        <v>-1.7000000000000028</v>
      </c>
      <c r="CI24" s="1">
        <f>'Data (2)'!CI97-CH24-CG24</f>
        <v>-2.2999999999999972</v>
      </c>
      <c r="CJ24" s="1">
        <f>'Data (2)'!CJ97-CI24-CH24-CG24</f>
        <v>-2.6000000000000014</v>
      </c>
      <c r="CK24" s="12">
        <f t="shared" si="26"/>
        <v>12.5</v>
      </c>
      <c r="CL24" s="1">
        <f>'Data (2)'!CL97</f>
        <v>-18.8</v>
      </c>
      <c r="CM24" s="140">
        <f>'BS (2)'!CM23-'BS (2)'!CL23</f>
        <v>-51.935676799999982</v>
      </c>
      <c r="CN24" s="140">
        <f>'BS (2)'!CN23-'BS (2)'!CM23</f>
        <v>10.240778099999972</v>
      </c>
      <c r="CO24" s="140">
        <f>'BS (2)'!CO23-'BS (2)'!CN23</f>
        <v>12.560511202222216</v>
      </c>
      <c r="CP24" s="12">
        <f t="shared" si="27"/>
        <v>-47.934387497777792</v>
      </c>
      <c r="CQ24" s="139">
        <f>'BS (2)'!CQ23-'BS (2)'!CP23</f>
        <v>7.5005615976270974</v>
      </c>
      <c r="CR24" s="139">
        <f>'BS (2)'!CR23-'BS (2)'!CQ23</f>
        <v>9.811192570417461</v>
      </c>
      <c r="CS24" s="139">
        <f>'BS (2)'!CS23-'BS (2)'!CR23</f>
        <v>12.512361353109128</v>
      </c>
    </row>
    <row r="25" spans="2:98">
      <c r="B25" s="26" t="s">
        <v>73</v>
      </c>
      <c r="C25" s="12">
        <f>'Data (2)'!C98</f>
        <v>-13.878</v>
      </c>
      <c r="D25" s="12">
        <f>'Data (2)'!D98</f>
        <v>-3.4790000000000001</v>
      </c>
      <c r="E25" s="12">
        <f>'Data (2)'!E98</f>
        <v>2.4</v>
      </c>
      <c r="F25" s="12">
        <f>'Data (2)'!F98</f>
        <v>5.7</v>
      </c>
      <c r="G25" s="12">
        <f>'Data (2)'!G98</f>
        <v>5.0999999999999996</v>
      </c>
      <c r="H25" s="12">
        <f>'Data (2)'!H98</f>
        <v>0.9</v>
      </c>
      <c r="I25" s="12">
        <f>'Data (2)'!I98</f>
        <v>-0.4</v>
      </c>
      <c r="J25" s="1">
        <f>'Data (2)'!J98</f>
        <v>0</v>
      </c>
      <c r="K25" s="1">
        <f>'Data (2)'!K98-J25</f>
        <v>0</v>
      </c>
      <c r="L25" s="1">
        <f>'Data (2)'!L98-K25-J25</f>
        <v>0</v>
      </c>
      <c r="M25" s="1">
        <f>'Data (2)'!M98-L25-K25-J25</f>
        <v>4.0999999999999996</v>
      </c>
      <c r="N25" s="12">
        <f t="shared" si="0"/>
        <v>4.0999999999999996</v>
      </c>
      <c r="O25" s="1">
        <f>'Data (2)'!O98</f>
        <v>0</v>
      </c>
      <c r="P25" s="1">
        <f>'Data (2)'!P98-O25</f>
        <v>0</v>
      </c>
      <c r="Q25" s="1">
        <f>'Data (2)'!Q98-P25-O25</f>
        <v>0</v>
      </c>
      <c r="R25" s="1">
        <f>'Data (2)'!R98-Q25-P25-O25</f>
        <v>3.7</v>
      </c>
      <c r="S25" s="12">
        <f t="shared" si="1"/>
        <v>3.7</v>
      </c>
      <c r="T25" s="1">
        <f>'Data (2)'!T98</f>
        <v>-4.8</v>
      </c>
      <c r="U25" s="1">
        <f>'Data (2)'!U98-T25</f>
        <v>-2.6000000000000005</v>
      </c>
      <c r="V25" s="1">
        <f>'Data (2)'!V98-U25-T25</f>
        <v>0</v>
      </c>
      <c r="W25" s="1">
        <f>'Data (2)'!W98-V25-U25-T25</f>
        <v>4.1000000000000005</v>
      </c>
      <c r="X25" s="12">
        <f t="shared" si="2"/>
        <v>-3.3</v>
      </c>
      <c r="Y25" s="1">
        <f>'Data (2)'!Y98</f>
        <v>2.5</v>
      </c>
      <c r="Z25" s="1">
        <f>'Data (2)'!Z98-Y25</f>
        <v>-12.8</v>
      </c>
      <c r="AA25" s="1">
        <f>'Data (2)'!AA98-Z25-Y25</f>
        <v>12.4</v>
      </c>
      <c r="AB25" s="1">
        <f>'Data (2)'!AB98-AA25-Z25-Y25</f>
        <v>4.7</v>
      </c>
      <c r="AC25" s="12">
        <f t="shared" si="3"/>
        <v>6.8</v>
      </c>
      <c r="AD25" s="1">
        <f>'Data (2)'!AD98</f>
        <v>2</v>
      </c>
      <c r="AE25" s="1">
        <f>'Data (2)'!AE98-AD25</f>
        <v>4.8</v>
      </c>
      <c r="AF25" s="1">
        <f>'Data (2)'!AF98-AE25-AD25</f>
        <v>2.0000000000000009</v>
      </c>
      <c r="AG25" s="1">
        <f>'Data (2)'!AG98-AF25-AE25-AD25</f>
        <v>-9</v>
      </c>
      <c r="AH25" s="12">
        <f t="shared" si="4"/>
        <v>-0.19999999999999929</v>
      </c>
      <c r="AI25" s="1">
        <f>'Data (2)'!AI98</f>
        <v>2.7</v>
      </c>
      <c r="AJ25" s="1">
        <f>'Data (2)'!AJ98-AI25</f>
        <v>0.29999999999999982</v>
      </c>
      <c r="AK25" s="1">
        <f>'Data (2)'!AK98-AJ25-AI25</f>
        <v>-1</v>
      </c>
      <c r="AL25" s="1">
        <f>'Data (2)'!AL98-AK25-AJ25-AI25</f>
        <v>3.4000000000000004</v>
      </c>
      <c r="AM25" s="12">
        <f t="shared" si="5"/>
        <v>5.4</v>
      </c>
      <c r="AN25" s="1">
        <f>'Data (2)'!AN98</f>
        <v>-2</v>
      </c>
      <c r="AO25" s="1">
        <f>'Data (2)'!AO98-AN25</f>
        <v>-0.29999999999999982</v>
      </c>
      <c r="AP25" s="1">
        <f>'Data (2)'!AP98-AO25-AN25</f>
        <v>-5.8999999999999995</v>
      </c>
      <c r="AQ25" s="1">
        <f>'Data (2)'!AQ98-AP25-AO25-AN25</f>
        <v>3.7999999999999989</v>
      </c>
      <c r="AR25" s="12">
        <f t="shared" si="6"/>
        <v>-4.4000000000000004</v>
      </c>
      <c r="AS25" s="1">
        <f>'Data (2)'!AS98</f>
        <v>-5.8</v>
      </c>
      <c r="AT25" s="1">
        <f>'Data (2)'!AT98-AS25</f>
        <v>4</v>
      </c>
      <c r="AU25" s="1">
        <f>'Data (2)'!AU98-AT25-AS25</f>
        <v>-2.2000000000000002</v>
      </c>
      <c r="AV25" s="1">
        <f>'Data (2)'!AV98-AU25-AT25-AS25</f>
        <v>-0.90000000000000036</v>
      </c>
      <c r="AW25" s="12">
        <f t="shared" si="7"/>
        <v>-4.9000000000000004</v>
      </c>
      <c r="AX25" s="1">
        <f>'Data (2)'!AX98</f>
        <v>-4.8</v>
      </c>
      <c r="AY25" s="1">
        <f>'Data (2)'!AY98-AX25</f>
        <v>-0.60000000000000053</v>
      </c>
      <c r="AZ25" s="1">
        <f>'Data (2)'!AZ98-AY25-AX25</f>
        <v>-2.6999999999999993</v>
      </c>
      <c r="BA25" s="1">
        <f>'Data (2)'!BA98-AZ25-AY25-AX25</f>
        <v>-1.0000000000000018</v>
      </c>
      <c r="BB25" s="12">
        <f t="shared" si="8"/>
        <v>-9.1000000000000014</v>
      </c>
      <c r="BC25" s="1">
        <f>'Data (2)'!BC98</f>
        <v>1.7</v>
      </c>
      <c r="BD25" s="1">
        <f>'Data (2)'!BD98-BC25</f>
        <v>-1.1000000000000001</v>
      </c>
      <c r="BE25" s="1">
        <f>'Data (2)'!BE98-BD25-BC25</f>
        <v>-2.7</v>
      </c>
      <c r="BF25" s="1">
        <f>'Data (2)'!BF98-BE25-BD25-BC25</f>
        <v>3.1000000000000005</v>
      </c>
      <c r="BG25" s="12">
        <f t="shared" si="9"/>
        <v>1</v>
      </c>
      <c r="BH25" s="1">
        <f>'Data (2)'!BH98</f>
        <v>2.5</v>
      </c>
      <c r="BI25" s="1">
        <f>'Data (2)'!BI98-BH25</f>
        <v>-0.10000000000000009</v>
      </c>
      <c r="BJ25" s="1">
        <f>'Data (2)'!BJ98-BI25-BH25</f>
        <v>-3</v>
      </c>
      <c r="BK25" s="1">
        <f>'Data (2)'!BK98-BJ25-BI25-BH25</f>
        <v>-3.3</v>
      </c>
      <c r="BL25" s="12">
        <f t="shared" si="21"/>
        <v>-3.9</v>
      </c>
      <c r="BM25" s="1">
        <f>'Data (2)'!BM98</f>
        <v>-3.2</v>
      </c>
      <c r="BN25" s="1">
        <f>'Data (2)'!BN98-BM25</f>
        <v>-7.1000000000000005</v>
      </c>
      <c r="BO25" s="1">
        <f>'Data (2)'!BO98-BN25-BM25</f>
        <v>7.5000000000000009</v>
      </c>
      <c r="BP25" s="1">
        <f>'Data (2)'!BP98-BO25-BN25-BM25</f>
        <v>-12.899999999999999</v>
      </c>
      <c r="BQ25" s="12">
        <f t="shared" si="22"/>
        <v>-15.7</v>
      </c>
      <c r="BR25" s="1">
        <f>'Data (2)'!BR98</f>
        <v>-0.7</v>
      </c>
      <c r="BS25" s="1">
        <f>'Data (2)'!BS98-BR25</f>
        <v>3</v>
      </c>
      <c r="BT25" s="1">
        <f>'Data (2)'!BT98-BS25-BR25</f>
        <v>-0.19999999999999996</v>
      </c>
      <c r="BU25" s="1">
        <f>'Data (2)'!BU98-BT25-BS25-BR25</f>
        <v>-3.2999999999999989</v>
      </c>
      <c r="BV25" s="12">
        <f t="shared" si="23"/>
        <v>-1.1999999999999993</v>
      </c>
      <c r="BW25" s="1">
        <f>'Data (2)'!BW98</f>
        <v>-0.5</v>
      </c>
      <c r="BX25" s="1">
        <f>'Data (2)'!BX98-BW25</f>
        <v>0.2</v>
      </c>
      <c r="BY25" s="1">
        <f>'Data (2)'!BY98-BX25-BW25</f>
        <v>3.5999999999999996</v>
      </c>
      <c r="BZ25" s="1">
        <f>'Data (2)'!BZ98-BY25-BX25-BW25</f>
        <v>-2.1999999999999997</v>
      </c>
      <c r="CA25" s="12">
        <f t="shared" si="24"/>
        <v>1.1000000000000001</v>
      </c>
      <c r="CB25" s="1">
        <f>'Data (2)'!CB98</f>
        <v>-1.6</v>
      </c>
      <c r="CC25" s="1">
        <f>'Data (2)'!CC98-CB25</f>
        <v>5.9</v>
      </c>
      <c r="CD25" s="1">
        <f>'Data (2)'!CD98-CC25-CB25</f>
        <v>-1.0000000000000004</v>
      </c>
      <c r="CE25" s="1">
        <f>'Data (2)'!CE98-CD25-CC25-CB25</f>
        <v>8.1</v>
      </c>
      <c r="CF25" s="12">
        <f t="shared" si="25"/>
        <v>11.4</v>
      </c>
      <c r="CG25" s="1">
        <f>'Data (2)'!CG98</f>
        <v>-0.2</v>
      </c>
      <c r="CH25" s="1">
        <f>'Data (2)'!CH98-CG25</f>
        <v>-3.5999999999999996</v>
      </c>
      <c r="CI25" s="1">
        <f>'Data (2)'!CI98-CH25-CG25</f>
        <v>0.89999999999999969</v>
      </c>
      <c r="CJ25" s="1">
        <f>'Data (2)'!CJ98-CI25-CH25-CG25</f>
        <v>1.0999999999999999</v>
      </c>
      <c r="CK25" s="12">
        <f t="shared" si="26"/>
        <v>-1.8000000000000005</v>
      </c>
      <c r="CL25" s="1">
        <f>'Data (2)'!CL98</f>
        <v>11.9</v>
      </c>
      <c r="CM25" s="140">
        <f>'BS (2)'!CM24-'BS (2)'!CL24+'BS (2)'!CM25-'BS (2)'!CL25</f>
        <v>0.5</v>
      </c>
      <c r="CN25" s="140">
        <f>'BS (2)'!CN24-'BS (2)'!CM24+'BS (2)'!CN25-'BS (2)'!CM25</f>
        <v>0.5</v>
      </c>
      <c r="CO25" s="140">
        <f>'BS (2)'!CO24-'BS (2)'!CN24+'BS (2)'!CO25-'BS (2)'!CN25</f>
        <v>0.5</v>
      </c>
      <c r="CP25" s="12">
        <f t="shared" si="27"/>
        <v>13.4</v>
      </c>
      <c r="CQ25" s="139">
        <f>'BS (2)'!CQ24-'BS (2)'!CP24+'BS (2)'!CQ25-'BS (2)'!CP25</f>
        <v>2</v>
      </c>
      <c r="CR25" s="139">
        <f>'BS (2)'!CR24-'BS (2)'!CQ24+'BS (2)'!CR25-'BS (2)'!CQ25</f>
        <v>2</v>
      </c>
      <c r="CS25" s="139">
        <f>'BS (2)'!CS24-'BS (2)'!CR24+'BS (2)'!CS25-'BS (2)'!CR25</f>
        <v>2</v>
      </c>
    </row>
    <row r="26" spans="2:98">
      <c r="B26" s="143" t="s">
        <v>252</v>
      </c>
      <c r="C26" s="144">
        <f t="shared" ref="C26:M26" si="28">SUM(C9:C20)</f>
        <v>25.704000000000001</v>
      </c>
      <c r="D26" s="144">
        <f t="shared" si="28"/>
        <v>93.78</v>
      </c>
      <c r="E26" s="144">
        <f t="shared" si="28"/>
        <v>133.69999999999999</v>
      </c>
      <c r="F26" s="144">
        <f t="shared" si="28"/>
        <v>33.000000000000014</v>
      </c>
      <c r="G26" s="144">
        <f t="shared" si="28"/>
        <v>35.000000000000014</v>
      </c>
      <c r="H26" s="144">
        <f t="shared" si="28"/>
        <v>65.900000000000006</v>
      </c>
      <c r="I26" s="144">
        <f t="shared" si="28"/>
        <v>46.9</v>
      </c>
      <c r="J26" s="143">
        <f t="shared" si="28"/>
        <v>20.799999999999997</v>
      </c>
      <c r="K26" s="143">
        <f t="shared" si="28"/>
        <v>22</v>
      </c>
      <c r="L26" s="143">
        <f t="shared" si="28"/>
        <v>16.8</v>
      </c>
      <c r="M26" s="143">
        <f t="shared" si="28"/>
        <v>26.299999999999997</v>
      </c>
      <c r="N26" s="144">
        <f t="shared" si="0"/>
        <v>85.899999999999991</v>
      </c>
      <c r="O26" s="143">
        <f>SUM(O9:O20)</f>
        <v>-10.199999999999998</v>
      </c>
      <c r="P26" s="143">
        <f>SUM(P9:P20)</f>
        <v>37.9</v>
      </c>
      <c r="Q26" s="143">
        <f>SUM(Q9:Q20)</f>
        <v>12.7</v>
      </c>
      <c r="R26" s="143">
        <f>SUM(R9:R20)</f>
        <v>32.099999999999994</v>
      </c>
      <c r="S26" s="144">
        <f t="shared" si="1"/>
        <v>72.5</v>
      </c>
      <c r="T26" s="143">
        <f>SUM(T9:T20)</f>
        <v>-9.6000000000000014</v>
      </c>
      <c r="U26" s="143">
        <f>SUM(U9:U20)</f>
        <v>30.999999999999993</v>
      </c>
      <c r="V26" s="143">
        <f>SUM(V9:V20)</f>
        <v>30.999999999999993</v>
      </c>
      <c r="W26" s="143">
        <f>SUM(W9:W20)</f>
        <v>48.200000000000017</v>
      </c>
      <c r="X26" s="144">
        <f t="shared" si="2"/>
        <v>100.6</v>
      </c>
      <c r="Y26" s="143">
        <f>SUM(Y9:Y20)</f>
        <v>-10.399999999999995</v>
      </c>
      <c r="Z26" s="143">
        <f>SUM(Z9:Z20)</f>
        <v>37.399999999999991</v>
      </c>
      <c r="AA26" s="143">
        <f>SUM(AA9:AA20)</f>
        <v>30.5</v>
      </c>
      <c r="AB26" s="143">
        <f>SUM(AB9:AB20)</f>
        <v>48.79999999999999</v>
      </c>
      <c r="AC26" s="144">
        <f t="shared" si="3"/>
        <v>106.29999999999998</v>
      </c>
      <c r="AD26" s="143">
        <f>SUM(AD9:AD20)</f>
        <v>-14.699999999999982</v>
      </c>
      <c r="AE26" s="143">
        <f>SUM(AE9:AE20)</f>
        <v>9.1999999999999922</v>
      </c>
      <c r="AF26" s="143">
        <f>SUM(AF9:AF20)</f>
        <v>48.900000000000006</v>
      </c>
      <c r="AG26" s="143">
        <f>SUM(AG9:AG20)</f>
        <v>55.500000000000007</v>
      </c>
      <c r="AH26" s="144">
        <f t="shared" si="4"/>
        <v>98.900000000000034</v>
      </c>
      <c r="AI26" s="143">
        <f>SUM(AI9:AI20)</f>
        <v>3.1000000000000014</v>
      </c>
      <c r="AJ26" s="143">
        <f>SUM(AJ9:AJ20)</f>
        <v>66.800000000000011</v>
      </c>
      <c r="AK26" s="143">
        <f>SUM(AK9:AK20)</f>
        <v>70.099999999999994</v>
      </c>
      <c r="AL26" s="143">
        <f>SUM(AL9:AL20)</f>
        <v>32.799999999999997</v>
      </c>
      <c r="AM26" s="144">
        <f t="shared" si="5"/>
        <v>172.8</v>
      </c>
      <c r="AN26" s="143">
        <f>SUM(AN9:AN20)</f>
        <v>2.9000000000000021</v>
      </c>
      <c r="AO26" s="143">
        <f>SUM(AO9:AO20)</f>
        <v>28.800000000000015</v>
      </c>
      <c r="AP26" s="143">
        <f>SUM(AP9:AP20)</f>
        <v>37.099999999999987</v>
      </c>
      <c r="AQ26" s="143">
        <f>SUM(AQ9:AQ20)</f>
        <v>57.700000000000017</v>
      </c>
      <c r="AR26" s="144">
        <f t="shared" si="6"/>
        <v>126.50000000000003</v>
      </c>
      <c r="AS26" s="143">
        <f>SUM(AS9:AS20)</f>
        <v>16.899999999999991</v>
      </c>
      <c r="AT26" s="143">
        <f>SUM(AT9:AT20)</f>
        <v>60.399999999999991</v>
      </c>
      <c r="AU26" s="143">
        <f>SUM(AU9:AU20)</f>
        <v>33.70000000000001</v>
      </c>
      <c r="AV26" s="143">
        <f>SUM(AV9:AV20)</f>
        <v>59.500000000000014</v>
      </c>
      <c r="AW26" s="144">
        <f t="shared" si="7"/>
        <v>170.5</v>
      </c>
      <c r="AX26" s="143">
        <f>SUM(AX9:AX20)</f>
        <v>22.199999999999989</v>
      </c>
      <c r="AY26" s="143">
        <f>SUM(AY9:AY20)</f>
        <v>51.600000000000009</v>
      </c>
      <c r="AZ26" s="143">
        <f>SUM(AZ9:AZ20)</f>
        <v>76.7</v>
      </c>
      <c r="BA26" s="143">
        <f>SUM(BA9:BA20)</f>
        <v>81.900000000000006</v>
      </c>
      <c r="BB26" s="144">
        <f t="shared" si="8"/>
        <v>232.4</v>
      </c>
      <c r="BC26" s="143">
        <f>SUM(BC9:BC20)</f>
        <v>33.200000000000003</v>
      </c>
      <c r="BD26" s="143">
        <f>SUM(BD9:BD20)</f>
        <v>75</v>
      </c>
      <c r="BE26" s="143">
        <f>SUM(BE9:BE20)</f>
        <v>87.700000000000017</v>
      </c>
      <c r="BF26" s="143">
        <f>SUM(BF9:BF20)</f>
        <v>76.999999999999986</v>
      </c>
      <c r="BG26" s="144">
        <f t="shared" si="9"/>
        <v>272.90000000000003</v>
      </c>
      <c r="BH26" s="143">
        <f>SUM(BH9:BH20)</f>
        <v>33.4</v>
      </c>
      <c r="BI26" s="143">
        <f>SUM(BI9:BI20)</f>
        <v>76.899999999999977</v>
      </c>
      <c r="BJ26" s="143">
        <f>SUM(BJ9:BJ20)</f>
        <v>81.500000000000028</v>
      </c>
      <c r="BK26" s="143">
        <f>SUM(BK9:BK20)</f>
        <v>126.20000000000002</v>
      </c>
      <c r="BL26" s="144">
        <f t="shared" si="21"/>
        <v>318</v>
      </c>
      <c r="BM26" s="143">
        <f>SUM(BM9:BM20)</f>
        <v>-14.599999999999994</v>
      </c>
      <c r="BN26" s="143">
        <f>SUM(BN9:BN20)</f>
        <v>64.80000000000004</v>
      </c>
      <c r="BO26" s="143">
        <f>SUM(BO9:BO20)</f>
        <v>114.1</v>
      </c>
      <c r="BP26" s="143">
        <f>SUM(BP9:BP20)</f>
        <v>136.69999999999999</v>
      </c>
      <c r="BQ26" s="144">
        <f t="shared" si="22"/>
        <v>301</v>
      </c>
      <c r="BR26" s="143">
        <f>SUM(BR9:BR20)</f>
        <v>10.299999999999983</v>
      </c>
      <c r="BS26" s="143">
        <f>SUM(BS9:BS20)</f>
        <v>124.6</v>
      </c>
      <c r="BT26" s="143">
        <f>SUM(BT9:BT20)</f>
        <v>151.89999999999998</v>
      </c>
      <c r="BU26" s="143">
        <f>SUM(BU9:BU20)</f>
        <v>114.60000000000001</v>
      </c>
      <c r="BV26" s="144">
        <f t="shared" si="23"/>
        <v>401.4</v>
      </c>
      <c r="BW26" s="143">
        <f>SUM(BW9:BW20)</f>
        <v>54.100000000000016</v>
      </c>
      <c r="BX26" s="143">
        <f>SUM(BX9:BX20)</f>
        <v>128.30000000000001</v>
      </c>
      <c r="BY26" s="143">
        <f>SUM(BY9:BY20)</f>
        <v>126.10000000000001</v>
      </c>
      <c r="BZ26" s="143">
        <f>SUM(BZ9:BZ20)</f>
        <v>120.19999999999999</v>
      </c>
      <c r="CA26" s="144">
        <f t="shared" si="24"/>
        <v>428.70000000000005</v>
      </c>
      <c r="CB26" s="143">
        <f>SUM(CB9:CB20)</f>
        <v>62.6</v>
      </c>
      <c r="CC26" s="143">
        <f>SUM(CC9:CC20)</f>
        <v>94.600000000000009</v>
      </c>
      <c r="CD26" s="143">
        <f>SUM(CD9:CD20)</f>
        <v>121.19999999999999</v>
      </c>
      <c r="CE26" s="143">
        <f>SUM(CE9:CE20)</f>
        <v>143.00000000000003</v>
      </c>
      <c r="CF26" s="144">
        <f t="shared" si="25"/>
        <v>421.4</v>
      </c>
      <c r="CG26" s="143">
        <f>SUM(CG9:CG20)</f>
        <v>45.90000000000002</v>
      </c>
      <c r="CH26" s="143">
        <f>SUM(CH9:CH20)</f>
        <v>111.29999999999998</v>
      </c>
      <c r="CI26" s="143">
        <f>SUM(CI9:CI20)</f>
        <v>120.10000000000001</v>
      </c>
      <c r="CJ26" s="143">
        <f>SUM(CJ9:CJ20)</f>
        <v>213.8</v>
      </c>
      <c r="CK26" s="144">
        <f t="shared" si="26"/>
        <v>491.1</v>
      </c>
      <c r="CL26" s="143">
        <f>SUM(CL9:CL20)</f>
        <v>8.6000000000000227</v>
      </c>
      <c r="CM26" s="154">
        <v>-25</v>
      </c>
      <c r="CN26" s="154">
        <v>50</v>
      </c>
      <c r="CO26" s="154">
        <v>150</v>
      </c>
      <c r="CP26" s="144">
        <f t="shared" si="27"/>
        <v>183.60000000000002</v>
      </c>
      <c r="CQ26" s="153">
        <v>300</v>
      </c>
      <c r="CR26" s="153">
        <v>360</v>
      </c>
      <c r="CS26" s="153">
        <v>415</v>
      </c>
      <c r="CT26" s="142"/>
    </row>
    <row r="27" spans="2:98">
      <c r="B27" s="1" t="s">
        <v>247</v>
      </c>
      <c r="C27" s="12">
        <f>'Data (2)'!C100</f>
        <v>-57.369</v>
      </c>
      <c r="D27" s="12">
        <f>'Data (2)'!D100</f>
        <v>-66.53</v>
      </c>
      <c r="E27" s="12">
        <f>'Data (2)'!E100</f>
        <v>-35.6</v>
      </c>
      <c r="F27" s="12">
        <f>'Data (2)'!F100</f>
        <v>-39.6</v>
      </c>
      <c r="G27" s="12">
        <f>'Data (2)'!G100</f>
        <v>-38.799999999999997</v>
      </c>
      <c r="H27" s="12">
        <f>'Data (2)'!H100</f>
        <v>-14.9</v>
      </c>
      <c r="I27" s="12">
        <f>'Data (2)'!I100</f>
        <v>-21.6</v>
      </c>
      <c r="J27" s="1">
        <f>'Data (2)'!J100</f>
        <v>-4.5</v>
      </c>
      <c r="K27" s="1">
        <f>'Data (2)'!K100-J27</f>
        <v>-7.3000000000000007</v>
      </c>
      <c r="L27" s="1">
        <f>'Data (2)'!L100-K27-J27</f>
        <v>-8.5</v>
      </c>
      <c r="M27" s="1">
        <f>'Data (2)'!M100-L27-K27-J27</f>
        <v>-17.8</v>
      </c>
      <c r="N27" s="12">
        <f t="shared" si="0"/>
        <v>-38.1</v>
      </c>
      <c r="O27" s="1">
        <f>'Data (2)'!O100</f>
        <v>-7.5</v>
      </c>
      <c r="P27" s="1">
        <f>'Data (2)'!P100-O27</f>
        <v>-9.1000000000000014</v>
      </c>
      <c r="Q27" s="1">
        <f>'Data (2)'!Q100-P27-O27</f>
        <v>-15.799999999999997</v>
      </c>
      <c r="R27" s="1">
        <f>'Data (2)'!R100-Q27-P27-O27</f>
        <v>-30.300000000000004</v>
      </c>
      <c r="S27" s="12">
        <f t="shared" si="1"/>
        <v>-62.7</v>
      </c>
      <c r="T27" s="1">
        <f>'Data (2)'!T100</f>
        <v>-24.2</v>
      </c>
      <c r="U27" s="1">
        <f>'Data (2)'!U100-T27</f>
        <v>-26.400000000000002</v>
      </c>
      <c r="V27" s="1">
        <f>'Data (2)'!V100-U27-T27</f>
        <v>-31.699999999999992</v>
      </c>
      <c r="W27" s="1">
        <f>'Data (2)'!W100-V27-U27-T27</f>
        <v>-37.900000000000006</v>
      </c>
      <c r="X27" s="12">
        <f t="shared" si="2"/>
        <v>-120.2</v>
      </c>
      <c r="Y27" s="1">
        <f>'Data (2)'!Y100</f>
        <v>-15.6</v>
      </c>
      <c r="Z27" s="1">
        <f>'Data (2)'!Z100-Y27</f>
        <v>-30.4</v>
      </c>
      <c r="AA27" s="1">
        <f>'Data (2)'!AA100-Z27-Y27</f>
        <v>-25.5</v>
      </c>
      <c r="AB27" s="1">
        <f>'Data (2)'!AB100-AA27-Z27-Y27</f>
        <v>-49.099999999999987</v>
      </c>
      <c r="AC27" s="12">
        <f t="shared" si="3"/>
        <v>-120.6</v>
      </c>
      <c r="AD27" s="1">
        <f>'Data (2)'!AD100</f>
        <v>-43.9</v>
      </c>
      <c r="AE27" s="1">
        <f>'Data (2)'!AE100-AD27</f>
        <v>-42.300000000000004</v>
      </c>
      <c r="AF27" s="1">
        <f>'Data (2)'!AF100-AE27-AD27</f>
        <v>-39.6</v>
      </c>
      <c r="AG27" s="1">
        <f>'Data (2)'!AG100-AF27-AE27-AD27</f>
        <v>-51.500000000000007</v>
      </c>
      <c r="AH27" s="12">
        <f t="shared" si="4"/>
        <v>-177.3</v>
      </c>
      <c r="AI27" s="1">
        <f>'Data (2)'!AI100</f>
        <v>-28.1</v>
      </c>
      <c r="AJ27" s="1">
        <f>'Data (2)'!AJ100-AI27</f>
        <v>-19.799999999999997</v>
      </c>
      <c r="AK27" s="1">
        <f>'Data (2)'!AK100-AJ27-AI27</f>
        <v>-34.199999999999996</v>
      </c>
      <c r="AL27" s="1">
        <f>'Data (2)'!AL100-AK27-AJ27-AI27</f>
        <v>-16.300000000000018</v>
      </c>
      <c r="AM27" s="12">
        <f t="shared" si="5"/>
        <v>-98.4</v>
      </c>
      <c r="AN27" s="1">
        <f>'Data (2)'!AN100</f>
        <v>-12.6</v>
      </c>
      <c r="AO27" s="1">
        <f>'Data (2)'!AO100-AN27</f>
        <v>-7.5000000000000018</v>
      </c>
      <c r="AP27" s="1">
        <f>'Data (2)'!AP100-AO27-AN27</f>
        <v>-11.099999999999996</v>
      </c>
      <c r="AQ27" s="1">
        <f>'Data (2)'!AQ100-AP27-AO27-AN27</f>
        <v>-17.600000000000001</v>
      </c>
      <c r="AR27" s="12">
        <f t="shared" si="6"/>
        <v>-48.8</v>
      </c>
      <c r="AS27" s="1">
        <f>'Data (2)'!AS100</f>
        <v>-35.9</v>
      </c>
      <c r="AT27" s="1">
        <f>'Data (2)'!AT100-AS27</f>
        <v>-31.9</v>
      </c>
      <c r="AU27" s="1">
        <f>'Data (2)'!AU100-AT27-AS27</f>
        <v>-31.699999999999996</v>
      </c>
      <c r="AV27" s="1">
        <f>'Data (2)'!AV100-AU27-AT27-AS27</f>
        <v>-58.500000000000007</v>
      </c>
      <c r="AW27" s="12">
        <f t="shared" si="7"/>
        <v>-158</v>
      </c>
      <c r="AX27" s="1">
        <f>'Data (2)'!AX100</f>
        <v>-82.9</v>
      </c>
      <c r="AY27" s="1">
        <f>'Data (2)'!AY100-AX27</f>
        <v>-61.5</v>
      </c>
      <c r="AZ27" s="1">
        <f>'Data (2)'!AZ100-AY27-AX27</f>
        <v>-64.5</v>
      </c>
      <c r="BA27" s="1">
        <f>'Data (2)'!BA100-AZ27-AY27-AX27</f>
        <v>-54.799999999999983</v>
      </c>
      <c r="BB27" s="12">
        <f t="shared" si="8"/>
        <v>-263.7</v>
      </c>
      <c r="BC27" s="1">
        <f>'Data (2)'!BC100</f>
        <v>-48.1</v>
      </c>
      <c r="BD27" s="1">
        <f>'Data (2)'!BD100-BC27</f>
        <v>-43.9</v>
      </c>
      <c r="BE27" s="1">
        <f>'Data (2)'!BE100-BD27-BC27</f>
        <v>-41.099999999999987</v>
      </c>
      <c r="BF27" s="1">
        <f>'Data (2)'!BF100-BE27-BD27-BC27</f>
        <v>-61.800000000000004</v>
      </c>
      <c r="BG27" s="12">
        <f t="shared" si="9"/>
        <v>-194.9</v>
      </c>
      <c r="BH27" s="1">
        <f>'Data (2)'!BH100</f>
        <v>-55</v>
      </c>
      <c r="BI27" s="1">
        <f>'Data (2)'!BI100-BH27</f>
        <v>-64.2</v>
      </c>
      <c r="BJ27" s="1">
        <f>'Data (2)'!BJ100-BI27-BH27</f>
        <v>-75.199999999999989</v>
      </c>
      <c r="BK27" s="1">
        <f>'Data (2)'!BK100-BJ27-BI27-BH27</f>
        <v>-65.700000000000031</v>
      </c>
      <c r="BL27" s="12">
        <f t="shared" si="21"/>
        <v>-260.10000000000002</v>
      </c>
      <c r="BM27" s="1">
        <f>'Data (2)'!BM100</f>
        <v>-95</v>
      </c>
      <c r="BN27" s="1">
        <f>'Data (2)'!BN100-BM27</f>
        <v>-71.300000000000011</v>
      </c>
      <c r="BO27" s="1">
        <f>'Data (2)'!BO100-BN27-BM27</f>
        <v>-83</v>
      </c>
      <c r="BP27" s="1">
        <f>'Data (2)'!BP100-BO27-BN27-BM27</f>
        <v>-56</v>
      </c>
      <c r="BQ27" s="12">
        <f t="shared" si="22"/>
        <v>-305.3</v>
      </c>
      <c r="BR27" s="1">
        <f>'Data (2)'!BR100</f>
        <v>-85.4</v>
      </c>
      <c r="BS27" s="1">
        <f>'Data (2)'!BS100-BR27</f>
        <v>-70.599999999999994</v>
      </c>
      <c r="BT27" s="1">
        <f>'Data (2)'!BT100-BS27-BR27</f>
        <v>-75.800000000000011</v>
      </c>
      <c r="BU27" s="1">
        <f>'Data (2)'!BU100-BT27-BS27-BR27</f>
        <v>-96.099999999999966</v>
      </c>
      <c r="BV27" s="12">
        <f t="shared" si="23"/>
        <v>-327.9</v>
      </c>
      <c r="BW27" s="1">
        <f>'Data (2)'!BW100</f>
        <v>-85.5</v>
      </c>
      <c r="BX27" s="1">
        <f>'Data (2)'!BX100-BW27</f>
        <v>-83.699999999999989</v>
      </c>
      <c r="BY27" s="1">
        <f>'Data (2)'!BY100-BX27-BW27</f>
        <v>-52.100000000000023</v>
      </c>
      <c r="BZ27" s="1">
        <f>'Data (2)'!BZ100-BY27-BX27-BW27</f>
        <v>-56.800000000000011</v>
      </c>
      <c r="CA27" s="12">
        <f t="shared" si="24"/>
        <v>-278.10000000000002</v>
      </c>
      <c r="CB27" s="1">
        <f>'Data (2)'!CB100</f>
        <v>-59.5</v>
      </c>
      <c r="CC27" s="1">
        <f>'Data (2)'!CC100-CB27</f>
        <v>-42.400000000000006</v>
      </c>
      <c r="CD27" s="1">
        <f>'Data (2)'!CD100-CC27-CB27</f>
        <v>-48.299999999999983</v>
      </c>
      <c r="CE27" s="1">
        <f>'Data (2)'!CE100-CD27-CC27-CB27</f>
        <v>-33.900000000000006</v>
      </c>
      <c r="CF27" s="12">
        <f t="shared" si="25"/>
        <v>-184.1</v>
      </c>
      <c r="CG27" s="1">
        <f>'Data (2)'!CG100</f>
        <v>-61.1</v>
      </c>
      <c r="CH27" s="1">
        <f>'Data (2)'!CH100-CG27</f>
        <v>-38.199999999999996</v>
      </c>
      <c r="CI27" s="1">
        <f>'Data (2)'!CI100-CH27-CG27</f>
        <v>-63.4</v>
      </c>
      <c r="CJ27" s="1">
        <f>'Data (2)'!CJ100-CI27-CH27-CG27</f>
        <v>-41.4</v>
      </c>
      <c r="CK27" s="12">
        <f t="shared" si="26"/>
        <v>-204.1</v>
      </c>
      <c r="CL27" s="1">
        <f>'Data (2)'!CL100</f>
        <v>-27.2</v>
      </c>
      <c r="CM27" s="141">
        <v>-10</v>
      </c>
      <c r="CN27" s="141">
        <v>-10</v>
      </c>
      <c r="CO27" s="141">
        <v>-15</v>
      </c>
      <c r="CP27" s="12">
        <f t="shared" si="27"/>
        <v>-62.2</v>
      </c>
      <c r="CQ27" s="138">
        <v>-100</v>
      </c>
      <c r="CR27" s="138">
        <v>-110</v>
      </c>
      <c r="CS27" s="138">
        <v>-140</v>
      </c>
      <c r="CT27" s="152"/>
    </row>
    <row r="28" spans="2:98">
      <c r="B28" s="1" t="s">
        <v>74</v>
      </c>
      <c r="C28" s="12">
        <f>'Data (2)'!C101</f>
        <v>0</v>
      </c>
      <c r="D28" s="12">
        <f>'Data (2)'!D101</f>
        <v>0</v>
      </c>
      <c r="E28" s="12">
        <f>'Data (2)'!E101</f>
        <v>0</v>
      </c>
      <c r="F28" s="12">
        <f>'Data (2)'!F101</f>
        <v>0</v>
      </c>
      <c r="G28" s="12">
        <f>'Data (2)'!G101</f>
        <v>0</v>
      </c>
      <c r="H28" s="12">
        <f>'Data (2)'!H101</f>
        <v>0</v>
      </c>
      <c r="I28" s="12">
        <f>'Data (2)'!I101</f>
        <v>0</v>
      </c>
      <c r="J28" s="1">
        <f>'Data (2)'!J101</f>
        <v>0</v>
      </c>
      <c r="K28" s="1">
        <f>'Data (2)'!K101-J28</f>
        <v>0</v>
      </c>
      <c r="L28" s="1">
        <f>'Data (2)'!L101-K28-J28</f>
        <v>0</v>
      </c>
      <c r="M28" s="1">
        <f>'Data (2)'!M101-L28-K28-J28</f>
        <v>0</v>
      </c>
      <c r="N28" s="12">
        <f t="shared" si="0"/>
        <v>0</v>
      </c>
      <c r="O28" s="1">
        <f>'Data (2)'!O101</f>
        <v>0</v>
      </c>
      <c r="P28" s="1">
        <f>'Data (2)'!P101-O28</f>
        <v>0</v>
      </c>
      <c r="Q28" s="1">
        <f>'Data (2)'!Q101-P28-O28</f>
        <v>0</v>
      </c>
      <c r="R28" s="1">
        <f>'Data (2)'!R101-Q28-P28-O28</f>
        <v>0</v>
      </c>
      <c r="S28" s="12">
        <f t="shared" si="1"/>
        <v>0</v>
      </c>
      <c r="T28" s="1">
        <f>'Data (2)'!T101</f>
        <v>0</v>
      </c>
      <c r="U28" s="1">
        <f>'Data (2)'!U101-T28</f>
        <v>0</v>
      </c>
      <c r="V28" s="1">
        <f>'Data (2)'!V101-U28-T28</f>
        <v>0</v>
      </c>
      <c r="W28" s="1">
        <f>'Data (2)'!W101-V28-U28-T28</f>
        <v>0</v>
      </c>
      <c r="X28" s="12">
        <f t="shared" si="2"/>
        <v>0</v>
      </c>
      <c r="Y28" s="1">
        <f>'Data (2)'!Y101</f>
        <v>0</v>
      </c>
      <c r="Z28" s="1">
        <f>'Data (2)'!Z101-Y28</f>
        <v>0</v>
      </c>
      <c r="AA28" s="1">
        <f>'Data (2)'!AA101-Z28-Y28</f>
        <v>0</v>
      </c>
      <c r="AB28" s="1">
        <f>'Data (2)'!AB101-AA28-Z28-Y28</f>
        <v>1.2</v>
      </c>
      <c r="AC28" s="12">
        <f t="shared" si="3"/>
        <v>1.2</v>
      </c>
      <c r="AD28" s="1">
        <f>'Data (2)'!AD101</f>
        <v>0</v>
      </c>
      <c r="AE28" s="1">
        <f>'Data (2)'!AE101-AD28</f>
        <v>0</v>
      </c>
      <c r="AF28" s="1">
        <f>'Data (2)'!AF101-AE28-AD28</f>
        <v>0</v>
      </c>
      <c r="AG28" s="1">
        <f>'Data (2)'!AG101-AF28-AE28-AD28</f>
        <v>0</v>
      </c>
      <c r="AH28" s="12">
        <f t="shared" si="4"/>
        <v>0</v>
      </c>
      <c r="AI28" s="1">
        <f>'Data (2)'!AI101</f>
        <v>0</v>
      </c>
      <c r="AJ28" s="1">
        <f>'Data (2)'!AJ101-AI28</f>
        <v>0</v>
      </c>
      <c r="AK28" s="1">
        <f>'Data (2)'!AK101-AJ28-AI28</f>
        <v>0</v>
      </c>
      <c r="AL28" s="1">
        <f>'Data (2)'!AL101-AK28-AJ28-AI28</f>
        <v>0</v>
      </c>
      <c r="AM28" s="12">
        <f t="shared" si="5"/>
        <v>0</v>
      </c>
      <c r="AN28" s="1">
        <f>'Data (2)'!AN101</f>
        <v>0</v>
      </c>
      <c r="AO28" s="1">
        <f>'Data (2)'!AO101-AN28</f>
        <v>0</v>
      </c>
      <c r="AP28" s="1">
        <f>'Data (2)'!AP101-AO28-AN28</f>
        <v>0</v>
      </c>
      <c r="AQ28" s="1">
        <f>'Data (2)'!AQ101-AP28-AO28-AN28</f>
        <v>0</v>
      </c>
      <c r="AR28" s="12">
        <f t="shared" si="6"/>
        <v>0</v>
      </c>
      <c r="AS28" s="1">
        <f>'Data (2)'!AS101</f>
        <v>0</v>
      </c>
      <c r="AT28" s="1">
        <f>'Data (2)'!AT101-AS28</f>
        <v>0</v>
      </c>
      <c r="AU28" s="1">
        <f>'Data (2)'!AU101-AT28-AS28</f>
        <v>0</v>
      </c>
      <c r="AV28" s="1">
        <f>'Data (2)'!AV101-AU28-AT28-AS28</f>
        <v>0</v>
      </c>
      <c r="AW28" s="12">
        <f t="shared" si="7"/>
        <v>0</v>
      </c>
      <c r="AX28" s="1">
        <f>'Data (2)'!AX101</f>
        <v>0</v>
      </c>
      <c r="AY28" s="1">
        <f>'Data (2)'!AY101-AX28</f>
        <v>0</v>
      </c>
      <c r="AZ28" s="1">
        <f>'Data (2)'!AZ101-AY28-AX28</f>
        <v>0</v>
      </c>
      <c r="BA28" s="1">
        <f>'Data (2)'!BA101-AZ28-AY28-AX28</f>
        <v>0</v>
      </c>
      <c r="BB28" s="12">
        <f t="shared" si="8"/>
        <v>0</v>
      </c>
      <c r="BC28" s="1">
        <f>'Data (2)'!BC101</f>
        <v>0</v>
      </c>
      <c r="BD28" s="1">
        <f>'Data (2)'!BD101-BC28</f>
        <v>0</v>
      </c>
      <c r="BE28" s="1">
        <f>'Data (2)'!BE101-BD28-BC28</f>
        <v>0</v>
      </c>
      <c r="BF28" s="1">
        <f>'Data (2)'!BF101-BE28-BD28-BC28</f>
        <v>0</v>
      </c>
      <c r="BG28" s="12">
        <f t="shared" si="9"/>
        <v>0</v>
      </c>
      <c r="BH28" s="1">
        <f>'Data (2)'!BH101</f>
        <v>0</v>
      </c>
      <c r="BI28" s="1">
        <f>'Data (2)'!BI101-BH28</f>
        <v>0</v>
      </c>
      <c r="BJ28" s="1">
        <f>'Data (2)'!BJ101-BI28-BH28</f>
        <v>0</v>
      </c>
      <c r="BK28" s="1">
        <f>'Data (2)'!BK101-BJ28-BI28-BH28</f>
        <v>0</v>
      </c>
      <c r="BL28" s="12">
        <f t="shared" si="21"/>
        <v>0</v>
      </c>
      <c r="BM28" s="1">
        <f>'Data (2)'!BM101</f>
        <v>0</v>
      </c>
      <c r="BN28" s="1">
        <f>'Data (2)'!BN101-BM28</f>
        <v>0</v>
      </c>
      <c r="BO28" s="1">
        <f>'Data (2)'!BO101-BN28-BM28</f>
        <v>0</v>
      </c>
      <c r="BP28" s="1">
        <f>'Data (2)'!BP101-BO28-BN28-BM28</f>
        <v>0</v>
      </c>
      <c r="BQ28" s="12">
        <f t="shared" si="22"/>
        <v>0</v>
      </c>
      <c r="BR28" s="1">
        <f>'Data (2)'!BR101</f>
        <v>0</v>
      </c>
      <c r="BS28" s="1">
        <f>'Data (2)'!BS101-BR28</f>
        <v>0</v>
      </c>
      <c r="BT28" s="1">
        <f>'Data (2)'!BT101-BS28-BR28</f>
        <v>0</v>
      </c>
      <c r="BU28" s="1">
        <f>'Data (2)'!BU101-BT28-BS28-BR28</f>
        <v>0</v>
      </c>
      <c r="BV28" s="12">
        <f t="shared" si="23"/>
        <v>0</v>
      </c>
      <c r="BW28" s="1">
        <f>'Data (2)'!BW101</f>
        <v>0</v>
      </c>
      <c r="BX28" s="1">
        <f>'Data (2)'!BX101-BW28</f>
        <v>0</v>
      </c>
      <c r="BY28" s="1">
        <f>'Data (2)'!BY101-BX28-BW28</f>
        <v>0</v>
      </c>
      <c r="BZ28" s="1">
        <f>'Data (2)'!BZ101-BY28-BX28-BW28</f>
        <v>0</v>
      </c>
      <c r="CA28" s="12">
        <f t="shared" si="24"/>
        <v>0</v>
      </c>
      <c r="CB28" s="1">
        <f>'Data (2)'!CB101</f>
        <v>0</v>
      </c>
      <c r="CC28" s="1">
        <f>'Data (2)'!CC101-CB28</f>
        <v>0</v>
      </c>
      <c r="CD28" s="1">
        <f>'Data (2)'!CD101-CC28-CB28</f>
        <v>0</v>
      </c>
      <c r="CE28" s="1">
        <f>'Data (2)'!CE101-CD28-CC28-CB28</f>
        <v>0</v>
      </c>
      <c r="CF28" s="12">
        <f t="shared" si="25"/>
        <v>0</v>
      </c>
      <c r="CG28" s="1">
        <f>'Data (2)'!CG101</f>
        <v>0</v>
      </c>
      <c r="CH28" s="1">
        <f>'Data (2)'!CH101-CG28</f>
        <v>0</v>
      </c>
      <c r="CI28" s="1">
        <f>'Data (2)'!CI101-CH28-CG28</f>
        <v>0</v>
      </c>
      <c r="CJ28" s="1">
        <f>'Data (2)'!CJ101-CI28-CH28-CG28</f>
        <v>0</v>
      </c>
      <c r="CK28" s="12">
        <f t="shared" si="26"/>
        <v>0</v>
      </c>
      <c r="CL28" s="1">
        <f>'Data (2)'!CL101</f>
        <v>0</v>
      </c>
      <c r="CM28" s="141">
        <v>0</v>
      </c>
      <c r="CN28" s="141">
        <v>0</v>
      </c>
      <c r="CO28" s="141">
        <v>0</v>
      </c>
      <c r="CP28" s="12">
        <f t="shared" si="27"/>
        <v>0</v>
      </c>
      <c r="CQ28" s="138">
        <v>0</v>
      </c>
      <c r="CR28" s="138">
        <v>0</v>
      </c>
      <c r="CS28" s="138">
        <v>0</v>
      </c>
    </row>
    <row r="29" spans="2:98">
      <c r="B29" s="1" t="s">
        <v>248</v>
      </c>
      <c r="C29" s="12">
        <f>'Data (2)'!C102</f>
        <v>13.5</v>
      </c>
      <c r="D29" s="12">
        <f>'Data (2)'!D102</f>
        <v>0</v>
      </c>
      <c r="E29" s="12">
        <f>'Data (2)'!E102</f>
        <v>0</v>
      </c>
      <c r="F29" s="12">
        <f>'Data (2)'!F102</f>
        <v>0</v>
      </c>
      <c r="G29" s="12">
        <f>'Data (2)'!G102</f>
        <v>0</v>
      </c>
      <c r="H29" s="12">
        <f>'Data (2)'!H102</f>
        <v>10</v>
      </c>
      <c r="I29" s="12">
        <f>'Data (2)'!I102</f>
        <v>23</v>
      </c>
      <c r="J29" s="1">
        <f>'Data (2)'!J102</f>
        <v>0</v>
      </c>
      <c r="K29" s="1">
        <f>'Data (2)'!K102-J29</f>
        <v>0</v>
      </c>
      <c r="L29" s="1">
        <f>'Data (2)'!L102-K29-J29</f>
        <v>0</v>
      </c>
      <c r="M29" s="1">
        <f>'Data (2)'!M102-L29-K29-J29</f>
        <v>0</v>
      </c>
      <c r="N29" s="12">
        <f t="shared" si="0"/>
        <v>0</v>
      </c>
      <c r="O29" s="1">
        <f>'Data (2)'!O102</f>
        <v>0</v>
      </c>
      <c r="P29" s="1">
        <f>'Data (2)'!P102-O29</f>
        <v>0</v>
      </c>
      <c r="Q29" s="1">
        <f>'Data (2)'!Q102-P29-O29</f>
        <v>0</v>
      </c>
      <c r="R29" s="1">
        <f>'Data (2)'!R102-Q29-P29-O29</f>
        <v>0</v>
      </c>
      <c r="S29" s="12">
        <f t="shared" si="1"/>
        <v>0</v>
      </c>
      <c r="T29" s="1">
        <f>'Data (2)'!T102</f>
        <v>0</v>
      </c>
      <c r="U29" s="1">
        <f>'Data (2)'!U102-T29</f>
        <v>0</v>
      </c>
      <c r="V29" s="1">
        <f>'Data (2)'!V102-U29-T29</f>
        <v>0</v>
      </c>
      <c r="W29" s="1">
        <f>'Data (2)'!W102-V29-U29-T29</f>
        <v>22</v>
      </c>
      <c r="X29" s="12">
        <f t="shared" si="2"/>
        <v>22</v>
      </c>
      <c r="Y29" s="1">
        <f>'Data (2)'!Y102</f>
        <v>0</v>
      </c>
      <c r="Z29" s="1">
        <f>'Data (2)'!Z102-Y29</f>
        <v>0</v>
      </c>
      <c r="AA29" s="1">
        <f>'Data (2)'!AA102-Z29-Y29</f>
        <v>0</v>
      </c>
      <c r="AB29" s="1">
        <f>'Data (2)'!AB102-AA29-Z29-Y29</f>
        <v>0</v>
      </c>
      <c r="AC29" s="12">
        <f t="shared" si="3"/>
        <v>0</v>
      </c>
      <c r="AD29" s="1">
        <f>'Data (2)'!AD102</f>
        <v>0</v>
      </c>
      <c r="AE29" s="1">
        <f>'Data (2)'!AE102-AD29</f>
        <v>0</v>
      </c>
      <c r="AF29" s="1">
        <f>'Data (2)'!AF102-AE29-AD29</f>
        <v>22.3</v>
      </c>
      <c r="AG29" s="1">
        <f>'Data (2)'!AG102-AF29-AE29-AD29</f>
        <v>0</v>
      </c>
      <c r="AH29" s="12">
        <f t="shared" si="4"/>
        <v>22.3</v>
      </c>
      <c r="AI29" s="1">
        <f>'Data (2)'!AI102</f>
        <v>0</v>
      </c>
      <c r="AJ29" s="1">
        <f>'Data (2)'!AJ102-AI29</f>
        <v>0</v>
      </c>
      <c r="AK29" s="1">
        <f>'Data (2)'!AK102-AJ29-AI29</f>
        <v>0</v>
      </c>
      <c r="AL29" s="1">
        <f>'Data (2)'!AL102-AK29-AJ29-AI29</f>
        <v>0</v>
      </c>
      <c r="AM29" s="12">
        <f t="shared" si="5"/>
        <v>0</v>
      </c>
      <c r="AN29" s="1">
        <f>'Data (2)'!AN102</f>
        <v>0</v>
      </c>
      <c r="AO29" s="1">
        <f>'Data (2)'!AO102-AN29</f>
        <v>0</v>
      </c>
      <c r="AP29" s="1">
        <f>'Data (2)'!AP102-AO29-AN29</f>
        <v>0</v>
      </c>
      <c r="AQ29" s="1">
        <f>'Data (2)'!AQ102-AP29-AO29-AN29</f>
        <v>0</v>
      </c>
      <c r="AR29" s="12">
        <f t="shared" si="6"/>
        <v>0</v>
      </c>
      <c r="AS29" s="1">
        <f>'Data (2)'!AS102</f>
        <v>0</v>
      </c>
      <c r="AT29" s="1">
        <f>'Data (2)'!AT102-AS29</f>
        <v>0</v>
      </c>
      <c r="AU29" s="1">
        <f>'Data (2)'!AU102-AT29-AS29</f>
        <v>0</v>
      </c>
      <c r="AV29" s="1">
        <f>'Data (2)'!AV102-AU29-AT29-AS29</f>
        <v>0</v>
      </c>
      <c r="AW29" s="12">
        <f t="shared" si="7"/>
        <v>0</v>
      </c>
      <c r="AX29" s="1">
        <f>'Data (2)'!AX102</f>
        <v>0</v>
      </c>
      <c r="AY29" s="1">
        <f>'Data (2)'!AY102-AX29</f>
        <v>0</v>
      </c>
      <c r="AZ29" s="1">
        <f>'Data (2)'!AZ102-AY29-AX29</f>
        <v>0</v>
      </c>
      <c r="BA29" s="1">
        <f>'Data (2)'!BA102-AZ29-AY29-AX29</f>
        <v>0</v>
      </c>
      <c r="BB29" s="12">
        <f t="shared" si="8"/>
        <v>0</v>
      </c>
      <c r="BC29" s="1">
        <f>'Data (2)'!BC102</f>
        <v>0</v>
      </c>
      <c r="BD29" s="1">
        <f>'Data (2)'!BD102-BC29</f>
        <v>0</v>
      </c>
      <c r="BE29" s="1">
        <f>'Data (2)'!BE102-BD29-BC29</f>
        <v>0</v>
      </c>
      <c r="BF29" s="1">
        <f>'Data (2)'!BF102-BE29-BD29-BC29</f>
        <v>0</v>
      </c>
      <c r="BG29" s="12">
        <f t="shared" si="9"/>
        <v>0</v>
      </c>
      <c r="BH29" s="1">
        <f>'Data (2)'!BH102</f>
        <v>0</v>
      </c>
      <c r="BI29" s="1">
        <f>'Data (2)'!BI102-BH29</f>
        <v>0</v>
      </c>
      <c r="BJ29" s="1">
        <f>'Data (2)'!BJ102-BI29-BH29</f>
        <v>0</v>
      </c>
      <c r="BK29" s="1">
        <f>'Data (2)'!BK102-BJ29-BI29-BH29</f>
        <v>0</v>
      </c>
      <c r="BL29" s="12">
        <f t="shared" si="21"/>
        <v>0</v>
      </c>
      <c r="BM29" s="1">
        <f>'Data (2)'!BM102</f>
        <v>0</v>
      </c>
      <c r="BN29" s="1">
        <f>'Data (2)'!BN102-BM29</f>
        <v>0</v>
      </c>
      <c r="BO29" s="1">
        <f>'Data (2)'!BO102-BN29-BM29</f>
        <v>0</v>
      </c>
      <c r="BP29" s="1">
        <f>'Data (2)'!BP102-BO29-BN29-BM29</f>
        <v>0</v>
      </c>
      <c r="BQ29" s="12">
        <f t="shared" si="22"/>
        <v>0</v>
      </c>
      <c r="BR29" s="1">
        <f>'Data (2)'!BR102</f>
        <v>0</v>
      </c>
      <c r="BS29" s="1">
        <f>'Data (2)'!BS102-BR29</f>
        <v>0</v>
      </c>
      <c r="BT29" s="1">
        <f>'Data (2)'!BT102-BS29-BR29</f>
        <v>0</v>
      </c>
      <c r="BU29" s="1">
        <f>'Data (2)'!BU102-BT29-BS29-BR29</f>
        <v>0</v>
      </c>
      <c r="BV29" s="12">
        <f t="shared" si="23"/>
        <v>0</v>
      </c>
      <c r="BW29" s="1">
        <f>'Data (2)'!BW102</f>
        <v>0</v>
      </c>
      <c r="BX29" s="1">
        <f>'Data (2)'!BX102-BW29</f>
        <v>0</v>
      </c>
      <c r="BY29" s="1">
        <f>'Data (2)'!BY102-BX29-BW29</f>
        <v>0</v>
      </c>
      <c r="BZ29" s="1">
        <f>'Data (2)'!BZ102-BY29-BX29-BW29</f>
        <v>0</v>
      </c>
      <c r="CA29" s="12">
        <f t="shared" si="24"/>
        <v>0</v>
      </c>
      <c r="CB29" s="1">
        <f>'Data (2)'!CB102</f>
        <v>0</v>
      </c>
      <c r="CC29" s="1">
        <f>'Data (2)'!CC102-CB29</f>
        <v>0</v>
      </c>
      <c r="CD29" s="1">
        <f>'Data (2)'!CD102-CC29-CB29</f>
        <v>0</v>
      </c>
      <c r="CE29" s="1">
        <f>'Data (2)'!CE102-CD29-CC29-CB29</f>
        <v>0</v>
      </c>
      <c r="CF29" s="12">
        <f t="shared" si="25"/>
        <v>0</v>
      </c>
      <c r="CG29" s="1">
        <f>'Data (2)'!CG102</f>
        <v>0</v>
      </c>
      <c r="CH29" s="1">
        <f>'Data (2)'!CH102-CG29</f>
        <v>0</v>
      </c>
      <c r="CI29" s="1">
        <f>'Data (2)'!CI102-CH29-CG29</f>
        <v>0</v>
      </c>
      <c r="CJ29" s="1">
        <f>'Data (2)'!CJ102-CI29-CH29-CG29</f>
        <v>0</v>
      </c>
      <c r="CK29" s="12">
        <f t="shared" si="26"/>
        <v>0</v>
      </c>
      <c r="CL29" s="1">
        <f>'Data (2)'!CL102</f>
        <v>0</v>
      </c>
      <c r="CM29" s="141">
        <v>0</v>
      </c>
      <c r="CN29" s="141">
        <v>0</v>
      </c>
      <c r="CO29" s="141">
        <v>0</v>
      </c>
      <c r="CP29" s="12">
        <f t="shared" si="27"/>
        <v>0</v>
      </c>
      <c r="CQ29" s="138">
        <v>0</v>
      </c>
      <c r="CR29" s="138">
        <v>0</v>
      </c>
      <c r="CS29" s="138">
        <v>0</v>
      </c>
    </row>
    <row r="30" spans="2:98">
      <c r="B30" s="1" t="s">
        <v>106</v>
      </c>
      <c r="C30" s="12">
        <f>'Data (2)'!C103</f>
        <v>0</v>
      </c>
      <c r="D30" s="12">
        <f>'Data (2)'!D103</f>
        <v>0</v>
      </c>
      <c r="E30" s="12">
        <f>'Data (2)'!E103</f>
        <v>0</v>
      </c>
      <c r="F30" s="12">
        <f>'Data (2)'!F103</f>
        <v>3.4</v>
      </c>
      <c r="G30" s="12">
        <f>'Data (2)'!G103</f>
        <v>0.8</v>
      </c>
      <c r="H30" s="12">
        <f>'Data (2)'!H103</f>
        <v>1.5</v>
      </c>
      <c r="I30" s="12">
        <f>'Data (2)'!I103</f>
        <v>5.7</v>
      </c>
      <c r="J30" s="1">
        <f>'Data (2)'!J103</f>
        <v>0</v>
      </c>
      <c r="K30" s="1">
        <f>'Data (2)'!K103-J30</f>
        <v>6.5</v>
      </c>
      <c r="L30" s="1">
        <f>'Data (2)'!L103-K30-J30</f>
        <v>0</v>
      </c>
      <c r="M30" s="1">
        <f>'Data (2)'!M103-L30-K30-J30</f>
        <v>0</v>
      </c>
      <c r="N30" s="12">
        <f t="shared" si="0"/>
        <v>6.5</v>
      </c>
      <c r="O30" s="1">
        <f>'Data (2)'!O103</f>
        <v>0</v>
      </c>
      <c r="P30" s="1">
        <f>'Data (2)'!P103-O30</f>
        <v>1.4</v>
      </c>
      <c r="Q30" s="1">
        <f>'Data (2)'!Q103-P30-O30</f>
        <v>0</v>
      </c>
      <c r="R30" s="1">
        <f>'Data (2)'!R103-Q30-P30-O30</f>
        <v>0</v>
      </c>
      <c r="S30" s="12">
        <f t="shared" si="1"/>
        <v>1.4</v>
      </c>
      <c r="T30" s="1">
        <f>'Data (2)'!T103</f>
        <v>0</v>
      </c>
      <c r="U30" s="1">
        <f>'Data (2)'!U103-T30</f>
        <v>0</v>
      </c>
      <c r="V30" s="1">
        <f>'Data (2)'!V103-U30-T30</f>
        <v>0</v>
      </c>
      <c r="W30" s="1">
        <f>'Data (2)'!W103-V30-U30-T30</f>
        <v>0</v>
      </c>
      <c r="X30" s="12">
        <f t="shared" si="2"/>
        <v>0</v>
      </c>
      <c r="Y30" s="1">
        <f>'Data (2)'!Y103</f>
        <v>0</v>
      </c>
      <c r="Z30" s="1">
        <f>'Data (2)'!Z103-Y30</f>
        <v>0</v>
      </c>
      <c r="AA30" s="1">
        <f>'Data (2)'!AA103-Z30-Y30</f>
        <v>0</v>
      </c>
      <c r="AB30" s="1">
        <f>'Data (2)'!AB103-AA30-Z30-Y30</f>
        <v>0</v>
      </c>
      <c r="AC30" s="12">
        <f t="shared" si="3"/>
        <v>0</v>
      </c>
      <c r="AD30" s="1">
        <f>'Data (2)'!AD103</f>
        <v>0</v>
      </c>
      <c r="AE30" s="1">
        <f>'Data (2)'!AE103-AD30</f>
        <v>0</v>
      </c>
      <c r="AF30" s="1">
        <f>'Data (2)'!AF103-AE30-AD30</f>
        <v>0</v>
      </c>
      <c r="AG30" s="1">
        <f>'Data (2)'!AG103-AF30-AE30-AD30</f>
        <v>0</v>
      </c>
      <c r="AH30" s="12">
        <f t="shared" si="4"/>
        <v>0</v>
      </c>
      <c r="AI30" s="1">
        <f>'Data (2)'!AI103</f>
        <v>0</v>
      </c>
      <c r="AJ30" s="1">
        <f>'Data (2)'!AJ103-AI30</f>
        <v>0</v>
      </c>
      <c r="AK30" s="1">
        <f>'Data (2)'!AK103-AJ30-AI30</f>
        <v>0</v>
      </c>
      <c r="AL30" s="1">
        <f>'Data (2)'!AL103-AK30-AJ30-AI30</f>
        <v>0</v>
      </c>
      <c r="AM30" s="12">
        <f t="shared" si="5"/>
        <v>0</v>
      </c>
      <c r="AN30" s="1">
        <f>'Data (2)'!AN103</f>
        <v>0</v>
      </c>
      <c r="AO30" s="1">
        <f>'Data (2)'!AO103-AN30</f>
        <v>0</v>
      </c>
      <c r="AP30" s="1">
        <f>'Data (2)'!AP103-AO30-AN30</f>
        <v>0</v>
      </c>
      <c r="AQ30" s="1">
        <f>'Data (2)'!AQ103-AP30-AO30-AN30</f>
        <v>0</v>
      </c>
      <c r="AR30" s="12">
        <f t="shared" si="6"/>
        <v>0</v>
      </c>
      <c r="AS30" s="1">
        <f>'Data (2)'!AS103</f>
        <v>0</v>
      </c>
      <c r="AT30" s="1">
        <f>'Data (2)'!AT103-AS30</f>
        <v>0</v>
      </c>
      <c r="AU30" s="1">
        <f>'Data (2)'!AU103-AT30-AS30</f>
        <v>0</v>
      </c>
      <c r="AV30" s="1">
        <f>'Data (2)'!AV103-AU30-AT30-AS30</f>
        <v>0</v>
      </c>
      <c r="AW30" s="12">
        <f t="shared" si="7"/>
        <v>0</v>
      </c>
      <c r="AX30" s="1">
        <f>'Data (2)'!AX103</f>
        <v>0</v>
      </c>
      <c r="AY30" s="1">
        <f>'Data (2)'!AY103-AX30</f>
        <v>0</v>
      </c>
      <c r="AZ30" s="1">
        <f>'Data (2)'!AZ103-AY30-AX30</f>
        <v>0</v>
      </c>
      <c r="BA30" s="1">
        <f>'Data (2)'!BA103-AZ30-AY30-AX30</f>
        <v>0</v>
      </c>
      <c r="BB30" s="12">
        <f t="shared" si="8"/>
        <v>0</v>
      </c>
      <c r="BC30" s="1">
        <f>'Data (2)'!BC103</f>
        <v>0</v>
      </c>
      <c r="BD30" s="1">
        <f>'Data (2)'!BD103-BC30</f>
        <v>0</v>
      </c>
      <c r="BE30" s="1">
        <f>'Data (2)'!BE103-BD30-BC30</f>
        <v>0</v>
      </c>
      <c r="BF30" s="1">
        <f>'Data (2)'!BF103-BE30-BD30-BC30</f>
        <v>0</v>
      </c>
      <c r="BG30" s="12">
        <f t="shared" si="9"/>
        <v>0</v>
      </c>
      <c r="BH30" s="1">
        <f>'Data (2)'!BH103</f>
        <v>0</v>
      </c>
      <c r="BI30" s="1">
        <f>'Data (2)'!BI103-BH30</f>
        <v>0</v>
      </c>
      <c r="BJ30" s="1">
        <f>'Data (2)'!BJ103-BI30-BH30</f>
        <v>0</v>
      </c>
      <c r="BK30" s="1">
        <f>'Data (2)'!BK103-BJ30-BI30-BH30</f>
        <v>0</v>
      </c>
      <c r="BL30" s="12">
        <f t="shared" si="21"/>
        <v>0</v>
      </c>
      <c r="BM30" s="1">
        <f>'Data (2)'!BM103</f>
        <v>0</v>
      </c>
      <c r="BN30" s="1">
        <f>'Data (2)'!BN103-BM30</f>
        <v>0</v>
      </c>
      <c r="BO30" s="1">
        <f>'Data (2)'!BO103-BN30-BM30</f>
        <v>0</v>
      </c>
      <c r="BP30" s="1">
        <f>'Data (2)'!BP103-BO30-BN30-BM30</f>
        <v>0</v>
      </c>
      <c r="BQ30" s="12">
        <f t="shared" si="22"/>
        <v>0</v>
      </c>
      <c r="BR30" s="1">
        <f>'Data (2)'!BR103</f>
        <v>0</v>
      </c>
      <c r="BS30" s="1">
        <f>'Data (2)'!BS103-BR30</f>
        <v>0</v>
      </c>
      <c r="BT30" s="1">
        <f>'Data (2)'!BT103-BS30-BR30</f>
        <v>0</v>
      </c>
      <c r="BU30" s="1">
        <f>'Data (2)'!BU103-BT30-BS30-BR30</f>
        <v>0</v>
      </c>
      <c r="BV30" s="12">
        <f t="shared" si="23"/>
        <v>0</v>
      </c>
      <c r="BW30" s="1">
        <f>'Data (2)'!BW103</f>
        <v>0</v>
      </c>
      <c r="BX30" s="1">
        <f>'Data (2)'!BX103-BW30</f>
        <v>0</v>
      </c>
      <c r="BY30" s="1">
        <f>'Data (2)'!BY103-BX30-BW30</f>
        <v>0</v>
      </c>
      <c r="BZ30" s="1">
        <f>'Data (2)'!BZ103-BY30-BX30-BW30</f>
        <v>0</v>
      </c>
      <c r="CA30" s="12">
        <f t="shared" si="24"/>
        <v>0</v>
      </c>
      <c r="CB30" s="1">
        <f>'Data (2)'!CB103</f>
        <v>0</v>
      </c>
      <c r="CC30" s="1">
        <f>'Data (2)'!CC103-CB30</f>
        <v>0</v>
      </c>
      <c r="CD30" s="1">
        <f>'Data (2)'!CD103-CC30-CB30</f>
        <v>0</v>
      </c>
      <c r="CE30" s="1">
        <f>'Data (2)'!CE103-CD30-CC30-CB30</f>
        <v>0</v>
      </c>
      <c r="CF30" s="12">
        <f t="shared" si="25"/>
        <v>0</v>
      </c>
      <c r="CG30" s="1">
        <f>'Data (2)'!CG103</f>
        <v>0</v>
      </c>
      <c r="CH30" s="1">
        <f>'Data (2)'!CH103-CG30</f>
        <v>0</v>
      </c>
      <c r="CI30" s="1">
        <f>'Data (2)'!CI103-CH30-CG30</f>
        <v>0</v>
      </c>
      <c r="CJ30" s="1">
        <f>'Data (2)'!CJ103-CI30-CH30-CG30</f>
        <v>0</v>
      </c>
      <c r="CK30" s="12">
        <f t="shared" si="26"/>
        <v>0</v>
      </c>
      <c r="CL30" s="1">
        <f>'Data (2)'!CL103</f>
        <v>0</v>
      </c>
      <c r="CM30" s="141">
        <v>0</v>
      </c>
      <c r="CN30" s="141">
        <v>0</v>
      </c>
      <c r="CO30" s="141">
        <v>0</v>
      </c>
      <c r="CP30" s="12">
        <f t="shared" si="27"/>
        <v>0</v>
      </c>
      <c r="CQ30" s="138">
        <v>0</v>
      </c>
      <c r="CR30" s="138">
        <v>0</v>
      </c>
      <c r="CS30" s="138">
        <v>0</v>
      </c>
    </row>
    <row r="31" spans="2:98">
      <c r="B31" s="1" t="s">
        <v>75</v>
      </c>
      <c r="C31" s="12">
        <f>'Data (2)'!C104</f>
        <v>0</v>
      </c>
      <c r="D31" s="12">
        <f>'Data (2)'!D104</f>
        <v>0</v>
      </c>
      <c r="E31" s="12">
        <f>'Data (2)'!E104</f>
        <v>0</v>
      </c>
      <c r="F31" s="12">
        <f>'Data (2)'!F104</f>
        <v>113.3</v>
      </c>
      <c r="G31" s="12">
        <f>'Data (2)'!G104</f>
        <v>0</v>
      </c>
      <c r="H31" s="12">
        <f>'Data (2)'!H104</f>
        <v>0</v>
      </c>
      <c r="I31" s="12">
        <f>'Data (2)'!I104</f>
        <v>0</v>
      </c>
      <c r="J31" s="1">
        <f>'Data (2)'!J104</f>
        <v>0</v>
      </c>
      <c r="K31" s="1">
        <f>'Data (2)'!K104-J31</f>
        <v>0</v>
      </c>
      <c r="L31" s="1">
        <f>'Data (2)'!L104-K31-J31</f>
        <v>0</v>
      </c>
      <c r="M31" s="1">
        <f>'Data (2)'!M104-L31-K31-J31</f>
        <v>0</v>
      </c>
      <c r="N31" s="12">
        <f t="shared" si="0"/>
        <v>0</v>
      </c>
      <c r="O31" s="1">
        <f>'Data (2)'!O104</f>
        <v>0</v>
      </c>
      <c r="P31" s="1">
        <f>'Data (2)'!P104-O31</f>
        <v>0</v>
      </c>
      <c r="Q31" s="1">
        <f>'Data (2)'!Q104-P31-O31</f>
        <v>0</v>
      </c>
      <c r="R31" s="1">
        <f>'Data (2)'!R104-Q31-P31-O31</f>
        <v>0</v>
      </c>
      <c r="S31" s="12">
        <f t="shared" si="1"/>
        <v>0</v>
      </c>
      <c r="T31" s="1">
        <f>'Data (2)'!T104</f>
        <v>0</v>
      </c>
      <c r="U31" s="1">
        <f>'Data (2)'!U104-T31</f>
        <v>0</v>
      </c>
      <c r="V31" s="1">
        <f>'Data (2)'!V104-U31-T31</f>
        <v>0</v>
      </c>
      <c r="W31" s="1">
        <f>'Data (2)'!W104-V31-U31-T31</f>
        <v>0</v>
      </c>
      <c r="X31" s="12">
        <f t="shared" si="2"/>
        <v>0</v>
      </c>
      <c r="Y31" s="1">
        <f>'Data (2)'!Y104</f>
        <v>25</v>
      </c>
      <c r="Z31" s="1">
        <f>'Data (2)'!Z104-Y31</f>
        <v>0</v>
      </c>
      <c r="AA31" s="1">
        <f>'Data (2)'!AA104-Z31-Y31</f>
        <v>59</v>
      </c>
      <c r="AB31" s="1">
        <f>'Data (2)'!AB104-AA31-Z31-Y31</f>
        <v>0</v>
      </c>
      <c r="AC31" s="12">
        <f t="shared" si="3"/>
        <v>84</v>
      </c>
      <c r="AD31" s="1">
        <f>'Data (2)'!AD104</f>
        <v>0</v>
      </c>
      <c r="AE31" s="1">
        <f>'Data (2)'!AE104-AD31</f>
        <v>0</v>
      </c>
      <c r="AF31" s="1">
        <f>'Data (2)'!AF104-AE31-AD31</f>
        <v>0</v>
      </c>
      <c r="AG31" s="1">
        <f>'Data (2)'!AG104-AF31-AE31-AD31</f>
        <v>0</v>
      </c>
      <c r="AH31" s="12">
        <f t="shared" si="4"/>
        <v>0</v>
      </c>
      <c r="AI31" s="1">
        <f>'Data (2)'!AI104</f>
        <v>0</v>
      </c>
      <c r="AJ31" s="1">
        <f>'Data (2)'!AJ104-AI31</f>
        <v>0</v>
      </c>
      <c r="AK31" s="1">
        <f>'Data (2)'!AK104-AJ31-AI31</f>
        <v>0</v>
      </c>
      <c r="AL31" s="1">
        <f>'Data (2)'!AL104-AK31-AJ31-AI31</f>
        <v>0</v>
      </c>
      <c r="AM31" s="12">
        <f t="shared" si="5"/>
        <v>0</v>
      </c>
      <c r="AN31" s="1">
        <f>'Data (2)'!AN104</f>
        <v>0</v>
      </c>
      <c r="AO31" s="1">
        <f>'Data (2)'!AO104-AN31</f>
        <v>0</v>
      </c>
      <c r="AP31" s="1">
        <f>'Data (2)'!AP104-AO31-AN31</f>
        <v>0</v>
      </c>
      <c r="AQ31" s="1">
        <f>'Data (2)'!AQ104-AP31-AO31-AN31</f>
        <v>0</v>
      </c>
      <c r="AR31" s="12">
        <f t="shared" si="6"/>
        <v>0</v>
      </c>
      <c r="AS31" s="1">
        <f>'Data (2)'!AS104</f>
        <v>0</v>
      </c>
      <c r="AT31" s="1">
        <f>'Data (2)'!AT104-AS31</f>
        <v>0</v>
      </c>
      <c r="AU31" s="1">
        <f>'Data (2)'!AU104-AT31-AS31</f>
        <v>0</v>
      </c>
      <c r="AV31" s="1">
        <f>'Data (2)'!AV104-AU31-AT31-AS31</f>
        <v>0</v>
      </c>
      <c r="AW31" s="12">
        <f t="shared" si="7"/>
        <v>0</v>
      </c>
      <c r="AX31" s="1">
        <f>'Data (2)'!AX104</f>
        <v>0</v>
      </c>
      <c r="AY31" s="1">
        <f>'Data (2)'!AY104-AX31</f>
        <v>0</v>
      </c>
      <c r="AZ31" s="1">
        <f>'Data (2)'!AZ104-AY31-AX31</f>
        <v>0</v>
      </c>
      <c r="BA31" s="1">
        <f>'Data (2)'!BA104-AZ31-AY31-AX31</f>
        <v>0</v>
      </c>
      <c r="BB31" s="12">
        <f t="shared" si="8"/>
        <v>0</v>
      </c>
      <c r="BC31" s="1">
        <f>'Data (2)'!BC104</f>
        <v>0</v>
      </c>
      <c r="BD31" s="1">
        <f>'Data (2)'!BD104-BC31</f>
        <v>0</v>
      </c>
      <c r="BE31" s="1">
        <f>'Data (2)'!BE104-BD31-BC31</f>
        <v>0</v>
      </c>
      <c r="BF31" s="1">
        <f>'Data (2)'!BF104-BE31-BD31-BC31</f>
        <v>0</v>
      </c>
      <c r="BG31" s="12">
        <f t="shared" si="9"/>
        <v>0</v>
      </c>
      <c r="BH31" s="1">
        <f>'Data (2)'!BH104</f>
        <v>0</v>
      </c>
      <c r="BI31" s="1">
        <f>'Data (2)'!BI104-BH31</f>
        <v>0</v>
      </c>
      <c r="BJ31" s="1">
        <f>'Data (2)'!BJ104-BI31-BH31</f>
        <v>0</v>
      </c>
      <c r="BK31" s="1">
        <f>'Data (2)'!BK104-BJ31-BI31-BH31</f>
        <v>0</v>
      </c>
      <c r="BL31" s="12">
        <f t="shared" si="21"/>
        <v>0</v>
      </c>
      <c r="BM31" s="1">
        <f>'Data (2)'!BM104</f>
        <v>0</v>
      </c>
      <c r="BN31" s="1">
        <f>'Data (2)'!BN104-BM31</f>
        <v>0</v>
      </c>
      <c r="BO31" s="1">
        <f>'Data (2)'!BO104-BN31-BM31</f>
        <v>0</v>
      </c>
      <c r="BP31" s="1">
        <f>'Data (2)'!BP104-BO31-BN31-BM31</f>
        <v>0</v>
      </c>
      <c r="BQ31" s="12">
        <f t="shared" si="22"/>
        <v>0</v>
      </c>
      <c r="BR31" s="1">
        <f>'Data (2)'!BR104</f>
        <v>0</v>
      </c>
      <c r="BS31" s="1">
        <f>'Data (2)'!BS104-BR31</f>
        <v>0</v>
      </c>
      <c r="BT31" s="1">
        <f>'Data (2)'!BT104-BS31-BR31</f>
        <v>0</v>
      </c>
      <c r="BU31" s="1">
        <f>'Data (2)'!BU104-BT31-BS31-BR31</f>
        <v>0</v>
      </c>
      <c r="BV31" s="12">
        <f t="shared" si="23"/>
        <v>0</v>
      </c>
      <c r="BW31" s="1">
        <f>'Data (2)'!BW104</f>
        <v>0</v>
      </c>
      <c r="BX31" s="1">
        <f>'Data (2)'!BX104-BW31</f>
        <v>0</v>
      </c>
      <c r="BY31" s="1">
        <f>'Data (2)'!BY104-BX31-BW31</f>
        <v>0</v>
      </c>
      <c r="BZ31" s="1">
        <f>'Data (2)'!BZ104-BY31-BX31-BW31</f>
        <v>0</v>
      </c>
      <c r="CA31" s="12">
        <f t="shared" si="24"/>
        <v>0</v>
      </c>
      <c r="CB31" s="1">
        <f>'Data (2)'!CB104</f>
        <v>0</v>
      </c>
      <c r="CC31" s="1">
        <f>'Data (2)'!CC104-CB31</f>
        <v>0</v>
      </c>
      <c r="CD31" s="1">
        <f>'Data (2)'!CD104-CC31-CB31</f>
        <v>0</v>
      </c>
      <c r="CE31" s="1">
        <f>'Data (2)'!CE104-CD31-CC31-CB31</f>
        <v>0</v>
      </c>
      <c r="CF31" s="12">
        <f t="shared" si="25"/>
        <v>0</v>
      </c>
      <c r="CG31" s="1">
        <f>'Data (2)'!CG104</f>
        <v>0</v>
      </c>
      <c r="CH31" s="1">
        <f>'Data (2)'!CH104-CG31</f>
        <v>0</v>
      </c>
      <c r="CI31" s="1">
        <f>'Data (2)'!CI104-CH31-CG31</f>
        <v>0</v>
      </c>
      <c r="CJ31" s="1">
        <f>'Data (2)'!CJ104-CI31-CH31-CG31</f>
        <v>0</v>
      </c>
      <c r="CK31" s="12">
        <f t="shared" si="26"/>
        <v>0</v>
      </c>
      <c r="CL31" s="1">
        <f>'Data (2)'!CL104</f>
        <v>0</v>
      </c>
      <c r="CM31" s="141">
        <v>0</v>
      </c>
      <c r="CN31" s="141">
        <v>0</v>
      </c>
      <c r="CO31" s="141">
        <v>0</v>
      </c>
      <c r="CP31" s="12">
        <f t="shared" si="27"/>
        <v>0</v>
      </c>
      <c r="CQ31" s="138">
        <v>0</v>
      </c>
      <c r="CR31" s="138">
        <v>0</v>
      </c>
      <c r="CS31" s="138">
        <v>0</v>
      </c>
    </row>
    <row r="32" spans="2:98">
      <c r="B32" s="1" t="s">
        <v>180</v>
      </c>
      <c r="C32" s="12">
        <f>'Data (2)'!C105</f>
        <v>-37</v>
      </c>
      <c r="D32" s="12">
        <f>'Data (2)'!D105</f>
        <v>-472.77</v>
      </c>
      <c r="E32" s="12">
        <f>'Data (2)'!E105</f>
        <v>0</v>
      </c>
      <c r="F32" s="12">
        <f>'Data (2)'!F105</f>
        <v>0</v>
      </c>
      <c r="G32" s="12">
        <f>'Data (2)'!G105</f>
        <v>0</v>
      </c>
      <c r="H32" s="12">
        <f>'Data (2)'!H105</f>
        <v>0</v>
      </c>
      <c r="I32" s="12">
        <f>'Data (2)'!I105</f>
        <v>0</v>
      </c>
      <c r="J32" s="1">
        <f>'Data (2)'!J105</f>
        <v>0</v>
      </c>
      <c r="K32" s="1">
        <f>'Data (2)'!K105-J32</f>
        <v>0</v>
      </c>
      <c r="L32" s="1">
        <f>'Data (2)'!L105-K32-J32</f>
        <v>0</v>
      </c>
      <c r="M32" s="1">
        <f>'Data (2)'!M105-L32-K32-J32</f>
        <v>0</v>
      </c>
      <c r="N32" s="12">
        <f t="shared" si="0"/>
        <v>0</v>
      </c>
      <c r="O32" s="1">
        <f>'Data (2)'!O105</f>
        <v>0</v>
      </c>
      <c r="P32" s="1">
        <f>'Data (2)'!P105-O32</f>
        <v>0</v>
      </c>
      <c r="Q32" s="1">
        <f>'Data (2)'!Q105-P32-O32</f>
        <v>0</v>
      </c>
      <c r="R32" s="1">
        <f>'Data (2)'!R105-Q32-P32-O32</f>
        <v>0</v>
      </c>
      <c r="S32" s="12">
        <f t="shared" si="1"/>
        <v>0</v>
      </c>
      <c r="T32" s="1">
        <f>'Data (2)'!T105</f>
        <v>0</v>
      </c>
      <c r="U32" s="1">
        <f>'Data (2)'!U105-T32</f>
        <v>0</v>
      </c>
      <c r="V32" s="1">
        <f>'Data (2)'!V105-U32-T32</f>
        <v>0</v>
      </c>
      <c r="W32" s="1">
        <f>'Data (2)'!W105-V32-U32-T32</f>
        <v>0</v>
      </c>
      <c r="X32" s="12">
        <f t="shared" si="2"/>
        <v>0</v>
      </c>
      <c r="Y32" s="1">
        <f>'Data (2)'!Y105</f>
        <v>0</v>
      </c>
      <c r="Z32" s="1">
        <f>'Data (2)'!Z105-Y32</f>
        <v>0</v>
      </c>
      <c r="AA32" s="1">
        <f>'Data (2)'!AA105-Z32-Y32</f>
        <v>0</v>
      </c>
      <c r="AB32" s="1">
        <f>'Data (2)'!AB105-AA32-Z32-Y32</f>
        <v>0</v>
      </c>
      <c r="AC32" s="12">
        <f t="shared" si="3"/>
        <v>0</v>
      </c>
      <c r="AD32" s="1">
        <f>'Data (2)'!AD105</f>
        <v>0</v>
      </c>
      <c r="AE32" s="1">
        <f>'Data (2)'!AE105-AD32</f>
        <v>0</v>
      </c>
      <c r="AF32" s="1">
        <f>'Data (2)'!AF105-AE32-AD32</f>
        <v>0</v>
      </c>
      <c r="AG32" s="1">
        <f>'Data (2)'!AG105-AF32-AE32-AD32</f>
        <v>0</v>
      </c>
      <c r="AH32" s="12">
        <f t="shared" si="4"/>
        <v>0</v>
      </c>
      <c r="AI32" s="1">
        <f>'Data (2)'!AI105</f>
        <v>0</v>
      </c>
      <c r="AJ32" s="1">
        <f>'Data (2)'!AJ105-AI32</f>
        <v>0</v>
      </c>
      <c r="AK32" s="1">
        <f>'Data (2)'!AK105-AJ32-AI32</f>
        <v>0</v>
      </c>
      <c r="AL32" s="1">
        <f>'Data (2)'!AL105-AK32-AJ32-AI32</f>
        <v>0</v>
      </c>
      <c r="AM32" s="12">
        <f t="shared" si="5"/>
        <v>0</v>
      </c>
      <c r="AN32" s="1">
        <f>'Data (2)'!AN105</f>
        <v>0</v>
      </c>
      <c r="AO32" s="1">
        <f>'Data (2)'!AO105-AN32</f>
        <v>0</v>
      </c>
      <c r="AP32" s="1">
        <f>'Data (2)'!AP105-AO32-AN32</f>
        <v>0</v>
      </c>
      <c r="AQ32" s="1">
        <f>'Data (2)'!AQ105-AP32-AO32-AN32</f>
        <v>0</v>
      </c>
      <c r="AR32" s="12">
        <f t="shared" si="6"/>
        <v>0</v>
      </c>
      <c r="AS32" s="1">
        <f>'Data (2)'!AS105</f>
        <v>0</v>
      </c>
      <c r="AT32" s="1">
        <f>'Data (2)'!AT105-AS32</f>
        <v>0</v>
      </c>
      <c r="AU32" s="1">
        <f>'Data (2)'!AU105-AT32-AS32</f>
        <v>0</v>
      </c>
      <c r="AV32" s="1">
        <f>'Data (2)'!AV105-AU32-AT32-AS32</f>
        <v>0</v>
      </c>
      <c r="AW32" s="12">
        <f t="shared" si="7"/>
        <v>0</v>
      </c>
      <c r="AX32" s="1">
        <f>'Data (2)'!AX105</f>
        <v>0</v>
      </c>
      <c r="AY32" s="1">
        <f>'Data (2)'!AY105-AX32</f>
        <v>0</v>
      </c>
      <c r="AZ32" s="1">
        <f>'Data (2)'!AZ105-AY32-AX32</f>
        <v>0</v>
      </c>
      <c r="BA32" s="1">
        <f>'Data (2)'!BA105-AZ32-AY32-AX32</f>
        <v>0</v>
      </c>
      <c r="BB32" s="12">
        <f t="shared" si="8"/>
        <v>0</v>
      </c>
      <c r="BC32" s="1">
        <f>'Data (2)'!BC105</f>
        <v>0</v>
      </c>
      <c r="BD32" s="1">
        <f>'Data (2)'!BD105-BC32</f>
        <v>0</v>
      </c>
      <c r="BE32" s="1">
        <f>'Data (2)'!BE105-BD32-BC32</f>
        <v>0</v>
      </c>
      <c r="BF32" s="1">
        <f>'Data (2)'!BF105-BE32-BD32-BC32</f>
        <v>0</v>
      </c>
      <c r="BG32" s="12">
        <f t="shared" si="9"/>
        <v>0</v>
      </c>
      <c r="BH32" s="1">
        <f>'Data (2)'!BH105</f>
        <v>0</v>
      </c>
      <c r="BI32" s="1">
        <f>'Data (2)'!BI105-BH32</f>
        <v>0</v>
      </c>
      <c r="BJ32" s="1">
        <f>'Data (2)'!BJ105-BI32-BH32</f>
        <v>0</v>
      </c>
      <c r="BK32" s="1">
        <f>'Data (2)'!BK105-BJ32-BI32-BH32</f>
        <v>0</v>
      </c>
      <c r="BL32" s="12">
        <f t="shared" si="21"/>
        <v>0</v>
      </c>
      <c r="BM32" s="1">
        <f>'Data (2)'!BM105</f>
        <v>0</v>
      </c>
      <c r="BN32" s="1">
        <f>'Data (2)'!BN105-BM32</f>
        <v>0</v>
      </c>
      <c r="BO32" s="1">
        <f>'Data (2)'!BO105-BN32-BM32</f>
        <v>0</v>
      </c>
      <c r="BP32" s="1">
        <f>'Data (2)'!BP105-BO32-BN32-BM32</f>
        <v>0</v>
      </c>
      <c r="BQ32" s="12">
        <f t="shared" si="22"/>
        <v>0</v>
      </c>
      <c r="BR32" s="1">
        <f>'Data (2)'!BR105</f>
        <v>-8.6</v>
      </c>
      <c r="BS32" s="1">
        <f>'Data (2)'!BS105-BR32</f>
        <v>-25</v>
      </c>
      <c r="BT32" s="1">
        <f>'Data (2)'!BT105-BS32-BR32</f>
        <v>0</v>
      </c>
      <c r="BU32" s="1">
        <f>'Data (2)'!BU105-BT32-BS32-BR32</f>
        <v>25</v>
      </c>
      <c r="BV32" s="12">
        <f t="shared" si="23"/>
        <v>-8.6000000000000014</v>
      </c>
      <c r="BW32" s="1">
        <f>'Data (2)'!BW105</f>
        <v>-10</v>
      </c>
      <c r="BX32" s="1">
        <f>'Data (2)'!BX105-BW32</f>
        <v>0</v>
      </c>
      <c r="BY32" s="1">
        <f>'Data (2)'!BY105-BX32-BW32</f>
        <v>-2</v>
      </c>
      <c r="BZ32" s="1">
        <f>'Data (2)'!BZ105-BY32-BX32-BW32</f>
        <v>-64</v>
      </c>
      <c r="CA32" s="12">
        <f t="shared" si="24"/>
        <v>-76</v>
      </c>
      <c r="CB32" s="1">
        <f>'Data (2)'!CB105</f>
        <v>0</v>
      </c>
      <c r="CC32" s="1">
        <f>'Data (2)'!CC105-CB32</f>
        <v>0</v>
      </c>
      <c r="CD32" s="1">
        <f>'Data (2)'!CD105-CC32-CB32</f>
        <v>-0.7</v>
      </c>
      <c r="CE32" s="1">
        <f>'Data (2)'!CE105-CD32-CC32-CB32</f>
        <v>-2.7</v>
      </c>
      <c r="CF32" s="12">
        <f t="shared" si="25"/>
        <v>-3.4000000000000004</v>
      </c>
      <c r="CG32" s="1">
        <f>'Data (2)'!CG105</f>
        <v>-158.4</v>
      </c>
      <c r="CH32" s="1">
        <f>'Data (2)'!CH105-CG32</f>
        <v>-4.7999999999999829</v>
      </c>
      <c r="CI32" s="1">
        <f>'Data (2)'!CI105-CH32-CG32</f>
        <v>0</v>
      </c>
      <c r="CJ32" s="1">
        <f>'Data (2)'!CJ105-CI32-CH32-CG32</f>
        <v>0</v>
      </c>
      <c r="CK32" s="12">
        <f t="shared" si="26"/>
        <v>-163.19999999999999</v>
      </c>
      <c r="CL32" s="1">
        <f>'Data (2)'!CL105</f>
        <v>0</v>
      </c>
      <c r="CM32" s="141">
        <v>0</v>
      </c>
      <c r="CN32" s="141">
        <v>0</v>
      </c>
      <c r="CO32" s="141">
        <v>0</v>
      </c>
      <c r="CP32" s="12">
        <f t="shared" si="27"/>
        <v>0</v>
      </c>
      <c r="CQ32" s="138">
        <v>0</v>
      </c>
      <c r="CR32" s="138">
        <v>0</v>
      </c>
      <c r="CS32" s="138">
        <v>0</v>
      </c>
    </row>
    <row r="33" spans="2:98">
      <c r="B33" s="1" t="s">
        <v>378</v>
      </c>
      <c r="C33" s="12">
        <f>'Data (2)'!C106</f>
        <v>0</v>
      </c>
      <c r="D33" s="12">
        <f>'Data (2)'!D106</f>
        <v>0.14900000000000002</v>
      </c>
      <c r="E33" s="12">
        <f>'Data (2)'!E106</f>
        <v>-4.7</v>
      </c>
      <c r="F33" s="12">
        <f>'Data (2)'!F106</f>
        <v>-8.3000000000000007</v>
      </c>
      <c r="G33" s="12">
        <f>'Data (2)'!G106</f>
        <v>0</v>
      </c>
      <c r="H33" s="12">
        <f>'Data (2)'!H106</f>
        <v>1.6</v>
      </c>
      <c r="I33" s="12">
        <f>'Data (2)'!I106</f>
        <v>0</v>
      </c>
      <c r="J33" s="1">
        <f>'Data (2)'!J106</f>
        <v>0</v>
      </c>
      <c r="K33" s="1">
        <f>'Data (2)'!K106-J33</f>
        <v>1.5</v>
      </c>
      <c r="L33" s="1">
        <f>'Data (2)'!L106-K33-J33</f>
        <v>0</v>
      </c>
      <c r="M33" s="1">
        <f>'Data (2)'!M106-L33-K33-J33</f>
        <v>1.5</v>
      </c>
      <c r="N33" s="12">
        <f t="shared" si="0"/>
        <v>3</v>
      </c>
      <c r="O33" s="1">
        <f>'Data (2)'!O106</f>
        <v>-7.5</v>
      </c>
      <c r="P33" s="1">
        <f>'Data (2)'!P106-O33</f>
        <v>1.0999999999999996</v>
      </c>
      <c r="Q33" s="1">
        <f>'Data (2)'!Q106-P33-O33</f>
        <v>1</v>
      </c>
      <c r="R33" s="1">
        <f>'Data (2)'!R106-Q33-P33-O33</f>
        <v>1</v>
      </c>
      <c r="S33" s="12">
        <f t="shared" si="1"/>
        <v>-4.4000000000000004</v>
      </c>
      <c r="T33" s="1">
        <f>'Data (2)'!T106</f>
        <v>0.8</v>
      </c>
      <c r="U33" s="1">
        <f>'Data (2)'!U106-T33</f>
        <v>-0.8</v>
      </c>
      <c r="V33" s="1">
        <f>'Data (2)'!V106-U33-T33</f>
        <v>0</v>
      </c>
      <c r="W33" s="1">
        <f>'Data (2)'!W106-V33-U33-T33</f>
        <v>0</v>
      </c>
      <c r="X33" s="12">
        <f t="shared" si="2"/>
        <v>0</v>
      </c>
      <c r="Y33" s="1">
        <f>'Data (2)'!Y106</f>
        <v>-2</v>
      </c>
      <c r="Z33" s="1">
        <f>'Data (2)'!Z106-Y33</f>
        <v>-0.10000000000000009</v>
      </c>
      <c r="AA33" s="1">
        <f>'Data (2)'!AA106-Z33-Y33</f>
        <v>0.10000000000000009</v>
      </c>
      <c r="AB33" s="1">
        <f>'Data (2)'!AB106-AA33-Z33-Y33</f>
        <v>0</v>
      </c>
      <c r="AC33" s="12">
        <f t="shared" si="3"/>
        <v>-2</v>
      </c>
      <c r="AD33" s="1">
        <f>'Data (2)'!AD106</f>
        <v>0</v>
      </c>
      <c r="AE33" s="1">
        <f>'Data (2)'!AE106-AD33</f>
        <v>0</v>
      </c>
      <c r="AF33" s="1">
        <f>'Data (2)'!AF106-AE33-AD33</f>
        <v>0</v>
      </c>
      <c r="AG33" s="1">
        <f>'Data (2)'!AG106-AF33-AE33-AD33</f>
        <v>0</v>
      </c>
      <c r="AH33" s="12">
        <f t="shared" si="4"/>
        <v>0</v>
      </c>
      <c r="AI33" s="1">
        <f>'Data (2)'!AI106</f>
        <v>0</v>
      </c>
      <c r="AJ33" s="1">
        <f>'Data (2)'!AJ106-AI33</f>
        <v>0</v>
      </c>
      <c r="AK33" s="1">
        <f>'Data (2)'!AK106-AJ33-AI33</f>
        <v>-6</v>
      </c>
      <c r="AL33" s="1">
        <f>'Data (2)'!AL106-AK33-AJ33-AI33</f>
        <v>0</v>
      </c>
      <c r="AM33" s="12">
        <f t="shared" si="5"/>
        <v>-6</v>
      </c>
      <c r="AN33" s="1">
        <f>'Data (2)'!AN106</f>
        <v>0</v>
      </c>
      <c r="AO33" s="1">
        <f>'Data (2)'!AO106-AN33</f>
        <v>0</v>
      </c>
      <c r="AP33" s="1">
        <f>'Data (2)'!AP106-AO33-AN33</f>
        <v>0</v>
      </c>
      <c r="AQ33" s="1">
        <f>'Data (2)'!AQ106-AP33-AO33-AN33</f>
        <v>0</v>
      </c>
      <c r="AR33" s="12">
        <f t="shared" si="6"/>
        <v>0</v>
      </c>
      <c r="AS33" s="1">
        <f>'Data (2)'!AS106</f>
        <v>0</v>
      </c>
      <c r="AT33" s="1">
        <f>'Data (2)'!AT106-AS33</f>
        <v>0</v>
      </c>
      <c r="AU33" s="1">
        <f>'Data (2)'!AU106-AT33-AS33</f>
        <v>0</v>
      </c>
      <c r="AV33" s="1">
        <f>'Data (2)'!AV106-AU33-AT33-AS33</f>
        <v>0</v>
      </c>
      <c r="AW33" s="12">
        <f t="shared" si="7"/>
        <v>0</v>
      </c>
      <c r="AX33" s="1">
        <f>'Data (2)'!AX106</f>
        <v>0</v>
      </c>
      <c r="AY33" s="1">
        <f>'Data (2)'!AY106-AX33</f>
        <v>0</v>
      </c>
      <c r="AZ33" s="1">
        <f>'Data (2)'!AZ106-AY33-AX33</f>
        <v>0</v>
      </c>
      <c r="BA33" s="1">
        <f>'Data (2)'!BA106-AZ33-AY33-AX33</f>
        <v>0</v>
      </c>
      <c r="BB33" s="12">
        <f t="shared" si="8"/>
        <v>0</v>
      </c>
      <c r="BC33" s="1">
        <f>'Data (2)'!BC106</f>
        <v>0</v>
      </c>
      <c r="BD33" s="1">
        <f>'Data (2)'!BD106-BC33</f>
        <v>0</v>
      </c>
      <c r="BE33" s="1">
        <f>'Data (2)'!BE106-BD33-BC33</f>
        <v>0</v>
      </c>
      <c r="BF33" s="1">
        <f>'Data (2)'!BF106-BE33-BD33-BC33</f>
        <v>0</v>
      </c>
      <c r="BG33" s="12">
        <f t="shared" si="9"/>
        <v>0</v>
      </c>
      <c r="BH33" s="1">
        <f>'Data (2)'!BH106</f>
        <v>0</v>
      </c>
      <c r="BI33" s="1">
        <f>'Data (2)'!BI106-BH33</f>
        <v>0</v>
      </c>
      <c r="BJ33" s="1">
        <f>'Data (2)'!BJ106-BI33-BH33</f>
        <v>0</v>
      </c>
      <c r="BK33" s="1">
        <f>'Data (2)'!BK106-BJ33-BI33-BH33</f>
        <v>0</v>
      </c>
      <c r="BL33" s="12">
        <f t="shared" si="21"/>
        <v>0</v>
      </c>
      <c r="BM33" s="1">
        <f>'Data (2)'!BM106</f>
        <v>0</v>
      </c>
      <c r="BN33" s="1">
        <f>'Data (2)'!BN106-BM33</f>
        <v>0</v>
      </c>
      <c r="BO33" s="1">
        <f>'Data (2)'!BO106-BN33-BM33</f>
        <v>0</v>
      </c>
      <c r="BP33" s="1">
        <f>'Data (2)'!BP106-BO33-BN33-BM33</f>
        <v>0</v>
      </c>
      <c r="BQ33" s="12">
        <f t="shared" si="22"/>
        <v>0</v>
      </c>
      <c r="BR33" s="1">
        <f>'Data (2)'!BR106</f>
        <v>0</v>
      </c>
      <c r="BS33" s="1">
        <f>'Data (2)'!BS106-BR33</f>
        <v>0</v>
      </c>
      <c r="BT33" s="1">
        <f>'Data (2)'!BT106-BS33-BR33</f>
        <v>0</v>
      </c>
      <c r="BU33" s="1">
        <f>'Data (2)'!BU106-BT33-BS33-BR33</f>
        <v>-30</v>
      </c>
      <c r="BV33" s="12">
        <f t="shared" si="23"/>
        <v>-30</v>
      </c>
      <c r="BW33" s="1">
        <f>'Data (2)'!BW106</f>
        <v>0</v>
      </c>
      <c r="BX33" s="1">
        <f>'Data (2)'!BX106-BW33</f>
        <v>0</v>
      </c>
      <c r="BY33" s="1">
        <f>'Data (2)'!BY106-BX33-BW33</f>
        <v>0</v>
      </c>
      <c r="BZ33" s="1">
        <f>'Data (2)'!BZ106-BY33-BX33-BW33</f>
        <v>0</v>
      </c>
      <c r="CA33" s="12">
        <f t="shared" si="24"/>
        <v>0</v>
      </c>
      <c r="CB33" s="1">
        <f>'Data (2)'!CB106</f>
        <v>0</v>
      </c>
      <c r="CC33" s="1">
        <f>'Data (2)'!CC106-CB33</f>
        <v>0</v>
      </c>
      <c r="CD33" s="1">
        <f>'Data (2)'!CD106-CC33-CB33</f>
        <v>0</v>
      </c>
      <c r="CE33" s="1">
        <f>'Data (2)'!CE106-CD33-CC33-CB33</f>
        <v>0</v>
      </c>
      <c r="CF33" s="12">
        <f t="shared" si="25"/>
        <v>0</v>
      </c>
      <c r="CG33" s="1">
        <f>'Data (2)'!CG106</f>
        <v>0</v>
      </c>
      <c r="CH33" s="1">
        <f>'Data (2)'!CH106-CG33</f>
        <v>0</v>
      </c>
      <c r="CI33" s="1">
        <f>'Data (2)'!CI106-CH33-CG33</f>
        <v>0</v>
      </c>
      <c r="CJ33" s="1">
        <f>'Data (2)'!CJ106-CI33-CH33-CG33</f>
        <v>0</v>
      </c>
      <c r="CK33" s="12">
        <f t="shared" si="26"/>
        <v>0</v>
      </c>
      <c r="CL33" s="1">
        <f>'Data (2)'!CL106</f>
        <v>0</v>
      </c>
      <c r="CM33" s="141">
        <v>0</v>
      </c>
      <c r="CN33" s="141">
        <v>0</v>
      </c>
      <c r="CO33" s="141">
        <v>0</v>
      </c>
      <c r="CP33" s="12">
        <f t="shared" si="27"/>
        <v>0</v>
      </c>
      <c r="CQ33" s="138">
        <v>0</v>
      </c>
      <c r="CR33" s="138">
        <v>0</v>
      </c>
      <c r="CS33" s="138">
        <v>0</v>
      </c>
    </row>
    <row r="34" spans="2:98">
      <c r="B34" s="1" t="s">
        <v>108</v>
      </c>
      <c r="C34" s="12">
        <f>'Data (2)'!C107</f>
        <v>-2</v>
      </c>
      <c r="D34" s="12">
        <f>'Data (2)'!D107</f>
        <v>0</v>
      </c>
      <c r="E34" s="12">
        <f>'Data (2)'!E107</f>
        <v>0</v>
      </c>
      <c r="F34" s="12">
        <f>'Data (2)'!F107</f>
        <v>0</v>
      </c>
      <c r="G34" s="12">
        <f>'Data (2)'!G107</f>
        <v>-0.3</v>
      </c>
      <c r="H34" s="12">
        <f>'Data (2)'!H107</f>
        <v>-0.5</v>
      </c>
      <c r="I34" s="12">
        <f>'Data (2)'!I107</f>
        <v>2</v>
      </c>
      <c r="J34" s="1">
        <f>'Data (2)'!J107</f>
        <v>0</v>
      </c>
      <c r="K34" s="1">
        <f>'Data (2)'!K107-J34</f>
        <v>0</v>
      </c>
      <c r="L34" s="1">
        <f>'Data (2)'!L107-K34-J34</f>
        <v>0</v>
      </c>
      <c r="M34" s="1">
        <f>'Data (2)'!M107-L34-K34-J34</f>
        <v>0</v>
      </c>
      <c r="N34" s="12">
        <f t="shared" si="0"/>
        <v>0</v>
      </c>
      <c r="O34" s="1">
        <f>'Data (2)'!O107</f>
        <v>0</v>
      </c>
      <c r="P34" s="1">
        <f>'Data (2)'!P107-O34</f>
        <v>0</v>
      </c>
      <c r="Q34" s="1">
        <f>'Data (2)'!Q107-P34-O34</f>
        <v>0</v>
      </c>
      <c r="R34" s="1">
        <f>'Data (2)'!R107-Q34-P34-O34</f>
        <v>-4.2</v>
      </c>
      <c r="S34" s="12">
        <f t="shared" si="1"/>
        <v>-4.2</v>
      </c>
      <c r="T34" s="1">
        <f>'Data (2)'!T107</f>
        <v>0</v>
      </c>
      <c r="U34" s="1">
        <f>'Data (2)'!U107-T34</f>
        <v>0</v>
      </c>
      <c r="V34" s="1">
        <f>'Data (2)'!V107-U34-T34</f>
        <v>0</v>
      </c>
      <c r="W34" s="1">
        <f>'Data (2)'!W107-V34-U34-T34</f>
        <v>0</v>
      </c>
      <c r="X34" s="12">
        <f t="shared" si="2"/>
        <v>0</v>
      </c>
      <c r="Y34" s="1">
        <f>'Data (2)'!Y107</f>
        <v>0</v>
      </c>
      <c r="Z34" s="1">
        <f>'Data (2)'!Z107-Y34</f>
        <v>0</v>
      </c>
      <c r="AA34" s="1">
        <f>'Data (2)'!AA107-Z34-Y34</f>
        <v>0</v>
      </c>
      <c r="AB34" s="1">
        <f>'Data (2)'!AB107-AA34-Z34-Y34</f>
        <v>0</v>
      </c>
      <c r="AC34" s="12">
        <f t="shared" si="3"/>
        <v>0</v>
      </c>
      <c r="AD34" s="1">
        <f>'Data (2)'!AD107</f>
        <v>0</v>
      </c>
      <c r="AE34" s="1">
        <f>'Data (2)'!AE107-AD34</f>
        <v>0</v>
      </c>
      <c r="AF34" s="1">
        <f>'Data (2)'!AF107-AE34-AD34</f>
        <v>0</v>
      </c>
      <c r="AG34" s="1">
        <f>'Data (2)'!AG107-AF34-AE34-AD34</f>
        <v>0</v>
      </c>
      <c r="AH34" s="12">
        <f t="shared" si="4"/>
        <v>0</v>
      </c>
      <c r="AI34" s="1">
        <f>'Data (2)'!AI107</f>
        <v>0</v>
      </c>
      <c r="AJ34" s="1">
        <f>'Data (2)'!AJ107-AI34</f>
        <v>0</v>
      </c>
      <c r="AK34" s="1">
        <f>'Data (2)'!AK107-AJ34-AI34</f>
        <v>0</v>
      </c>
      <c r="AL34" s="1">
        <f>'Data (2)'!AL107-AK34-AJ34-AI34</f>
        <v>0</v>
      </c>
      <c r="AM34" s="12">
        <f t="shared" si="5"/>
        <v>0</v>
      </c>
      <c r="AN34" s="1">
        <f>'Data (2)'!AN107</f>
        <v>0</v>
      </c>
      <c r="AO34" s="1">
        <f>'Data (2)'!AO107-AN34</f>
        <v>0</v>
      </c>
      <c r="AP34" s="1">
        <f>'Data (2)'!AP107-AO34-AN34</f>
        <v>0</v>
      </c>
      <c r="AQ34" s="1">
        <f>'Data (2)'!AQ107-AP34-AO34-AN34</f>
        <v>0</v>
      </c>
      <c r="AR34" s="12">
        <f t="shared" si="6"/>
        <v>0</v>
      </c>
      <c r="AS34" s="1">
        <f>'Data (2)'!AS107</f>
        <v>0</v>
      </c>
      <c r="AT34" s="1">
        <f>'Data (2)'!AT107-AS34</f>
        <v>0</v>
      </c>
      <c r="AU34" s="1">
        <f>'Data (2)'!AU107-AT34-AS34</f>
        <v>-5.2</v>
      </c>
      <c r="AV34" s="1">
        <f>'Data (2)'!AV107-AU34-AT34-AS34</f>
        <v>0</v>
      </c>
      <c r="AW34" s="12">
        <f t="shared" si="7"/>
        <v>-5.2</v>
      </c>
      <c r="AX34" s="1">
        <f>'Data (2)'!AX107</f>
        <v>0</v>
      </c>
      <c r="AY34" s="1">
        <f>'Data (2)'!AY107-AX34</f>
        <v>5.3</v>
      </c>
      <c r="AZ34" s="1">
        <f>'Data (2)'!AZ107-AY34-AX34</f>
        <v>0</v>
      </c>
      <c r="BA34" s="1">
        <f>'Data (2)'!BA107-AZ34-AY34-AX34</f>
        <v>0</v>
      </c>
      <c r="BB34" s="12">
        <f t="shared" si="8"/>
        <v>5.3</v>
      </c>
      <c r="BC34" s="1">
        <f>'Data (2)'!BC107</f>
        <v>0</v>
      </c>
      <c r="BD34" s="1">
        <f>'Data (2)'!BD107-BC34</f>
        <v>0</v>
      </c>
      <c r="BE34" s="1">
        <f>'Data (2)'!BE107-BD34-BC34</f>
        <v>0</v>
      </c>
      <c r="BF34" s="1">
        <f>'Data (2)'!BF107-BE34-BD34-BC34</f>
        <v>0</v>
      </c>
      <c r="BG34" s="12">
        <f t="shared" si="9"/>
        <v>0</v>
      </c>
      <c r="BH34" s="1">
        <f>'Data (2)'!BH107</f>
        <v>0</v>
      </c>
      <c r="BI34" s="1">
        <f>'Data (2)'!BI107-BH34</f>
        <v>0</v>
      </c>
      <c r="BJ34" s="1">
        <f>'Data (2)'!BJ107-BI34-BH34</f>
        <v>0</v>
      </c>
      <c r="BK34" s="1">
        <f>'Data (2)'!BK107-BJ34-BI34-BH34</f>
        <v>-10.3</v>
      </c>
      <c r="BL34" s="12">
        <f t="shared" si="21"/>
        <v>-10.3</v>
      </c>
      <c r="BM34" s="1">
        <f>'Data (2)'!BM107</f>
        <v>0</v>
      </c>
      <c r="BN34" s="1">
        <f>'Data (2)'!BN107-BM34</f>
        <v>0</v>
      </c>
      <c r="BO34" s="1">
        <f>'Data (2)'!BO107-BN34-BM34</f>
        <v>0</v>
      </c>
      <c r="BP34" s="1">
        <f>'Data (2)'!BP107-BO34-BN34-BM34</f>
        <v>0</v>
      </c>
      <c r="BQ34" s="12">
        <f t="shared" si="22"/>
        <v>0</v>
      </c>
      <c r="BR34" s="1">
        <f>'Data (2)'!BR107</f>
        <v>0</v>
      </c>
      <c r="BS34" s="1">
        <f>'Data (2)'!BS107-BR34</f>
        <v>0</v>
      </c>
      <c r="BT34" s="1">
        <f>'Data (2)'!BT107-BS34-BR34</f>
        <v>0</v>
      </c>
      <c r="BU34" s="1">
        <f>'Data (2)'!BU107-BT34-BS34-BR34</f>
        <v>0</v>
      </c>
      <c r="BV34" s="12">
        <f t="shared" si="23"/>
        <v>0</v>
      </c>
      <c r="BW34" s="1">
        <f>'Data (2)'!BW107</f>
        <v>0</v>
      </c>
      <c r="BX34" s="1">
        <f>'Data (2)'!BX107-BW34</f>
        <v>0</v>
      </c>
      <c r="BY34" s="1">
        <f>'Data (2)'!BY107-BX34-BW34</f>
        <v>0</v>
      </c>
      <c r="BZ34" s="1">
        <f>'Data (2)'!BZ107-BY34-BX34-BW34</f>
        <v>0</v>
      </c>
      <c r="CA34" s="12">
        <f t="shared" si="24"/>
        <v>0</v>
      </c>
      <c r="CB34" s="1">
        <f>'Data (2)'!CB107</f>
        <v>0</v>
      </c>
      <c r="CC34" s="1">
        <f>'Data (2)'!CC107-CB34</f>
        <v>0</v>
      </c>
      <c r="CD34" s="1">
        <f>'Data (2)'!CD107-CC34-CB34</f>
        <v>0</v>
      </c>
      <c r="CE34" s="1">
        <f>'Data (2)'!CE107-CD34-CC34-CB34</f>
        <v>0</v>
      </c>
      <c r="CF34" s="12">
        <f t="shared" si="25"/>
        <v>0</v>
      </c>
      <c r="CG34" s="1">
        <f>'Data (2)'!CG107</f>
        <v>0</v>
      </c>
      <c r="CH34" s="1">
        <f>'Data (2)'!CH107-CG34</f>
        <v>0</v>
      </c>
      <c r="CI34" s="1">
        <f>'Data (2)'!CI107-CH34-CG34</f>
        <v>0</v>
      </c>
      <c r="CJ34" s="1">
        <f>'Data (2)'!CJ107-CI34-CH34-CG34</f>
        <v>0</v>
      </c>
      <c r="CK34" s="12">
        <f t="shared" si="26"/>
        <v>0</v>
      </c>
      <c r="CL34" s="1">
        <f>'Data (2)'!CL107</f>
        <v>0</v>
      </c>
      <c r="CM34" s="141">
        <v>0</v>
      </c>
      <c r="CN34" s="141">
        <v>0</v>
      </c>
      <c r="CO34" s="141">
        <v>0</v>
      </c>
      <c r="CP34" s="12">
        <f t="shared" si="27"/>
        <v>0</v>
      </c>
      <c r="CQ34" s="138">
        <v>0</v>
      </c>
      <c r="CR34" s="138">
        <v>0</v>
      </c>
      <c r="CS34" s="138">
        <v>0</v>
      </c>
    </row>
    <row r="35" spans="2:98">
      <c r="B35" s="143" t="s">
        <v>253</v>
      </c>
      <c r="C35" s="144">
        <f t="shared" ref="C35:M35" si="29">SUM(C27:C34)</f>
        <v>-82.869</v>
      </c>
      <c r="D35" s="144">
        <f t="shared" si="29"/>
        <v>-539.15099999999995</v>
      </c>
      <c r="E35" s="144">
        <f t="shared" si="29"/>
        <v>-40.300000000000004</v>
      </c>
      <c r="F35" s="144">
        <f t="shared" si="29"/>
        <v>68.8</v>
      </c>
      <c r="G35" s="144">
        <f t="shared" si="29"/>
        <v>-38.299999999999997</v>
      </c>
      <c r="H35" s="144">
        <f t="shared" si="29"/>
        <v>-2.3000000000000003</v>
      </c>
      <c r="I35" s="144">
        <f t="shared" si="29"/>
        <v>9.0999999999999979</v>
      </c>
      <c r="J35" s="143">
        <f t="shared" si="29"/>
        <v>-4.5</v>
      </c>
      <c r="K35" s="143">
        <f t="shared" si="29"/>
        <v>0.69999999999999929</v>
      </c>
      <c r="L35" s="143">
        <f t="shared" si="29"/>
        <v>-8.5</v>
      </c>
      <c r="M35" s="143">
        <f t="shared" si="29"/>
        <v>-16.3</v>
      </c>
      <c r="N35" s="144">
        <f t="shared" si="0"/>
        <v>-28.6</v>
      </c>
      <c r="O35" s="143">
        <f>SUM(O27:O34)</f>
        <v>-15</v>
      </c>
      <c r="P35" s="143">
        <f>SUM(P27:P34)</f>
        <v>-6.6000000000000014</v>
      </c>
      <c r="Q35" s="143">
        <f>SUM(Q27:Q34)</f>
        <v>-14.799999999999997</v>
      </c>
      <c r="R35" s="143">
        <f>SUM(R27:R34)</f>
        <v>-33.500000000000007</v>
      </c>
      <c r="S35" s="144">
        <f t="shared" si="1"/>
        <v>-69.900000000000006</v>
      </c>
      <c r="T35" s="143">
        <f>SUM(T27:T34)</f>
        <v>-23.4</v>
      </c>
      <c r="U35" s="143">
        <f>SUM(U27:U34)</f>
        <v>-27.200000000000003</v>
      </c>
      <c r="V35" s="143">
        <f>SUM(V27:V34)</f>
        <v>-31.699999999999992</v>
      </c>
      <c r="W35" s="143">
        <f>SUM(W27:W34)</f>
        <v>-15.900000000000006</v>
      </c>
      <c r="X35" s="144">
        <f t="shared" si="2"/>
        <v>-98.2</v>
      </c>
      <c r="Y35" s="143">
        <f>SUM(Y27:Y34)</f>
        <v>7.4</v>
      </c>
      <c r="Z35" s="143">
        <f>SUM(Z27:Z34)</f>
        <v>-30.5</v>
      </c>
      <c r="AA35" s="143">
        <f>SUM(AA27:AA34)</f>
        <v>33.6</v>
      </c>
      <c r="AB35" s="143">
        <f>SUM(AB27:AB34)</f>
        <v>-47.899999999999984</v>
      </c>
      <c r="AC35" s="144">
        <f t="shared" si="3"/>
        <v>-37.399999999999984</v>
      </c>
      <c r="AD35" s="143">
        <f>SUM(AD27:AD34)</f>
        <v>-43.9</v>
      </c>
      <c r="AE35" s="143">
        <f>SUM(AE27:AE34)</f>
        <v>-42.300000000000004</v>
      </c>
      <c r="AF35" s="143">
        <f>SUM(AF27:AF34)</f>
        <v>-17.3</v>
      </c>
      <c r="AG35" s="143">
        <f>SUM(AG27:AG34)</f>
        <v>-51.500000000000007</v>
      </c>
      <c r="AH35" s="144">
        <f t="shared" si="4"/>
        <v>-155</v>
      </c>
      <c r="AI35" s="143">
        <f>SUM(AI27:AI34)</f>
        <v>-28.1</v>
      </c>
      <c r="AJ35" s="143">
        <f>SUM(AJ27:AJ34)</f>
        <v>-19.799999999999997</v>
      </c>
      <c r="AK35" s="143">
        <f>SUM(AK27:AK34)</f>
        <v>-40.199999999999996</v>
      </c>
      <c r="AL35" s="143">
        <f>SUM(AL27:AL34)</f>
        <v>-16.300000000000018</v>
      </c>
      <c r="AM35" s="144">
        <f t="shared" si="5"/>
        <v>-104.4</v>
      </c>
      <c r="AN35" s="143">
        <f>SUM(AN27:AN34)</f>
        <v>-12.6</v>
      </c>
      <c r="AO35" s="143">
        <f>SUM(AO27:AO34)</f>
        <v>-7.5000000000000018</v>
      </c>
      <c r="AP35" s="143">
        <f>SUM(AP27:AP34)</f>
        <v>-11.099999999999996</v>
      </c>
      <c r="AQ35" s="143">
        <f>SUM(AQ27:AQ34)</f>
        <v>-17.600000000000001</v>
      </c>
      <c r="AR35" s="144">
        <f t="shared" si="6"/>
        <v>-48.8</v>
      </c>
      <c r="AS35" s="143">
        <f>SUM(AS27:AS34)</f>
        <v>-35.9</v>
      </c>
      <c r="AT35" s="143">
        <f>SUM(AT27:AT34)</f>
        <v>-31.9</v>
      </c>
      <c r="AU35" s="143">
        <f>SUM(AU27:AU34)</f>
        <v>-36.9</v>
      </c>
      <c r="AV35" s="143">
        <f>SUM(AV27:AV34)</f>
        <v>-58.500000000000007</v>
      </c>
      <c r="AW35" s="144">
        <f t="shared" si="7"/>
        <v>-163.19999999999999</v>
      </c>
      <c r="AX35" s="143">
        <f>SUM(AX27:AX34)</f>
        <v>-82.9</v>
      </c>
      <c r="AY35" s="143">
        <f>SUM(AY27:AY34)</f>
        <v>-56.2</v>
      </c>
      <c r="AZ35" s="143">
        <f>SUM(AZ27:AZ34)</f>
        <v>-64.5</v>
      </c>
      <c r="BA35" s="143">
        <f>SUM(BA27:BA34)</f>
        <v>-54.799999999999983</v>
      </c>
      <c r="BB35" s="144">
        <f t="shared" si="8"/>
        <v>-258.39999999999998</v>
      </c>
      <c r="BC35" s="143">
        <f t="shared" ref="BC35:CS35" si="30">SUM(BC27:BC34)</f>
        <v>-48.1</v>
      </c>
      <c r="BD35" s="143">
        <f t="shared" si="30"/>
        <v>-43.9</v>
      </c>
      <c r="BE35" s="143">
        <f t="shared" si="30"/>
        <v>-41.099999999999987</v>
      </c>
      <c r="BF35" s="143">
        <f t="shared" si="30"/>
        <v>-61.800000000000004</v>
      </c>
      <c r="BG35" s="144">
        <f t="shared" si="30"/>
        <v>-194.9</v>
      </c>
      <c r="BH35" s="143">
        <f t="shared" si="30"/>
        <v>-55</v>
      </c>
      <c r="BI35" s="143">
        <f t="shared" si="30"/>
        <v>-64.2</v>
      </c>
      <c r="BJ35" s="143">
        <f t="shared" si="30"/>
        <v>-75.199999999999989</v>
      </c>
      <c r="BK35" s="143">
        <f t="shared" si="30"/>
        <v>-76.000000000000028</v>
      </c>
      <c r="BL35" s="144">
        <f t="shared" si="30"/>
        <v>-270.40000000000003</v>
      </c>
      <c r="BM35" s="143">
        <f t="shared" si="30"/>
        <v>-95</v>
      </c>
      <c r="BN35" s="143">
        <f t="shared" si="30"/>
        <v>-71.300000000000011</v>
      </c>
      <c r="BO35" s="143">
        <f t="shared" si="30"/>
        <v>-83</v>
      </c>
      <c r="BP35" s="143">
        <f t="shared" si="30"/>
        <v>-56</v>
      </c>
      <c r="BQ35" s="144">
        <f t="shared" si="30"/>
        <v>-305.3</v>
      </c>
      <c r="BR35" s="143">
        <f t="shared" si="30"/>
        <v>-94</v>
      </c>
      <c r="BS35" s="143">
        <f t="shared" si="30"/>
        <v>-95.6</v>
      </c>
      <c r="BT35" s="143">
        <f t="shared" si="30"/>
        <v>-75.800000000000011</v>
      </c>
      <c r="BU35" s="143">
        <f t="shared" si="30"/>
        <v>-101.09999999999997</v>
      </c>
      <c r="BV35" s="144">
        <f t="shared" si="30"/>
        <v>-366.5</v>
      </c>
      <c r="BW35" s="143">
        <f t="shared" si="30"/>
        <v>-95.5</v>
      </c>
      <c r="BX35" s="143">
        <f t="shared" si="30"/>
        <v>-83.699999999999989</v>
      </c>
      <c r="BY35" s="143">
        <f t="shared" si="30"/>
        <v>-54.100000000000023</v>
      </c>
      <c r="BZ35" s="143">
        <f t="shared" si="30"/>
        <v>-120.80000000000001</v>
      </c>
      <c r="CA35" s="144">
        <f t="shared" si="30"/>
        <v>-354.1</v>
      </c>
      <c r="CB35" s="143">
        <f t="shared" si="30"/>
        <v>-59.5</v>
      </c>
      <c r="CC35" s="143">
        <f t="shared" si="30"/>
        <v>-42.400000000000006</v>
      </c>
      <c r="CD35" s="143">
        <f t="shared" si="30"/>
        <v>-48.999999999999986</v>
      </c>
      <c r="CE35" s="143">
        <f t="shared" si="30"/>
        <v>-36.600000000000009</v>
      </c>
      <c r="CF35" s="144">
        <f t="shared" si="30"/>
        <v>-187.5</v>
      </c>
      <c r="CG35" s="143">
        <f t="shared" si="30"/>
        <v>-219.5</v>
      </c>
      <c r="CH35" s="143">
        <f t="shared" si="30"/>
        <v>-42.999999999999979</v>
      </c>
      <c r="CI35" s="143">
        <f t="shared" si="30"/>
        <v>-63.4</v>
      </c>
      <c r="CJ35" s="143">
        <f t="shared" si="30"/>
        <v>-41.4</v>
      </c>
      <c r="CK35" s="144">
        <f t="shared" si="30"/>
        <v>-367.29999999999995</v>
      </c>
      <c r="CL35" s="143">
        <f t="shared" si="30"/>
        <v>-27.2</v>
      </c>
      <c r="CM35" s="143">
        <f t="shared" si="30"/>
        <v>-10</v>
      </c>
      <c r="CN35" s="143">
        <f t="shared" si="30"/>
        <v>-10</v>
      </c>
      <c r="CO35" s="143">
        <f t="shared" si="30"/>
        <v>-15</v>
      </c>
      <c r="CP35" s="144">
        <f t="shared" si="30"/>
        <v>-62.2</v>
      </c>
      <c r="CQ35" s="144">
        <f t="shared" si="30"/>
        <v>-100</v>
      </c>
      <c r="CR35" s="144">
        <f t="shared" si="30"/>
        <v>-110</v>
      </c>
      <c r="CS35" s="144">
        <f t="shared" si="30"/>
        <v>-140</v>
      </c>
    </row>
    <row r="36" spans="2:98">
      <c r="B36" s="1" t="s">
        <v>98</v>
      </c>
      <c r="C36" s="12">
        <f>'Data (2)'!C109</f>
        <v>3.1989999999999998</v>
      </c>
      <c r="D36" s="12">
        <f>'Data (2)'!D109</f>
        <v>0.27600000000000002</v>
      </c>
      <c r="E36" s="12">
        <f>'Data (2)'!E109</f>
        <v>240</v>
      </c>
      <c r="F36" s="12">
        <f>'Data (2)'!F109</f>
        <v>0</v>
      </c>
      <c r="G36" s="12">
        <f>'Data (2)'!G109</f>
        <v>98.6</v>
      </c>
      <c r="H36" s="12">
        <f>'Data (2)'!H109</f>
        <v>0</v>
      </c>
      <c r="I36" s="12">
        <f>'Data (2)'!I109</f>
        <v>0</v>
      </c>
      <c r="J36" s="1">
        <f>'Data (2)'!J109</f>
        <v>0</v>
      </c>
      <c r="K36" s="1">
        <f>'Data (2)'!K109-J36</f>
        <v>0</v>
      </c>
      <c r="L36" s="1">
        <f>'Data (2)'!L109-K36-J36</f>
        <v>0</v>
      </c>
      <c r="M36" s="1">
        <f>'Data (2)'!M109-L36-K36-J36</f>
        <v>0</v>
      </c>
      <c r="N36" s="12">
        <f t="shared" si="0"/>
        <v>0</v>
      </c>
      <c r="O36" s="1">
        <f>'Data (2)'!O109</f>
        <v>225</v>
      </c>
      <c r="P36" s="1">
        <f>'Data (2)'!P109-O36</f>
        <v>0</v>
      </c>
      <c r="Q36" s="1">
        <f>'Data (2)'!Q109-P36-O36</f>
        <v>0</v>
      </c>
      <c r="R36" s="1">
        <f>'Data (2)'!R109-Q36-P36-O36</f>
        <v>0</v>
      </c>
      <c r="S36" s="12">
        <f t="shared" si="1"/>
        <v>225</v>
      </c>
      <c r="T36" s="1">
        <f>'Data (2)'!T109</f>
        <v>0</v>
      </c>
      <c r="U36" s="1">
        <f>'Data (2)'!U109-T36</f>
        <v>0</v>
      </c>
      <c r="V36" s="1">
        <f>'Data (2)'!V109-U36-T36</f>
        <v>0</v>
      </c>
      <c r="W36" s="1">
        <f>'Data (2)'!W109-V36-U36-T36</f>
        <v>0</v>
      </c>
      <c r="X36" s="12">
        <f t="shared" si="2"/>
        <v>0</v>
      </c>
      <c r="Y36" s="1">
        <f>'Data (2)'!Y109</f>
        <v>0</v>
      </c>
      <c r="Z36" s="1">
        <f>'Data (2)'!Z109-Y36</f>
        <v>0</v>
      </c>
      <c r="AA36" s="1">
        <f>'Data (2)'!AA109-Z36-Y36</f>
        <v>0</v>
      </c>
      <c r="AB36" s="1">
        <f>'Data (2)'!AB109-AA36-Z36-Y36</f>
        <v>0</v>
      </c>
      <c r="AC36" s="12">
        <f t="shared" si="3"/>
        <v>0</v>
      </c>
      <c r="AD36" s="1">
        <f>'Data (2)'!AD109</f>
        <v>0</v>
      </c>
      <c r="AE36" s="1">
        <f>'Data (2)'!AE109-AD36</f>
        <v>0</v>
      </c>
      <c r="AF36" s="1">
        <f>'Data (2)'!AF109-AE36-AD36</f>
        <v>0</v>
      </c>
      <c r="AG36" s="1">
        <f>'Data (2)'!AG109-AF36-AE36-AD36</f>
        <v>0</v>
      </c>
      <c r="AH36" s="12">
        <f t="shared" si="4"/>
        <v>0</v>
      </c>
      <c r="AI36" s="1">
        <f>'Data (2)'!AI109</f>
        <v>0</v>
      </c>
      <c r="AJ36" s="1">
        <f>'Data (2)'!AJ109-AI36</f>
        <v>0</v>
      </c>
      <c r="AK36" s="1">
        <f>'Data (2)'!AK109-AJ36-AI36</f>
        <v>0</v>
      </c>
      <c r="AL36" s="1">
        <f>'Data (2)'!AL109-AK36-AJ36-AI36</f>
        <v>0</v>
      </c>
      <c r="AM36" s="12">
        <f t="shared" si="5"/>
        <v>0</v>
      </c>
      <c r="AN36" s="1">
        <f>'Data (2)'!AN109</f>
        <v>0.8</v>
      </c>
      <c r="AO36" s="1">
        <f>'Data (2)'!AO109-AN36</f>
        <v>0.89999999999999991</v>
      </c>
      <c r="AP36" s="1">
        <f>'Data (2)'!AP109-AO36-AN36</f>
        <v>0.19999999999999996</v>
      </c>
      <c r="AQ36" s="1">
        <f>'Data (2)'!AQ109-AP36-AO36-AN36</f>
        <v>-1.9</v>
      </c>
      <c r="AR36" s="12">
        <f t="shared" si="6"/>
        <v>0</v>
      </c>
      <c r="AS36" s="1">
        <f>'Data (2)'!AS109</f>
        <v>135</v>
      </c>
      <c r="AT36" s="1">
        <f>'Data (2)'!AT109-AS36</f>
        <v>0</v>
      </c>
      <c r="AU36" s="1">
        <f>'Data (2)'!AU109-AT36-AS36</f>
        <v>0</v>
      </c>
      <c r="AV36" s="1">
        <f>'Data (2)'!AV109-AU36-AT36-AS36</f>
        <v>0</v>
      </c>
      <c r="AW36" s="12">
        <f t="shared" si="7"/>
        <v>135</v>
      </c>
      <c r="AX36" s="1">
        <f>'Data (2)'!AX109</f>
        <v>59</v>
      </c>
      <c r="AY36" s="1">
        <f>'Data (2)'!AY109-AX36</f>
        <v>62</v>
      </c>
      <c r="AZ36" s="1">
        <f>'Data (2)'!AZ109-AY36-AX36</f>
        <v>1</v>
      </c>
      <c r="BA36" s="1">
        <f>'Data (2)'!BA109-AZ36-AY36-AX36</f>
        <v>-35</v>
      </c>
      <c r="BB36" s="12">
        <f t="shared" si="8"/>
        <v>87</v>
      </c>
      <c r="BC36" s="1">
        <f>'Data (2)'!BC109</f>
        <v>21</v>
      </c>
      <c r="BD36" s="1">
        <f>'Data (2)'!BD109-BC36</f>
        <v>288</v>
      </c>
      <c r="BE36" s="1">
        <f>'Data (2)'!BE109-BD36-BC36</f>
        <v>0</v>
      </c>
      <c r="BF36" s="1">
        <f>'Data (2)'!BF109-BE36-BD36-BC36</f>
        <v>0</v>
      </c>
      <c r="BG36" s="12">
        <f t="shared" ref="BG36:BG48" si="31">SUM(BC36:BF36)</f>
        <v>309</v>
      </c>
      <c r="BH36" s="1">
        <f>'Data (2)'!BH109</f>
        <v>60</v>
      </c>
      <c r="BI36" s="1">
        <f>'Data (2)'!BI109-BH36</f>
        <v>43</v>
      </c>
      <c r="BJ36" s="1">
        <f>'Data (2)'!BJ109-BI36-BH36</f>
        <v>567</v>
      </c>
      <c r="BK36" s="1">
        <f>'Data (2)'!BK109-BJ36-BI36-BH36</f>
        <v>0</v>
      </c>
      <c r="BL36" s="12">
        <f t="shared" ref="BL36:BL48" si="32">SUM(BH36:BK36)</f>
        <v>670</v>
      </c>
      <c r="BM36" s="1">
        <f>'Data (2)'!BM109</f>
        <v>0</v>
      </c>
      <c r="BN36" s="1">
        <f>'Data (2)'!BN109-BM36</f>
        <v>0</v>
      </c>
      <c r="BO36" s="1">
        <f>'Data (2)'!BO109-BN36-BM36</f>
        <v>300</v>
      </c>
      <c r="BP36" s="1">
        <f>'Data (2)'!BP109-BO36-BN36-BM36</f>
        <v>0</v>
      </c>
      <c r="BQ36" s="12">
        <f t="shared" ref="BQ36:BQ48" si="33">SUM(BM36:BP36)</f>
        <v>300</v>
      </c>
      <c r="BR36" s="1">
        <f>'Data (2)'!BR109</f>
        <v>111</v>
      </c>
      <c r="BS36" s="1">
        <f>'Data (2)'!BS109-BR36</f>
        <v>12.099999999999994</v>
      </c>
      <c r="BT36" s="1">
        <f>'Data (2)'!BT109-BS36-BR36</f>
        <v>-32.699999999999989</v>
      </c>
      <c r="BU36" s="1">
        <f>'Data (2)'!BU109-BT36-BS36-BR36</f>
        <v>14</v>
      </c>
      <c r="BV36" s="12">
        <f t="shared" ref="BV36:BV48" si="34">SUM(BR36:BU36)</f>
        <v>104.4</v>
      </c>
      <c r="BW36" s="1">
        <f>'Data (2)'!BW109</f>
        <v>435.7</v>
      </c>
      <c r="BX36" s="1">
        <f>'Data (2)'!BX109-BW36</f>
        <v>0</v>
      </c>
      <c r="BY36" s="1">
        <f>'Data (2)'!BY109-BX36-BW36</f>
        <v>0</v>
      </c>
      <c r="BZ36" s="1">
        <f>'Data (2)'!BZ109-BY36-BX36-BW36</f>
        <v>0</v>
      </c>
      <c r="CA36" s="12">
        <f t="shared" ref="CA36:CA48" si="35">SUM(BW36:BZ36)</f>
        <v>435.7</v>
      </c>
      <c r="CB36" s="1">
        <f>'Data (2)'!CB109</f>
        <v>0</v>
      </c>
      <c r="CC36" s="1">
        <f>'Data (2)'!CC109-CB36</f>
        <v>0</v>
      </c>
      <c r="CD36" s="1">
        <f>'Data (2)'!CD109-CC36-CB36</f>
        <v>0</v>
      </c>
      <c r="CE36" s="1">
        <f>'Data (2)'!CE109-CD36-CC36-CB36</f>
        <v>0</v>
      </c>
      <c r="CF36" s="12">
        <f t="shared" ref="CF36:CF48" si="36">SUM(CB36:CE36)</f>
        <v>0</v>
      </c>
      <c r="CG36" s="1">
        <f>'Data (2)'!CG109</f>
        <v>0</v>
      </c>
      <c r="CH36" s="1">
        <f>'Data (2)'!CH109-CG36</f>
        <v>0</v>
      </c>
      <c r="CI36" s="1">
        <f>'Data (2)'!CI109-CH36-CG36</f>
        <v>0</v>
      </c>
      <c r="CJ36" s="1">
        <f>'Data (2)'!CJ109-CI36-CH36-CG36</f>
        <v>0</v>
      </c>
      <c r="CK36" s="12">
        <f t="shared" ref="CK36:CK48" si="37">SUM(CG36:CJ36)</f>
        <v>0</v>
      </c>
      <c r="CL36" s="1">
        <f>'Data (2)'!CL109</f>
        <v>0</v>
      </c>
      <c r="CM36" s="141">
        <v>0</v>
      </c>
      <c r="CN36" s="141">
        <v>0</v>
      </c>
      <c r="CO36" s="141">
        <v>0</v>
      </c>
      <c r="CP36" s="12">
        <f t="shared" ref="CP36:CP48" si="38">SUM(CL36:CO36)</f>
        <v>0</v>
      </c>
      <c r="CQ36" s="138">
        <v>0</v>
      </c>
      <c r="CR36" s="138">
        <v>0</v>
      </c>
      <c r="CS36" s="138">
        <v>0</v>
      </c>
    </row>
    <row r="37" spans="2:98">
      <c r="B37" s="1" t="s">
        <v>76</v>
      </c>
      <c r="C37" s="12">
        <f>'Data (2)'!C110</f>
        <v>-9.6790000000000003</v>
      </c>
      <c r="D37" s="12">
        <f>'Data (2)'!D110</f>
        <v>-1.8049999999999999</v>
      </c>
      <c r="E37" s="12">
        <f>'Data (2)'!E110</f>
        <v>-18</v>
      </c>
      <c r="F37" s="12">
        <f>'Data (2)'!F110</f>
        <v>-126</v>
      </c>
      <c r="G37" s="12">
        <f>'Data (2)'!G110</f>
        <v>-110.6</v>
      </c>
      <c r="H37" s="12">
        <f>'Data (2)'!H110</f>
        <v>-9.9</v>
      </c>
      <c r="I37" s="12">
        <f>'Data (2)'!I110</f>
        <v>76.800000000000011</v>
      </c>
      <c r="J37" s="1">
        <f>'Data (2)'!J110</f>
        <v>-12.3</v>
      </c>
      <c r="K37" s="1">
        <f>'Data (2)'!K110-J37</f>
        <v>-10.599999999999998</v>
      </c>
      <c r="L37" s="1">
        <f>'Data (2)'!L110-K37-J37</f>
        <v>0</v>
      </c>
      <c r="M37" s="1">
        <f>'Data (2)'!M110-L37-K37-J37</f>
        <v>-25.800000000000008</v>
      </c>
      <c r="N37" s="12">
        <f t="shared" si="0"/>
        <v>-48.7</v>
      </c>
      <c r="O37" s="1">
        <f>'Data (2)'!O110</f>
        <v>-304.5</v>
      </c>
      <c r="P37" s="1">
        <f>'Data (2)'!P110-O37</f>
        <v>0</v>
      </c>
      <c r="Q37" s="1">
        <f>'Data (2)'!Q110-P37-O37</f>
        <v>0</v>
      </c>
      <c r="R37" s="1">
        <f>'Data (2)'!R110-Q37-P37-O37</f>
        <v>0</v>
      </c>
      <c r="S37" s="12">
        <f t="shared" si="1"/>
        <v>-304.5</v>
      </c>
      <c r="T37" s="1">
        <f>'Data (2)'!T110</f>
        <v>0</v>
      </c>
      <c r="U37" s="1">
        <f>'Data (2)'!U110-T37</f>
        <v>0</v>
      </c>
      <c r="V37" s="1">
        <f>'Data (2)'!V110-U37-T37</f>
        <v>0</v>
      </c>
      <c r="W37" s="1">
        <f>'Data (2)'!W110-V37-U37-T37</f>
        <v>-1.4</v>
      </c>
      <c r="X37" s="12">
        <f t="shared" si="2"/>
        <v>-1.4</v>
      </c>
      <c r="Y37" s="1">
        <f>'Data (2)'!Y110</f>
        <v>0</v>
      </c>
      <c r="Z37" s="1">
        <f>'Data (2)'!Z110-Y37</f>
        <v>0</v>
      </c>
      <c r="AA37" s="1">
        <f>'Data (2)'!AA110-Z37-Y37</f>
        <v>0</v>
      </c>
      <c r="AB37" s="1">
        <f>'Data (2)'!AB110-AA37-Z37-Y37</f>
        <v>0</v>
      </c>
      <c r="AC37" s="12">
        <f t="shared" si="3"/>
        <v>0</v>
      </c>
      <c r="AD37" s="1">
        <f>'Data (2)'!AD110</f>
        <v>0</v>
      </c>
      <c r="AE37" s="1">
        <f>'Data (2)'!AE110-AD37</f>
        <v>0</v>
      </c>
      <c r="AF37" s="1">
        <f>'Data (2)'!AF110-AE37-AD37</f>
        <v>0</v>
      </c>
      <c r="AG37" s="1">
        <f>'Data (2)'!AG110-AF37-AE37-AD37</f>
        <v>0</v>
      </c>
      <c r="AH37" s="12">
        <f t="shared" si="4"/>
        <v>0</v>
      </c>
      <c r="AI37" s="1">
        <f>'Data (2)'!AI110</f>
        <v>0</v>
      </c>
      <c r="AJ37" s="1">
        <f>'Data (2)'!AJ110-AI37</f>
        <v>0</v>
      </c>
      <c r="AK37" s="1">
        <f>'Data (2)'!AK110-AJ37-AI37</f>
        <v>0</v>
      </c>
      <c r="AL37" s="1">
        <f>'Data (2)'!AL110-AK37-AJ37-AI37</f>
        <v>0</v>
      </c>
      <c r="AM37" s="12">
        <f t="shared" si="5"/>
        <v>0</v>
      </c>
      <c r="AN37" s="1">
        <f>'Data (2)'!AN110</f>
        <v>0</v>
      </c>
      <c r="AO37" s="1">
        <f>'Data (2)'!AO110-AN37</f>
        <v>0</v>
      </c>
      <c r="AP37" s="1">
        <f>'Data (2)'!AP110-AO37-AN37</f>
        <v>0</v>
      </c>
      <c r="AQ37" s="1">
        <f>'Data (2)'!AQ110-AP37-AO37-AN37</f>
        <v>0</v>
      </c>
      <c r="AR37" s="12">
        <f t="shared" si="6"/>
        <v>0</v>
      </c>
      <c r="AS37" s="1">
        <f>'Data (2)'!AS110</f>
        <v>-35</v>
      </c>
      <c r="AT37" s="1">
        <f>'Data (2)'!AT110-AS37</f>
        <v>-115</v>
      </c>
      <c r="AU37" s="1">
        <f>'Data (2)'!AU110-AT37-AS37</f>
        <v>0</v>
      </c>
      <c r="AV37" s="1">
        <f>'Data (2)'!AV110-AU37-AT37-AS37</f>
        <v>-1.5</v>
      </c>
      <c r="AW37" s="12">
        <f t="shared" si="7"/>
        <v>-151.5</v>
      </c>
      <c r="AX37" s="1">
        <f>'Data (2)'!AX110</f>
        <v>0</v>
      </c>
      <c r="AY37" s="1">
        <f>'Data (2)'!AY110-AX37</f>
        <v>-74.3</v>
      </c>
      <c r="AZ37" s="1">
        <f>'Data (2)'!AZ110-AY37-AX37</f>
        <v>0.79999999999999716</v>
      </c>
      <c r="BA37" s="1">
        <f>'Data (2)'!BA110-AZ37-AY37-AX37</f>
        <v>0</v>
      </c>
      <c r="BB37" s="12">
        <f t="shared" si="8"/>
        <v>-73.5</v>
      </c>
      <c r="BC37" s="1">
        <f>'Data (2)'!BC110</f>
        <v>0</v>
      </c>
      <c r="BD37" s="1">
        <f>'Data (2)'!BD110-BC37</f>
        <v>0</v>
      </c>
      <c r="BE37" s="1">
        <f>'Data (2)'!BE110-BD37-BC37</f>
        <v>0</v>
      </c>
      <c r="BF37" s="1">
        <f>'Data (2)'!BF110-BE37-BD37-BC37</f>
        <v>0</v>
      </c>
      <c r="BG37" s="12">
        <f t="shared" si="31"/>
        <v>0</v>
      </c>
      <c r="BH37" s="1">
        <f>'Data (2)'!BH110</f>
        <v>0</v>
      </c>
      <c r="BI37" s="1">
        <f>'Data (2)'!BI110-BH37</f>
        <v>0</v>
      </c>
      <c r="BJ37" s="1">
        <f>'Data (2)'!BJ110-BI37-BH37</f>
        <v>0</v>
      </c>
      <c r="BK37" s="1">
        <f>'Data (2)'!BK110-BJ37-BI37-BH37</f>
        <v>0</v>
      </c>
      <c r="BL37" s="12">
        <f t="shared" si="32"/>
        <v>0</v>
      </c>
      <c r="BM37" s="1">
        <f>'Data (2)'!BM110</f>
        <v>0</v>
      </c>
      <c r="BN37" s="1">
        <f>'Data (2)'!BN110-BM37</f>
        <v>0</v>
      </c>
      <c r="BO37" s="1">
        <f>'Data (2)'!BO110-BN37-BM37</f>
        <v>0</v>
      </c>
      <c r="BP37" s="1">
        <f>'Data (2)'!BP110-BO37-BN37-BM37</f>
        <v>0</v>
      </c>
      <c r="BQ37" s="12">
        <f t="shared" si="33"/>
        <v>0</v>
      </c>
      <c r="BR37" s="1">
        <f>'Data (2)'!BR110</f>
        <v>0</v>
      </c>
      <c r="BS37" s="1">
        <f>'Data (2)'!BS110-BR37</f>
        <v>0</v>
      </c>
      <c r="BT37" s="1">
        <f>'Data (2)'!BT110-BS37-BR37</f>
        <v>0</v>
      </c>
      <c r="BU37" s="1">
        <f>'Data (2)'!BU110-BT37-BS37-BR37</f>
        <v>0</v>
      </c>
      <c r="BV37" s="12">
        <f t="shared" si="34"/>
        <v>0</v>
      </c>
      <c r="BW37" s="1">
        <f>'Data (2)'!BW110</f>
        <v>0</v>
      </c>
      <c r="BX37" s="1">
        <f>'Data (2)'!BX110-BW37</f>
        <v>0</v>
      </c>
      <c r="BY37" s="1">
        <f>'Data (2)'!BY110-BX37-BW37</f>
        <v>0</v>
      </c>
      <c r="BZ37" s="1">
        <f>'Data (2)'!BZ110-BY37-BX37-BW37</f>
        <v>0</v>
      </c>
      <c r="CA37" s="12">
        <f t="shared" si="35"/>
        <v>0</v>
      </c>
      <c r="CB37" s="1">
        <f>'Data (2)'!CB110</f>
        <v>0</v>
      </c>
      <c r="CC37" s="1">
        <f>'Data (2)'!CC110-CB37</f>
        <v>0</v>
      </c>
      <c r="CD37" s="1">
        <f>'Data (2)'!CD110-CC37-CB37</f>
        <v>0</v>
      </c>
      <c r="CE37" s="1">
        <f>'Data (2)'!CE110-CD37-CC37-CB37</f>
        <v>0</v>
      </c>
      <c r="CF37" s="12">
        <f t="shared" si="36"/>
        <v>0</v>
      </c>
      <c r="CG37" s="1">
        <f>'Data (2)'!CG110</f>
        <v>0</v>
      </c>
      <c r="CH37" s="1">
        <f>'Data (2)'!CH110-CG37</f>
        <v>0</v>
      </c>
      <c r="CI37" s="1">
        <f>'Data (2)'!CI110-CH37-CG37</f>
        <v>0</v>
      </c>
      <c r="CJ37" s="1">
        <f>'Data (2)'!CJ110-CI37-CH37-CG37</f>
        <v>0</v>
      </c>
      <c r="CK37" s="12">
        <f t="shared" si="37"/>
        <v>0</v>
      </c>
      <c r="CL37" s="1">
        <f>'Data (2)'!CL110</f>
        <v>0</v>
      </c>
      <c r="CM37" s="141">
        <v>0</v>
      </c>
      <c r="CN37" s="141">
        <v>0</v>
      </c>
      <c r="CO37" s="141">
        <v>0</v>
      </c>
      <c r="CP37" s="12">
        <f t="shared" si="38"/>
        <v>0</v>
      </c>
      <c r="CQ37" s="138">
        <v>0</v>
      </c>
      <c r="CR37" s="138">
        <v>0</v>
      </c>
      <c r="CS37" s="138">
        <v>0</v>
      </c>
    </row>
    <row r="38" spans="2:98">
      <c r="B38" s="1" t="s">
        <v>474</v>
      </c>
      <c r="C38" s="12">
        <f>'Data (2)'!C111</f>
        <v>57.186</v>
      </c>
      <c r="D38" s="12">
        <f>'Data (2)'!D111</f>
        <v>459.70499999999998</v>
      </c>
      <c r="E38" s="12">
        <f>'Data (2)'!E111</f>
        <v>-311.90000000000003</v>
      </c>
      <c r="F38" s="12">
        <f>'Data (2)'!F111</f>
        <v>29.5</v>
      </c>
      <c r="G38" s="12">
        <f>'Data (2)'!G111</f>
        <v>24.6</v>
      </c>
      <c r="H38" s="12">
        <f>'Data (2)'!H111</f>
        <v>-57.4</v>
      </c>
      <c r="I38" s="12">
        <f>'Data (2)'!I111</f>
        <v>-175.7</v>
      </c>
      <c r="J38" s="1">
        <f>'Data (2)'!J111</f>
        <v>-3.4</v>
      </c>
      <c r="K38" s="1">
        <f>'Data (2)'!K111-J38</f>
        <v>11.2</v>
      </c>
      <c r="L38" s="1">
        <f>'Data (2)'!L111-K38-J38</f>
        <v>-11.899999999999999</v>
      </c>
      <c r="M38" s="1">
        <f>'Data (2)'!M111-L38-K38-J38</f>
        <v>0</v>
      </c>
      <c r="N38" s="12">
        <f t="shared" si="0"/>
        <v>-4.0999999999999996</v>
      </c>
      <c r="O38" s="1">
        <f>'Data (2)'!O111</f>
        <v>127</v>
      </c>
      <c r="P38" s="1">
        <f>'Data (2)'!P111-O38</f>
        <v>-32</v>
      </c>
      <c r="Q38" s="1">
        <f>'Data (2)'!Q111-P38-O38</f>
        <v>-25</v>
      </c>
      <c r="R38" s="1">
        <f>'Data (2)'!R111-Q38-P38-O38</f>
        <v>-5</v>
      </c>
      <c r="S38" s="12">
        <f t="shared" si="1"/>
        <v>65</v>
      </c>
      <c r="T38" s="1">
        <f>'Data (2)'!T111</f>
        <v>30</v>
      </c>
      <c r="U38" s="1">
        <f>'Data (2)'!U111-T38</f>
        <v>-23.9</v>
      </c>
      <c r="V38" s="1">
        <f>'Data (2)'!V111-U38-T38</f>
        <v>4.5</v>
      </c>
      <c r="W38" s="1">
        <f>'Data (2)'!W111-V38-U38-T38</f>
        <v>-15.600000000000001</v>
      </c>
      <c r="X38" s="12">
        <f t="shared" si="2"/>
        <v>-5</v>
      </c>
      <c r="Y38" s="1">
        <f>'Data (2)'!Y111</f>
        <v>9.2000000000000028</v>
      </c>
      <c r="Z38" s="1">
        <f>'Data (2)'!Z111-Y38</f>
        <v>-17.400000000000006</v>
      </c>
      <c r="AA38" s="1">
        <f>'Data (2)'!AA111-Z38-Y38</f>
        <v>-79.7</v>
      </c>
      <c r="AB38" s="1">
        <f>'Data (2)'!AB111-AA38-Z38-Y38</f>
        <v>-8.2999999999999972</v>
      </c>
      <c r="AC38" s="12">
        <f t="shared" si="3"/>
        <v>-96.2</v>
      </c>
      <c r="AD38" s="1">
        <f>'Data (2)'!AD111</f>
        <v>55.7</v>
      </c>
      <c r="AE38" s="1">
        <f>'Data (2)'!AE111-AD38</f>
        <v>23.899999999999991</v>
      </c>
      <c r="AF38" s="1">
        <f>'Data (2)'!AF111-AE38-AD38</f>
        <v>-0.19999999999998863</v>
      </c>
      <c r="AG38" s="1">
        <f>'Data (2)'!AG111-AF38-AE38-AD38</f>
        <v>-0.10000000000000853</v>
      </c>
      <c r="AH38" s="12">
        <f t="shared" si="4"/>
        <v>79.3</v>
      </c>
      <c r="AI38" s="1">
        <f>'Data (2)'!AI111</f>
        <v>4.2</v>
      </c>
      <c r="AJ38" s="1">
        <f>'Data (2)'!AJ111-AI38</f>
        <v>4.2</v>
      </c>
      <c r="AK38" s="1">
        <f>'Data (2)'!AK111-AJ38-AI38</f>
        <v>-11.8</v>
      </c>
      <c r="AL38" s="1">
        <f>'Data (2)'!AL111-AK38-AJ38-AI38</f>
        <v>0</v>
      </c>
      <c r="AM38" s="12">
        <f t="shared" si="5"/>
        <v>-3.4000000000000004</v>
      </c>
      <c r="AN38" s="1">
        <f>'Data (2)'!AN111</f>
        <v>-30</v>
      </c>
      <c r="AO38" s="1">
        <f>'Data (2)'!AO111-AN38</f>
        <v>0</v>
      </c>
      <c r="AP38" s="1">
        <f>'Data (2)'!AP111-AO38-AN38</f>
        <v>-35.399999999999991</v>
      </c>
      <c r="AQ38" s="1">
        <f>'Data (2)'!AQ111-AP38-AO38-AN38</f>
        <v>2.7000000000000028</v>
      </c>
      <c r="AR38" s="12">
        <f t="shared" si="6"/>
        <v>-62.699999999999989</v>
      </c>
      <c r="AS38" s="1">
        <f>'Data (2)'!AS111</f>
        <v>-150</v>
      </c>
      <c r="AT38" s="1">
        <f>'Data (2)'!AT111-AS38</f>
        <v>90</v>
      </c>
      <c r="AU38" s="1">
        <f>'Data (2)'!AU111-AT38-AS38</f>
        <v>-1</v>
      </c>
      <c r="AV38" s="1">
        <f>'Data (2)'!AV111-AU38-AT38-AS38</f>
        <v>4</v>
      </c>
      <c r="AW38" s="12">
        <f t="shared" si="7"/>
        <v>-57</v>
      </c>
      <c r="AX38" s="1">
        <f>'Data (2)'!AX111</f>
        <v>-0.5</v>
      </c>
      <c r="AY38" s="1">
        <f>'Data (2)'!AY111-AX38</f>
        <v>-2</v>
      </c>
      <c r="AZ38" s="1">
        <f>'Data (2)'!AZ111-AY38-AX38</f>
        <v>-2.5</v>
      </c>
      <c r="BA38" s="1">
        <f>'Data (2)'!BA111-AZ38-AY38-AX38</f>
        <v>-2.5</v>
      </c>
      <c r="BB38" s="12">
        <f t="shared" si="8"/>
        <v>-7.5</v>
      </c>
      <c r="BC38" s="1">
        <f>'Data (2)'!BC111</f>
        <v>-2.5</v>
      </c>
      <c r="BD38" s="1">
        <f>'Data (2)'!BD111-BC38</f>
        <v>-247.5</v>
      </c>
      <c r="BE38" s="1">
        <f>'Data (2)'!BE111-BD38-BC38</f>
        <v>-47</v>
      </c>
      <c r="BF38" s="1">
        <f>'Data (2)'!BF111-BE38-BD38-BC38</f>
        <v>30</v>
      </c>
      <c r="BG38" s="12">
        <f t="shared" si="31"/>
        <v>-267</v>
      </c>
      <c r="BH38" s="1">
        <f>'Data (2)'!BH111</f>
        <v>0</v>
      </c>
      <c r="BI38" s="1">
        <f>'Data (2)'!BI111-BH38</f>
        <v>0</v>
      </c>
      <c r="BJ38" s="1">
        <f>'Data (2)'!BJ111-BI38-BH38</f>
        <v>-532</v>
      </c>
      <c r="BK38" s="1">
        <f>'Data (2)'!BK111-BJ38-BI38-BH38</f>
        <v>-15</v>
      </c>
      <c r="BL38" s="12">
        <f t="shared" si="32"/>
        <v>-547</v>
      </c>
      <c r="BM38" s="1">
        <f>'Data (2)'!BM111</f>
        <v>65</v>
      </c>
      <c r="BN38" s="1">
        <f>'Data (2)'!BN111-BM38</f>
        <v>27.799999999999997</v>
      </c>
      <c r="BO38" s="1">
        <f>'Data (2)'!BO111-BN38-BM38</f>
        <v>-207.8</v>
      </c>
      <c r="BP38" s="1">
        <f>'Data (2)'!BP111-BO38-BN38-BM38</f>
        <v>-19.999999999999986</v>
      </c>
      <c r="BQ38" s="12">
        <f t="shared" si="33"/>
        <v>-135</v>
      </c>
      <c r="BR38" s="1">
        <f>'Data (2)'!BR111</f>
        <v>0</v>
      </c>
      <c r="BS38" s="1">
        <f>'Data (2)'!BS111-BR38</f>
        <v>0</v>
      </c>
      <c r="BT38" s="1">
        <f>'Data (2)'!BT111-BS38-BR38</f>
        <v>0</v>
      </c>
      <c r="BU38" s="1">
        <f>'Data (2)'!BU111-BT38-BS38-BR38</f>
        <v>0</v>
      </c>
      <c r="BV38" s="12">
        <f t="shared" si="34"/>
        <v>0</v>
      </c>
      <c r="BW38" s="1">
        <f>'Data (2)'!BW111</f>
        <v>-280</v>
      </c>
      <c r="BX38" s="1">
        <f>'Data (2)'!BX111-BW38</f>
        <v>-20</v>
      </c>
      <c r="BY38" s="1">
        <f>'Data (2)'!BY111-BX38-BW38</f>
        <v>10</v>
      </c>
      <c r="BZ38" s="1">
        <f>'Data (2)'!BZ111-BY38-BX38-BW38</f>
        <v>-25</v>
      </c>
      <c r="CA38" s="12">
        <f t="shared" si="35"/>
        <v>-315</v>
      </c>
      <c r="CB38" s="1">
        <f>'Data (2)'!CB111</f>
        <v>28</v>
      </c>
      <c r="CC38" s="1">
        <f>'Data (2)'!CC111-CB38</f>
        <v>107</v>
      </c>
      <c r="CD38" s="1">
        <f>'Data (2)'!CD111-CC38-CB38</f>
        <v>50</v>
      </c>
      <c r="CE38" s="1">
        <f>'Data (2)'!CE111-CD38-CC38-CB38</f>
        <v>-33</v>
      </c>
      <c r="CF38" s="12">
        <f t="shared" si="36"/>
        <v>152</v>
      </c>
      <c r="CG38" s="1">
        <f>'Data (2)'!CG111</f>
        <v>212</v>
      </c>
      <c r="CH38" s="1">
        <f>'Data (2)'!CH111-CG38</f>
        <v>-36</v>
      </c>
      <c r="CI38" s="1">
        <f>'Data (2)'!CI111-CH38-CG38</f>
        <v>1</v>
      </c>
      <c r="CJ38" s="1">
        <f>'Data (2)'!CJ111-CI38-CH38-CG38</f>
        <v>-66</v>
      </c>
      <c r="CK38" s="12">
        <f t="shared" si="37"/>
        <v>111</v>
      </c>
      <c r="CL38" s="1">
        <f>'Data (2)'!CL111</f>
        <v>380</v>
      </c>
      <c r="CM38" s="141">
        <v>0</v>
      </c>
      <c r="CN38" s="141">
        <v>-25</v>
      </c>
      <c r="CO38" s="141">
        <v>-50</v>
      </c>
      <c r="CP38" s="12">
        <f t="shared" si="38"/>
        <v>305</v>
      </c>
      <c r="CQ38" s="138">
        <v>-300</v>
      </c>
      <c r="CR38" s="138">
        <v>-100</v>
      </c>
      <c r="CS38" s="138">
        <v>0</v>
      </c>
    </row>
    <row r="39" spans="2:98">
      <c r="B39" s="1" t="s">
        <v>249</v>
      </c>
      <c r="C39" s="12">
        <f>'Data (2)'!C112</f>
        <v>0</v>
      </c>
      <c r="D39" s="12">
        <f>'Data (2)'!D112</f>
        <v>0</v>
      </c>
      <c r="E39" s="12">
        <f>'Data (2)'!E112</f>
        <v>0</v>
      </c>
      <c r="F39" s="12">
        <f>'Data (2)'!F112</f>
        <v>0</v>
      </c>
      <c r="G39" s="12">
        <f>'Data (2)'!G112</f>
        <v>0</v>
      </c>
      <c r="H39" s="12">
        <f>'Data (2)'!H112</f>
        <v>0</v>
      </c>
      <c r="I39" s="12">
        <f>'Data (2)'!I112</f>
        <v>-39.200000000000003</v>
      </c>
      <c r="J39" s="1">
        <f>'Data (2)'!J112</f>
        <v>0</v>
      </c>
      <c r="K39" s="1">
        <f>'Data (2)'!K112-J39</f>
        <v>-1.2</v>
      </c>
      <c r="L39" s="1">
        <f>'Data (2)'!L112-K39-J39</f>
        <v>0.89999999999999991</v>
      </c>
      <c r="M39" s="1">
        <f>'Data (2)'!M112-L39-K39-J39</f>
        <v>-1.3</v>
      </c>
      <c r="N39" s="12">
        <f t="shared" si="0"/>
        <v>-1.6</v>
      </c>
      <c r="O39" s="1">
        <f>'Data (2)'!O112</f>
        <v>1.4</v>
      </c>
      <c r="P39" s="1">
        <f>'Data (2)'!P112-O39</f>
        <v>2.6999999999999997</v>
      </c>
      <c r="Q39" s="1">
        <f>'Data (2)'!Q112-P39-O39</f>
        <v>-2.0999999999999996</v>
      </c>
      <c r="R39" s="1">
        <f>'Data (2)'!R112-Q39-P39-O39</f>
        <v>-1.2999999999999998</v>
      </c>
      <c r="S39" s="12">
        <f t="shared" si="1"/>
        <v>0.70000000000000018</v>
      </c>
      <c r="T39" s="1">
        <f>'Data (2)'!T112</f>
        <v>2.9</v>
      </c>
      <c r="U39" s="1">
        <f>'Data (2)'!U112-T39</f>
        <v>-1.5999999999999999</v>
      </c>
      <c r="V39" s="1">
        <f>'Data (2)'!V112-U39-T39</f>
        <v>-0.30000000000000027</v>
      </c>
      <c r="W39" s="1">
        <f>'Data (2)'!W112-V39-U39-T39</f>
        <v>-2.5999999999999996</v>
      </c>
      <c r="X39" s="12">
        <f t="shared" si="2"/>
        <v>-1.5999999999999999</v>
      </c>
      <c r="Y39" s="1">
        <f>'Data (2)'!Y112</f>
        <v>0</v>
      </c>
      <c r="Z39" s="1">
        <f>'Data (2)'!Z112-Y39</f>
        <v>-0.2</v>
      </c>
      <c r="AA39" s="1">
        <f>'Data (2)'!AA112-Z39-Y39</f>
        <v>0.1</v>
      </c>
      <c r="AB39" s="1">
        <f>'Data (2)'!AB112-AA39-Z39-Y39</f>
        <v>-0.49999999999999994</v>
      </c>
      <c r="AC39" s="12">
        <f t="shared" si="3"/>
        <v>-0.6</v>
      </c>
      <c r="AD39" s="1">
        <f>'Data (2)'!AD112</f>
        <v>-0.1</v>
      </c>
      <c r="AE39" s="1">
        <f>'Data (2)'!AE112-AD39</f>
        <v>-0.1</v>
      </c>
      <c r="AF39" s="1">
        <f>'Data (2)'!AF112-AE39-AD39</f>
        <v>-9.9999999999999978E-2</v>
      </c>
      <c r="AG39" s="1">
        <f>'Data (2)'!AG112-AF39-AE39-AD39</f>
        <v>-0.10000000000000003</v>
      </c>
      <c r="AH39" s="12">
        <f t="shared" si="4"/>
        <v>-0.4</v>
      </c>
      <c r="AI39" s="1">
        <f>'Data (2)'!AI112</f>
        <v>-0.1</v>
      </c>
      <c r="AJ39" s="1">
        <f>'Data (2)'!AJ112-AI39</f>
        <v>0.7</v>
      </c>
      <c r="AK39" s="1">
        <f>'Data (2)'!AK112-AJ39-AI39</f>
        <v>-0.6</v>
      </c>
      <c r="AL39" s="1">
        <f>'Data (2)'!AL112-AK39-AJ39-AI39</f>
        <v>0.29999999999999993</v>
      </c>
      <c r="AM39" s="12">
        <f t="shared" si="5"/>
        <v>0.29999999999999993</v>
      </c>
      <c r="AN39" s="1">
        <f>'Data (2)'!AN112</f>
        <v>-0.1</v>
      </c>
      <c r="AO39" s="1">
        <f>'Data (2)'!AO112-AN39</f>
        <v>-0.1</v>
      </c>
      <c r="AP39" s="1">
        <f>'Data (2)'!AP112-AO39-AN39</f>
        <v>0</v>
      </c>
      <c r="AQ39" s="1">
        <f>'Data (2)'!AQ112-AP39-AO39-AN39</f>
        <v>-0.30000000000000004</v>
      </c>
      <c r="AR39" s="12">
        <f t="shared" si="6"/>
        <v>-0.5</v>
      </c>
      <c r="AS39" s="1">
        <f>'Data (2)'!AS112</f>
        <v>-2.6</v>
      </c>
      <c r="AT39" s="1">
        <f>'Data (2)'!AT112-AS39</f>
        <v>-3.5000000000000004</v>
      </c>
      <c r="AU39" s="1">
        <f>'Data (2)'!AU112-AT39-AS39</f>
        <v>-1.2999999999999989</v>
      </c>
      <c r="AV39" s="1">
        <f>'Data (2)'!AV112-AU39-AT39-AS39</f>
        <v>-0.60000000000000053</v>
      </c>
      <c r="AW39" s="12">
        <f t="shared" si="7"/>
        <v>-8</v>
      </c>
      <c r="AX39" s="1">
        <f>'Data (2)'!AX112</f>
        <v>-0.2</v>
      </c>
      <c r="AY39" s="1">
        <f>'Data (2)'!AY112-AX39</f>
        <v>4.3</v>
      </c>
      <c r="AZ39" s="1">
        <f>'Data (2)'!AZ112-AY39-AX39</f>
        <v>-2.2999999999999998</v>
      </c>
      <c r="BA39" s="1">
        <f>'Data (2)'!BA112-AZ39-AY39-AX39</f>
        <v>-2.2999999999999998</v>
      </c>
      <c r="BB39" s="12">
        <f t="shared" si="8"/>
        <v>-0.5</v>
      </c>
      <c r="BC39" s="1">
        <f>'Data (2)'!BC112</f>
        <v>-1.3</v>
      </c>
      <c r="BD39" s="1">
        <f>'Data (2)'!BD112-BC39</f>
        <v>-0.30000000000000004</v>
      </c>
      <c r="BE39" s="1">
        <f>'Data (2)'!BE112-BD39-BC39</f>
        <v>-0.29999999999999982</v>
      </c>
      <c r="BF39" s="1">
        <f>'Data (2)'!BF112-BE39-BD39-BC39</f>
        <v>-1.9000000000000001</v>
      </c>
      <c r="BG39" s="12">
        <f t="shared" si="31"/>
        <v>-3.8</v>
      </c>
      <c r="BH39" s="1">
        <f>'Data (2)'!BH112</f>
        <v>-0.2</v>
      </c>
      <c r="BI39" s="1">
        <f>'Data (2)'!BI112-BH39</f>
        <v>0</v>
      </c>
      <c r="BJ39" s="1">
        <f>'Data (2)'!BJ112-BI39-BH39</f>
        <v>0</v>
      </c>
      <c r="BK39" s="1">
        <f>'Data (2)'!BK112-BJ39-BI39-BH39</f>
        <v>-1.5</v>
      </c>
      <c r="BL39" s="12">
        <f t="shared" si="32"/>
        <v>-1.7</v>
      </c>
      <c r="BM39" s="1">
        <f>'Data (2)'!BM112</f>
        <v>0</v>
      </c>
      <c r="BN39" s="1">
        <f>'Data (2)'!BN112-BM39</f>
        <v>0</v>
      </c>
      <c r="BO39" s="1">
        <f>'Data (2)'!BO112-BN39-BM39</f>
        <v>0</v>
      </c>
      <c r="BP39" s="1">
        <f>'Data (2)'!BP112-BO39-BN39-BM39</f>
        <v>-1.2</v>
      </c>
      <c r="BQ39" s="12">
        <f t="shared" si="33"/>
        <v>-1.2</v>
      </c>
      <c r="BR39" s="1">
        <f>'Data (2)'!BR112</f>
        <v>-6.9</v>
      </c>
      <c r="BS39" s="1">
        <f>'Data (2)'!BS112-BR39</f>
        <v>5</v>
      </c>
      <c r="BT39" s="1">
        <f>'Data (2)'!BT112-BS39-BR39</f>
        <v>-0.19999999999999929</v>
      </c>
      <c r="BU39" s="1">
        <f>'Data (2)'!BU112-BT39-BS39-BR39</f>
        <v>1.5</v>
      </c>
      <c r="BV39" s="12">
        <f t="shared" si="34"/>
        <v>-0.59999999999999964</v>
      </c>
      <c r="BW39" s="1">
        <f>'Data (2)'!BW112</f>
        <v>-0.1</v>
      </c>
      <c r="BX39" s="1">
        <f>'Data (2)'!BX112-BW39</f>
        <v>-3.9999999999999996</v>
      </c>
      <c r="BY39" s="1">
        <f>'Data (2)'!BY112-BX39-BW39</f>
        <v>0</v>
      </c>
      <c r="BZ39" s="1">
        <f>'Data (2)'!BZ112-BY39-BX39-BW39</f>
        <v>0</v>
      </c>
      <c r="CA39" s="12">
        <f t="shared" si="35"/>
        <v>-4.0999999999999996</v>
      </c>
      <c r="CB39" s="1">
        <f>'Data (2)'!CB112</f>
        <v>0</v>
      </c>
      <c r="CC39" s="1">
        <f>'Data (2)'!CC112-CB39</f>
        <v>-4.2</v>
      </c>
      <c r="CD39" s="1">
        <f>'Data (2)'!CD112-CC39-CB39</f>
        <v>0</v>
      </c>
      <c r="CE39" s="1">
        <f>'Data (2)'!CE112-CD39-CC39-CB39</f>
        <v>0</v>
      </c>
      <c r="CF39" s="12">
        <f t="shared" si="36"/>
        <v>-4.2</v>
      </c>
      <c r="CG39" s="1">
        <f>'Data (2)'!CG112</f>
        <v>-0.2</v>
      </c>
      <c r="CH39" s="1">
        <f>'Data (2)'!CH112-CG39</f>
        <v>-9.2000000000000011</v>
      </c>
      <c r="CI39" s="1">
        <f>'Data (2)'!CI112-CH39-CG39</f>
        <v>-0.19999999999999857</v>
      </c>
      <c r="CJ39" s="1">
        <f>'Data (2)'!CJ112-CI39-CH39-CG39</f>
        <v>-0.20000000000000034</v>
      </c>
      <c r="CK39" s="12">
        <f t="shared" si="37"/>
        <v>-9.8000000000000007</v>
      </c>
      <c r="CL39" s="1">
        <f>'Data (2)'!CL112</f>
        <v>-0.1</v>
      </c>
      <c r="CM39" s="141">
        <v>0</v>
      </c>
      <c r="CN39" s="141">
        <v>0</v>
      </c>
      <c r="CO39" s="141">
        <v>0</v>
      </c>
      <c r="CP39" s="12">
        <f t="shared" si="38"/>
        <v>-0.1</v>
      </c>
      <c r="CQ39" s="138">
        <v>0</v>
      </c>
      <c r="CR39" s="138">
        <v>0</v>
      </c>
      <c r="CS39" s="138">
        <v>0</v>
      </c>
    </row>
    <row r="40" spans="2:98">
      <c r="B40" s="1" t="s">
        <v>99</v>
      </c>
      <c r="C40" s="12">
        <f>'Data (2)'!C113</f>
        <v>0</v>
      </c>
      <c r="D40" s="12">
        <f>'Data (2)'!D113</f>
        <v>-10.263999999999999</v>
      </c>
      <c r="E40" s="12">
        <f>'Data (2)'!E113</f>
        <v>-11</v>
      </c>
      <c r="F40" s="12">
        <f>'Data (2)'!F113</f>
        <v>-0.9</v>
      </c>
      <c r="G40" s="12">
        <f>'Data (2)'!G113</f>
        <v>-3.5</v>
      </c>
      <c r="H40" s="12">
        <f>'Data (2)'!H113</f>
        <v>0</v>
      </c>
      <c r="I40" s="12">
        <f>'Data (2)'!I113</f>
        <v>-14.1</v>
      </c>
      <c r="J40" s="1">
        <f>'Data (2)'!J113</f>
        <v>0</v>
      </c>
      <c r="K40" s="1">
        <f>'Data (2)'!K113-J40</f>
        <v>0</v>
      </c>
      <c r="L40" s="1">
        <f>'Data (2)'!L113-K40-J40</f>
        <v>0</v>
      </c>
      <c r="M40" s="1">
        <f>'Data (2)'!M113-L40-K40-J40</f>
        <v>0</v>
      </c>
      <c r="N40" s="12">
        <f t="shared" si="0"/>
        <v>0</v>
      </c>
      <c r="O40" s="1">
        <f>'Data (2)'!O113</f>
        <v>-11.8</v>
      </c>
      <c r="P40" s="1">
        <f>'Data (2)'!P113-O40</f>
        <v>-0.39999999999999858</v>
      </c>
      <c r="Q40" s="1">
        <f>'Data (2)'!Q113-P40-O40</f>
        <v>9.9999999999999645E-2</v>
      </c>
      <c r="R40" s="1">
        <f>'Data (2)'!R113-Q40-P40-O40</f>
        <v>0</v>
      </c>
      <c r="S40" s="12">
        <f t="shared" si="1"/>
        <v>-12.1</v>
      </c>
      <c r="T40" s="1">
        <f>'Data (2)'!T113</f>
        <v>0</v>
      </c>
      <c r="U40" s="1">
        <f>'Data (2)'!U113-T40</f>
        <v>0</v>
      </c>
      <c r="V40" s="1">
        <f>'Data (2)'!V113-U40-T40</f>
        <v>0</v>
      </c>
      <c r="W40" s="1">
        <f>'Data (2)'!W113-V40-U40-T40</f>
        <v>0</v>
      </c>
      <c r="X40" s="12">
        <f t="shared" si="2"/>
        <v>0</v>
      </c>
      <c r="Y40" s="1">
        <f>'Data (2)'!Y113</f>
        <v>0</v>
      </c>
      <c r="Z40" s="1">
        <f>'Data (2)'!Z113-Y40</f>
        <v>0</v>
      </c>
      <c r="AA40" s="1">
        <f>'Data (2)'!AA113-Z40-Y40</f>
        <v>0</v>
      </c>
      <c r="AB40" s="1">
        <f>'Data (2)'!AB113-AA40-Z40-Y40</f>
        <v>0</v>
      </c>
      <c r="AC40" s="12">
        <f t="shared" si="3"/>
        <v>0</v>
      </c>
      <c r="AD40" s="1">
        <f>'Data (2)'!AD113</f>
        <v>0</v>
      </c>
      <c r="AE40" s="1">
        <f>'Data (2)'!AE113-AD40</f>
        <v>0</v>
      </c>
      <c r="AF40" s="1">
        <f>'Data (2)'!AF113-AE40-AD40</f>
        <v>0</v>
      </c>
      <c r="AG40" s="1">
        <f>'Data (2)'!AG113-AF40-AE40-AD40</f>
        <v>0</v>
      </c>
      <c r="AH40" s="12">
        <f t="shared" si="4"/>
        <v>0</v>
      </c>
      <c r="AI40" s="1">
        <f>'Data (2)'!AI113</f>
        <v>0</v>
      </c>
      <c r="AJ40" s="1">
        <f>'Data (2)'!AJ113-AI40</f>
        <v>-10.3</v>
      </c>
      <c r="AK40" s="1">
        <f>'Data (2)'!AK113-AJ40-AI40</f>
        <v>-9.9999999999999645E-2</v>
      </c>
      <c r="AL40" s="1">
        <f>'Data (2)'!AL113-AK40-AJ40-AI40</f>
        <v>9.9999999999999645E-2</v>
      </c>
      <c r="AM40" s="12">
        <f t="shared" si="5"/>
        <v>-10.3</v>
      </c>
      <c r="AN40" s="1">
        <f>'Data (2)'!AN113</f>
        <v>0</v>
      </c>
      <c r="AO40" s="1">
        <f>'Data (2)'!AO113-AN40</f>
        <v>0</v>
      </c>
      <c r="AP40" s="1">
        <f>'Data (2)'!AP113-AO40-AN40</f>
        <v>-3.7</v>
      </c>
      <c r="AQ40" s="1">
        <f>'Data (2)'!AQ113-AP40-AO40-AN40</f>
        <v>-1.3999999999999995</v>
      </c>
      <c r="AR40" s="12">
        <f t="shared" si="6"/>
        <v>-5.0999999999999996</v>
      </c>
      <c r="AS40" s="1">
        <f>'Data (2)'!AS113</f>
        <v>0</v>
      </c>
      <c r="AT40" s="1">
        <f>'Data (2)'!AT113-AS40</f>
        <v>0</v>
      </c>
      <c r="AU40" s="1">
        <f>'Data (2)'!AU113-AT40-AS40</f>
        <v>0</v>
      </c>
      <c r="AV40" s="1">
        <f>'Data (2)'!AV113-AU40-AT40-AS40</f>
        <v>0</v>
      </c>
      <c r="AW40" s="12">
        <f t="shared" si="7"/>
        <v>0</v>
      </c>
      <c r="AX40" s="1">
        <f>'Data (2)'!AX113</f>
        <v>0</v>
      </c>
      <c r="AY40" s="1">
        <f>'Data (2)'!AY113-AX40</f>
        <v>-0.6</v>
      </c>
      <c r="AZ40" s="1">
        <f>'Data (2)'!AZ113-AY40-AX40</f>
        <v>0</v>
      </c>
      <c r="BA40" s="1">
        <f>'Data (2)'!BA113-AZ40-AY40-AX40</f>
        <v>0</v>
      </c>
      <c r="BB40" s="12">
        <f t="shared" si="8"/>
        <v>-0.6</v>
      </c>
      <c r="BC40" s="1">
        <f>'Data (2)'!BC113</f>
        <v>0</v>
      </c>
      <c r="BD40" s="1">
        <f>'Data (2)'!BD113-BC40</f>
        <v>-2.2000000000000002</v>
      </c>
      <c r="BE40" s="1">
        <f>'Data (2)'!BE113-BD40-BC40</f>
        <v>-0.19999999999999973</v>
      </c>
      <c r="BF40" s="1">
        <f>'Data (2)'!BF113-BE40-BD40-BC40</f>
        <v>0</v>
      </c>
      <c r="BG40" s="12">
        <f t="shared" si="31"/>
        <v>-2.4</v>
      </c>
      <c r="BH40" s="1">
        <f>'Data (2)'!BH113</f>
        <v>0</v>
      </c>
      <c r="BI40" s="1">
        <f>'Data (2)'!BI113-BH40</f>
        <v>0</v>
      </c>
      <c r="BJ40" s="1">
        <f>'Data (2)'!BJ113-BI40-BH40</f>
        <v>-1.3</v>
      </c>
      <c r="BK40" s="1">
        <f>'Data (2)'!BK113-BJ40-BI40-BH40</f>
        <v>-9.9999999999999867E-2</v>
      </c>
      <c r="BL40" s="12">
        <f t="shared" si="32"/>
        <v>-1.4</v>
      </c>
      <c r="BM40" s="1">
        <f>'Data (2)'!BM113</f>
        <v>0</v>
      </c>
      <c r="BN40" s="1">
        <f>'Data (2)'!BN113-BM40</f>
        <v>0</v>
      </c>
      <c r="BO40" s="1">
        <f>'Data (2)'!BO113-BN40-BM40</f>
        <v>0</v>
      </c>
      <c r="BP40" s="1">
        <f>'Data (2)'!BP113-BO40-BN40-BM40</f>
        <v>-3.6</v>
      </c>
      <c r="BQ40" s="12">
        <f t="shared" si="33"/>
        <v>-3.6</v>
      </c>
      <c r="BR40" s="1">
        <f>'Data (2)'!BR113</f>
        <v>0</v>
      </c>
      <c r="BS40" s="1">
        <f>'Data (2)'!BS113-BR40</f>
        <v>0</v>
      </c>
      <c r="BT40" s="1">
        <f>'Data (2)'!BT113-BS40-BR40</f>
        <v>0</v>
      </c>
      <c r="BU40" s="1">
        <f>'Data (2)'!BU113-BT40-BS40-BR40</f>
        <v>0</v>
      </c>
      <c r="BV40" s="12">
        <f t="shared" si="34"/>
        <v>0</v>
      </c>
      <c r="BW40" s="1">
        <f>'Data (2)'!BW113</f>
        <v>-3.7</v>
      </c>
      <c r="BX40" s="1">
        <f>'Data (2)'!BX113-BW40</f>
        <v>0</v>
      </c>
      <c r="BY40" s="1">
        <f>'Data (2)'!BY113-BX40-BW40</f>
        <v>0</v>
      </c>
      <c r="BZ40" s="1">
        <f>'Data (2)'!BZ113-BY40-BX40-BW40</f>
        <v>0</v>
      </c>
      <c r="CA40" s="12">
        <f t="shared" si="35"/>
        <v>-3.7</v>
      </c>
      <c r="CB40" s="1">
        <f>'Data (2)'!CB113</f>
        <v>0</v>
      </c>
      <c r="CC40" s="1">
        <f>'Data (2)'!CC113-CB40</f>
        <v>0</v>
      </c>
      <c r="CD40" s="1">
        <f>'Data (2)'!CD113-CC40-CB40</f>
        <v>0.3</v>
      </c>
      <c r="CE40" s="1">
        <f>'Data (2)'!CE113-CD40-CC40-CB40</f>
        <v>-0.3</v>
      </c>
      <c r="CF40" s="12">
        <f t="shared" si="36"/>
        <v>0</v>
      </c>
      <c r="CG40" s="1">
        <f>'Data (2)'!CG113</f>
        <v>0</v>
      </c>
      <c r="CH40" s="1">
        <f>'Data (2)'!CH113-CG40</f>
        <v>0</v>
      </c>
      <c r="CI40" s="1">
        <f>'Data (2)'!CI113-CH40-CG40</f>
        <v>-2.2000000000000002</v>
      </c>
      <c r="CJ40" s="1">
        <f>'Data (2)'!CJ113-CI40-CH40-CG40</f>
        <v>-0.29999999999999982</v>
      </c>
      <c r="CK40" s="12">
        <f t="shared" si="37"/>
        <v>-2.5</v>
      </c>
      <c r="CL40" s="1">
        <f>'Data (2)'!CL113</f>
        <v>0</v>
      </c>
      <c r="CM40" s="141">
        <v>0</v>
      </c>
      <c r="CN40" s="141">
        <v>0</v>
      </c>
      <c r="CO40" s="141">
        <v>0</v>
      </c>
      <c r="CP40" s="12">
        <f t="shared" si="38"/>
        <v>0</v>
      </c>
      <c r="CQ40" s="138">
        <v>0</v>
      </c>
      <c r="CR40" s="138">
        <v>0</v>
      </c>
      <c r="CS40" s="138">
        <v>0</v>
      </c>
    </row>
    <row r="41" spans="2:98">
      <c r="B41" s="1" t="s">
        <v>100</v>
      </c>
      <c r="C41" s="12">
        <f>'Data (2)'!C114</f>
        <v>0</v>
      </c>
      <c r="D41" s="12">
        <f>'Data (2)'!D114</f>
        <v>0</v>
      </c>
      <c r="E41" s="12">
        <f>'Data (2)'!E114</f>
        <v>0</v>
      </c>
      <c r="F41" s="12">
        <f>'Data (2)'!F114</f>
        <v>0</v>
      </c>
      <c r="G41" s="12">
        <f>'Data (2)'!G114</f>
        <v>0</v>
      </c>
      <c r="H41" s="12">
        <f>'Data (2)'!H114</f>
        <v>0</v>
      </c>
      <c r="I41" s="12">
        <f>'Data (2)'!I114</f>
        <v>0</v>
      </c>
      <c r="J41" s="1">
        <f>'Data (2)'!J114</f>
        <v>0</v>
      </c>
      <c r="K41" s="1">
        <f>'Data (2)'!K114-J41</f>
        <v>0</v>
      </c>
      <c r="L41" s="1">
        <f>'Data (2)'!L114-K41-J41</f>
        <v>0</v>
      </c>
      <c r="M41" s="1">
        <f>'Data (2)'!M114-L41-K41-J41</f>
        <v>0</v>
      </c>
      <c r="N41" s="12">
        <f t="shared" si="0"/>
        <v>0</v>
      </c>
      <c r="O41" s="1">
        <f>'Data (2)'!O114</f>
        <v>-30</v>
      </c>
      <c r="P41" s="1">
        <f>'Data (2)'!P114-O41</f>
        <v>0</v>
      </c>
      <c r="Q41" s="1">
        <f>'Data (2)'!Q114-P41-O41</f>
        <v>0</v>
      </c>
      <c r="R41" s="1">
        <f>'Data (2)'!R114-Q41-P41-O41</f>
        <v>0</v>
      </c>
      <c r="S41" s="12">
        <f t="shared" si="1"/>
        <v>-30</v>
      </c>
      <c r="T41" s="1">
        <f>'Data (2)'!T114</f>
        <v>0</v>
      </c>
      <c r="U41" s="1">
        <f>'Data (2)'!U114-T41</f>
        <v>0</v>
      </c>
      <c r="V41" s="1">
        <f>'Data (2)'!V114-U41-T41</f>
        <v>0</v>
      </c>
      <c r="W41" s="1">
        <f>'Data (2)'!W114-V41-U41-T41</f>
        <v>0</v>
      </c>
      <c r="X41" s="12">
        <f t="shared" si="2"/>
        <v>0</v>
      </c>
      <c r="Y41" s="1">
        <f>'Data (2)'!Y114</f>
        <v>0</v>
      </c>
      <c r="Z41" s="1">
        <f>'Data (2)'!Z114-Y41</f>
        <v>0</v>
      </c>
      <c r="AA41" s="1">
        <f>'Data (2)'!AA114-Z41-Y41</f>
        <v>0</v>
      </c>
      <c r="AB41" s="1">
        <f>'Data (2)'!AB114-AA41-Z41-Y41</f>
        <v>0</v>
      </c>
      <c r="AC41" s="12">
        <f t="shared" si="3"/>
        <v>0</v>
      </c>
      <c r="AD41" s="1">
        <f>'Data (2)'!AD114</f>
        <v>0</v>
      </c>
      <c r="AE41" s="1">
        <f>'Data (2)'!AE114-AD41</f>
        <v>0</v>
      </c>
      <c r="AF41" s="1">
        <f>'Data (2)'!AF114-AE41-AD41</f>
        <v>0</v>
      </c>
      <c r="AG41" s="1">
        <f>'Data (2)'!AG114-AF41-AE41-AD41</f>
        <v>0</v>
      </c>
      <c r="AH41" s="12">
        <f t="shared" si="4"/>
        <v>0</v>
      </c>
      <c r="AI41" s="1">
        <f>'Data (2)'!AI114</f>
        <v>0</v>
      </c>
      <c r="AJ41" s="1">
        <f>'Data (2)'!AJ114-AI41</f>
        <v>0</v>
      </c>
      <c r="AK41" s="1">
        <f>'Data (2)'!AK114-AJ41-AI41</f>
        <v>0</v>
      </c>
      <c r="AL41" s="1">
        <f>'Data (2)'!AL114-AK41-AJ41-AI41</f>
        <v>0</v>
      </c>
      <c r="AM41" s="12">
        <f t="shared" si="5"/>
        <v>0</v>
      </c>
      <c r="AN41" s="1">
        <f>'Data (2)'!AN114</f>
        <v>0</v>
      </c>
      <c r="AO41" s="1">
        <f>'Data (2)'!AO114-AN41</f>
        <v>0</v>
      </c>
      <c r="AP41" s="1">
        <f>'Data (2)'!AP114-AO41-AN41</f>
        <v>0</v>
      </c>
      <c r="AQ41" s="1">
        <f>'Data (2)'!AQ114-AP41-AO41-AN41</f>
        <v>0</v>
      </c>
      <c r="AR41" s="12">
        <f t="shared" si="6"/>
        <v>0</v>
      </c>
      <c r="AS41" s="1">
        <f>'Data (2)'!AS114</f>
        <v>-3.4</v>
      </c>
      <c r="AT41" s="1">
        <f>'Data (2)'!AT114-AS41</f>
        <v>0.10000000000000009</v>
      </c>
      <c r="AU41" s="1">
        <f>'Data (2)'!AU114-AT41-AS41</f>
        <v>-0.10000000000000009</v>
      </c>
      <c r="AV41" s="1">
        <f>'Data (2)'!AV114-AU41-AT41-AS41</f>
        <v>0</v>
      </c>
      <c r="AW41" s="12">
        <f t="shared" si="7"/>
        <v>-3.4</v>
      </c>
      <c r="AX41" s="1">
        <f>'Data (2)'!AX114</f>
        <v>0</v>
      </c>
      <c r="AY41" s="1">
        <f>'Data (2)'!AY114-AX41</f>
        <v>0</v>
      </c>
      <c r="AZ41" s="1">
        <f>'Data (2)'!AZ114-AY41-AX41</f>
        <v>0</v>
      </c>
      <c r="BA41" s="1">
        <f>'Data (2)'!BA114-AZ41-AY41-AX41</f>
        <v>-0.8</v>
      </c>
      <c r="BB41" s="12">
        <f t="shared" si="8"/>
        <v>-0.8</v>
      </c>
      <c r="BC41" s="1">
        <f>'Data (2)'!BC114</f>
        <v>0</v>
      </c>
      <c r="BD41" s="1">
        <f>'Data (2)'!BD114-BC41</f>
        <v>0</v>
      </c>
      <c r="BE41" s="1">
        <f>'Data (2)'!BE114-BD41-BC41</f>
        <v>0</v>
      </c>
      <c r="BF41" s="1">
        <f>'Data (2)'!BF114-BE41-BD41-BC41</f>
        <v>0</v>
      </c>
      <c r="BG41" s="12">
        <f t="shared" si="31"/>
        <v>0</v>
      </c>
      <c r="BH41" s="1">
        <f>'Data (2)'!BH114</f>
        <v>0</v>
      </c>
      <c r="BI41" s="1">
        <f>'Data (2)'!BI114-BH41</f>
        <v>0</v>
      </c>
      <c r="BJ41" s="1">
        <f>'Data (2)'!BJ114-BI41-BH41</f>
        <v>0</v>
      </c>
      <c r="BK41" s="1">
        <f>'Data (2)'!BK114-BJ41-BI41-BH41</f>
        <v>0</v>
      </c>
      <c r="BL41" s="12">
        <f t="shared" si="32"/>
        <v>0</v>
      </c>
      <c r="BM41" s="1">
        <f>'Data (2)'!BM114</f>
        <v>0</v>
      </c>
      <c r="BN41" s="1">
        <f>'Data (2)'!BN114-BM41</f>
        <v>0</v>
      </c>
      <c r="BO41" s="1">
        <f>'Data (2)'!BO114-BN41-BM41</f>
        <v>0</v>
      </c>
      <c r="BP41" s="1">
        <f>'Data (2)'!BP114-BO41-BN41-BM41</f>
        <v>0</v>
      </c>
      <c r="BQ41" s="12">
        <f t="shared" si="33"/>
        <v>0</v>
      </c>
      <c r="BR41" s="1">
        <f>'Data (2)'!BR114</f>
        <v>0</v>
      </c>
      <c r="BS41" s="1">
        <f>'Data (2)'!BS114-BR41</f>
        <v>0</v>
      </c>
      <c r="BT41" s="1">
        <f>'Data (2)'!BT114-BS41-BR41</f>
        <v>0</v>
      </c>
      <c r="BU41" s="1">
        <f>'Data (2)'!BU114-BT41-BS41-BR41</f>
        <v>0</v>
      </c>
      <c r="BV41" s="12">
        <f t="shared" si="34"/>
        <v>0</v>
      </c>
      <c r="BW41" s="1">
        <f>'Data (2)'!BW114</f>
        <v>0</v>
      </c>
      <c r="BX41" s="1">
        <f>'Data (2)'!BX114-BW41</f>
        <v>0</v>
      </c>
      <c r="BY41" s="1">
        <f>'Data (2)'!BY114-BX41-BW41</f>
        <v>0</v>
      </c>
      <c r="BZ41" s="1">
        <f>'Data (2)'!BZ114-BY41-BX41-BW41</f>
        <v>0</v>
      </c>
      <c r="CA41" s="12">
        <f t="shared" si="35"/>
        <v>0</v>
      </c>
      <c r="CB41" s="1">
        <f>'Data (2)'!CB114</f>
        <v>0</v>
      </c>
      <c r="CC41" s="1">
        <f>'Data (2)'!CC114-CB41</f>
        <v>0</v>
      </c>
      <c r="CD41" s="1">
        <f>'Data (2)'!CD114-CC41-CB41</f>
        <v>0</v>
      </c>
      <c r="CE41" s="1">
        <f>'Data (2)'!CE114-CD41-CC41-CB41</f>
        <v>0</v>
      </c>
      <c r="CF41" s="12">
        <f t="shared" si="36"/>
        <v>0</v>
      </c>
      <c r="CG41" s="1">
        <f>'Data (2)'!CG114</f>
        <v>0</v>
      </c>
      <c r="CH41" s="1">
        <f>'Data (2)'!CH114-CG41</f>
        <v>0</v>
      </c>
      <c r="CI41" s="1">
        <f>'Data (2)'!CI114-CH41-CG41</f>
        <v>0</v>
      </c>
      <c r="CJ41" s="1">
        <f>'Data (2)'!CJ114-CI41-CH41-CG41</f>
        <v>0</v>
      </c>
      <c r="CK41" s="12">
        <f t="shared" si="37"/>
        <v>0</v>
      </c>
      <c r="CL41" s="1">
        <f>'Data (2)'!CL114</f>
        <v>0</v>
      </c>
      <c r="CM41" s="141">
        <v>0</v>
      </c>
      <c r="CN41" s="141">
        <v>0</v>
      </c>
      <c r="CO41" s="141">
        <v>0</v>
      </c>
      <c r="CP41" s="12">
        <f t="shared" si="38"/>
        <v>0</v>
      </c>
      <c r="CQ41" s="138">
        <v>0</v>
      </c>
      <c r="CR41" s="138">
        <v>0</v>
      </c>
      <c r="CS41" s="138">
        <v>0</v>
      </c>
    </row>
    <row r="42" spans="2:98">
      <c r="B42" s="151" t="s">
        <v>381</v>
      </c>
      <c r="C42" s="12">
        <f>'Data (2)'!C115</f>
        <v>6.5380000000000003</v>
      </c>
      <c r="D42" s="12">
        <f>'Data (2)'!D115</f>
        <v>0</v>
      </c>
      <c r="E42" s="12">
        <f>'Data (2)'!E115</f>
        <v>0</v>
      </c>
      <c r="F42" s="12">
        <f>'Data (2)'!F115</f>
        <v>0</v>
      </c>
      <c r="G42" s="12">
        <f>'Data (2)'!G115</f>
        <v>0</v>
      </c>
      <c r="H42" s="12">
        <f>'Data (2)'!H115</f>
        <v>0</v>
      </c>
      <c r="I42" s="12">
        <f>'Data (2)'!I115</f>
        <v>0</v>
      </c>
      <c r="J42" s="1">
        <f>'Data (2)'!J115</f>
        <v>0</v>
      </c>
      <c r="K42" s="1">
        <f>'Data (2)'!K115-J42</f>
        <v>0</v>
      </c>
      <c r="L42" s="1">
        <f>'Data (2)'!L115-K42-J42</f>
        <v>0</v>
      </c>
      <c r="M42" s="1">
        <f>'Data (2)'!M115-L42-K42-J42</f>
        <v>0</v>
      </c>
      <c r="N42" s="12">
        <f t="shared" si="0"/>
        <v>0</v>
      </c>
      <c r="O42" s="1">
        <f>'Data (2)'!O115</f>
        <v>0</v>
      </c>
      <c r="P42" s="1">
        <f>'Data (2)'!P115-O42</f>
        <v>0</v>
      </c>
      <c r="Q42" s="1">
        <f>'Data (2)'!Q115-P42-O42</f>
        <v>0</v>
      </c>
      <c r="R42" s="1">
        <f>'Data (2)'!R115-Q42-P42-O42</f>
        <v>0</v>
      </c>
      <c r="S42" s="12">
        <f t="shared" si="1"/>
        <v>0</v>
      </c>
      <c r="T42" s="1">
        <f>'Data (2)'!T115</f>
        <v>0</v>
      </c>
      <c r="U42" s="1">
        <f>'Data (2)'!U115-T42</f>
        <v>0</v>
      </c>
      <c r="V42" s="1">
        <f>'Data (2)'!V115-U42-T42</f>
        <v>0</v>
      </c>
      <c r="W42" s="1">
        <f>'Data (2)'!W115-V42-U42-T42</f>
        <v>0</v>
      </c>
      <c r="X42" s="12">
        <f t="shared" si="2"/>
        <v>0</v>
      </c>
      <c r="Y42" s="1">
        <f>'Data (2)'!Y115</f>
        <v>0</v>
      </c>
      <c r="Z42" s="1">
        <f>'Data (2)'!Z115-Y42</f>
        <v>0</v>
      </c>
      <c r="AA42" s="1">
        <f>'Data (2)'!AA115-Z42-Y42</f>
        <v>0</v>
      </c>
      <c r="AB42" s="1">
        <f>'Data (2)'!AB115-AA42-Z42-Y42</f>
        <v>0</v>
      </c>
      <c r="AC42" s="12">
        <f t="shared" si="3"/>
        <v>0</v>
      </c>
      <c r="AD42" s="1">
        <f>'Data (2)'!AD115</f>
        <v>0</v>
      </c>
      <c r="AE42" s="1">
        <f>'Data (2)'!AE115-AD42</f>
        <v>0</v>
      </c>
      <c r="AF42" s="1">
        <f>'Data (2)'!AF115-AE42-AD42</f>
        <v>0</v>
      </c>
      <c r="AG42" s="1">
        <f>'Data (2)'!AG115-AF42-AE42-AD42</f>
        <v>0</v>
      </c>
      <c r="AH42" s="12">
        <f t="shared" si="4"/>
        <v>0</v>
      </c>
      <c r="AI42" s="1">
        <f>'Data (2)'!AI115</f>
        <v>0</v>
      </c>
      <c r="AJ42" s="1">
        <f>'Data (2)'!AJ115-AI42</f>
        <v>0</v>
      </c>
      <c r="AK42" s="1">
        <f>'Data (2)'!AK115-AJ42-AI42</f>
        <v>0</v>
      </c>
      <c r="AL42" s="1">
        <f>'Data (2)'!AL115-AK42-AJ42-AI42</f>
        <v>0</v>
      </c>
      <c r="AM42" s="12">
        <f t="shared" si="5"/>
        <v>0</v>
      </c>
      <c r="AN42" s="1">
        <f>'Data (2)'!AN115</f>
        <v>0</v>
      </c>
      <c r="AO42" s="1">
        <f>'Data (2)'!AO115-AN42</f>
        <v>0</v>
      </c>
      <c r="AP42" s="1">
        <f>'Data (2)'!AP115-AO42-AN42</f>
        <v>0</v>
      </c>
      <c r="AQ42" s="1">
        <f>'Data (2)'!AQ115-AP42-AO42-AN42</f>
        <v>0</v>
      </c>
      <c r="AR42" s="12">
        <f t="shared" si="6"/>
        <v>0</v>
      </c>
      <c r="AS42" s="1">
        <f>'Data (2)'!AS115</f>
        <v>0</v>
      </c>
      <c r="AT42" s="1">
        <f>'Data (2)'!AT115-AS42</f>
        <v>0</v>
      </c>
      <c r="AU42" s="1">
        <f>'Data (2)'!AU115-AT42-AS42</f>
        <v>0</v>
      </c>
      <c r="AV42" s="1">
        <f>'Data (2)'!AV115-AU42-AT42-AS42</f>
        <v>0</v>
      </c>
      <c r="AW42" s="12">
        <f t="shared" si="7"/>
        <v>0</v>
      </c>
      <c r="AX42" s="1">
        <f>'Data (2)'!AX115</f>
        <v>0</v>
      </c>
      <c r="AY42" s="1">
        <f>'Data (2)'!AY115-AX42</f>
        <v>0</v>
      </c>
      <c r="AZ42" s="1">
        <f>'Data (2)'!AZ115-AY42-AX42</f>
        <v>0</v>
      </c>
      <c r="BA42" s="1">
        <f>'Data (2)'!BA115-AZ42-AY42-AX42</f>
        <v>0</v>
      </c>
      <c r="BB42" s="12">
        <f t="shared" si="8"/>
        <v>0</v>
      </c>
      <c r="BC42" s="1">
        <f>'Data (2)'!BC115</f>
        <v>0</v>
      </c>
      <c r="BD42" s="1">
        <f>'Data (2)'!BD115-BC42</f>
        <v>0</v>
      </c>
      <c r="BE42" s="1">
        <f>'Data (2)'!BE115-BD42-BC42</f>
        <v>0</v>
      </c>
      <c r="BF42" s="1">
        <f>'Data (2)'!BF115-BE42-BD42-BC42</f>
        <v>0</v>
      </c>
      <c r="BG42" s="12">
        <f t="shared" si="31"/>
        <v>0</v>
      </c>
      <c r="BH42" s="1">
        <f>'Data (2)'!BH115</f>
        <v>0</v>
      </c>
      <c r="BI42" s="1">
        <f>'Data (2)'!BI115-BH42</f>
        <v>0</v>
      </c>
      <c r="BJ42" s="1">
        <f>'Data (2)'!BJ115-BI42-BH42</f>
        <v>0</v>
      </c>
      <c r="BK42" s="1">
        <f>'Data (2)'!BK115-BJ42-BI42-BH42</f>
        <v>0</v>
      </c>
      <c r="BL42" s="12">
        <f t="shared" si="32"/>
        <v>0</v>
      </c>
      <c r="BM42" s="1">
        <f>'Data (2)'!BM115</f>
        <v>-9.6</v>
      </c>
      <c r="BN42" s="1">
        <f>'Data (2)'!BN115-BM42</f>
        <v>-9.6</v>
      </c>
      <c r="BO42" s="1">
        <f>'Data (2)'!BO115-BN42-BM42</f>
        <v>-9.6999999999999975</v>
      </c>
      <c r="BP42" s="1">
        <f>'Data (2)'!BP115-BO42-BN42-BM42</f>
        <v>-9.4</v>
      </c>
      <c r="BQ42" s="12">
        <f t="shared" si="33"/>
        <v>-38.299999999999997</v>
      </c>
      <c r="BR42" s="1">
        <f>'Data (2)'!BR115</f>
        <v>-9.3000000000000007</v>
      </c>
      <c r="BS42" s="1">
        <f>'Data (2)'!BS115-BR42</f>
        <v>-10.3</v>
      </c>
      <c r="BT42" s="1">
        <f>'Data (2)'!BT115-BS42-BR42</f>
        <v>-10.099999999999998</v>
      </c>
      <c r="BU42" s="1">
        <f>'Data (2)'!BU115-BT42-BS42-BR42</f>
        <v>-10.099999999999998</v>
      </c>
      <c r="BV42" s="12">
        <f t="shared" si="34"/>
        <v>-39.799999999999997</v>
      </c>
      <c r="BW42" s="1">
        <f>'Data (2)'!BW115</f>
        <v>-10.1</v>
      </c>
      <c r="BX42" s="1">
        <f>'Data (2)'!BX115-BW42</f>
        <v>-10.000000000000002</v>
      </c>
      <c r="BY42" s="1">
        <f>'Data (2)'!BY115-BX42-BW42</f>
        <v>-11.199999999999998</v>
      </c>
      <c r="BZ42" s="1">
        <f>'Data (2)'!BZ115-BY42-BX42-BW42</f>
        <v>-11.300000000000006</v>
      </c>
      <c r="CA42" s="12">
        <f t="shared" si="35"/>
        <v>-42.6</v>
      </c>
      <c r="CB42" s="1">
        <f>'Data (2)'!CB115</f>
        <v>-11.2</v>
      </c>
      <c r="CC42" s="1">
        <f>'Data (2)'!CC115-CB42</f>
        <v>-11.2</v>
      </c>
      <c r="CD42" s="1">
        <f>'Data (2)'!CD115-CC42-CB42</f>
        <v>-13.100000000000001</v>
      </c>
      <c r="CE42" s="1">
        <f>'Data (2)'!CE115-CD42-CC42-CB42</f>
        <v>-12.899999999999999</v>
      </c>
      <c r="CF42" s="12">
        <f t="shared" si="36"/>
        <v>-48.4</v>
      </c>
      <c r="CG42" s="1">
        <f>'Data (2)'!CG115</f>
        <v>-12.7</v>
      </c>
      <c r="CH42" s="1">
        <f>'Data (2)'!CH115-CG42</f>
        <v>-12.8</v>
      </c>
      <c r="CI42" s="1">
        <f>'Data (2)'!CI115-CH42-CG42</f>
        <v>-14.399999999999999</v>
      </c>
      <c r="CJ42" s="1">
        <f>'Data (2)'!CJ115-CI42-CH42-CG42</f>
        <v>-14.300000000000004</v>
      </c>
      <c r="CK42" s="12">
        <f t="shared" si="37"/>
        <v>-54.2</v>
      </c>
      <c r="CL42" s="1">
        <f>'Data (2)'!CL115</f>
        <v>-14.2</v>
      </c>
      <c r="CM42" s="140">
        <f>-'IS (2)'!CM37*'IS (2)'!CM35</f>
        <v>0</v>
      </c>
      <c r="CN42" s="140">
        <f>-'IS (2)'!CN37*'IS (2)'!CN35</f>
        <v>0</v>
      </c>
      <c r="CO42" s="140">
        <f>-'IS (2)'!CO37*'IS (2)'!CO35</f>
        <v>0</v>
      </c>
      <c r="CP42" s="12">
        <f t="shared" si="38"/>
        <v>-14.2</v>
      </c>
      <c r="CQ42" s="139">
        <f>-'IS (2)'!CQ37*'IS (2)'!CQ35</f>
        <v>-24.930000000000003</v>
      </c>
      <c r="CR42" s="139">
        <f>-'IS (2)'!CR37*'IS (2)'!CR35</f>
        <v>-30.225000000000001</v>
      </c>
      <c r="CS42" s="139">
        <f>-'IS (2)'!CS37*'IS (2)'!CS35</f>
        <v>-36.234375000000007</v>
      </c>
      <c r="CT42" s="3"/>
    </row>
    <row r="43" spans="2:98">
      <c r="B43" s="1" t="s">
        <v>271</v>
      </c>
      <c r="C43" s="12">
        <f>'Data (2)'!C116</f>
        <v>0</v>
      </c>
      <c r="D43" s="12">
        <f>'Data (2)'!D116</f>
        <v>-10</v>
      </c>
      <c r="E43" s="12">
        <f>'Data (2)'!E116</f>
        <v>0</v>
      </c>
      <c r="F43" s="12">
        <f>'Data (2)'!F116</f>
        <v>-0.5</v>
      </c>
      <c r="G43" s="12">
        <f>'Data (2)'!G116</f>
        <v>0</v>
      </c>
      <c r="H43" s="12">
        <f>'Data (2)'!H116</f>
        <v>0</v>
      </c>
      <c r="I43" s="12">
        <f>'Data (2)'!I116</f>
        <v>0</v>
      </c>
      <c r="J43" s="1">
        <f>'Data (2)'!J116</f>
        <v>0</v>
      </c>
      <c r="K43" s="1">
        <f>'Data (2)'!K116-J43</f>
        <v>0</v>
      </c>
      <c r="L43" s="1">
        <f>'Data (2)'!L116-K43-J43</f>
        <v>0</v>
      </c>
      <c r="M43" s="1">
        <f>'Data (2)'!M116-L43-K43-J43</f>
        <v>0</v>
      </c>
      <c r="N43" s="12">
        <f t="shared" si="0"/>
        <v>0</v>
      </c>
      <c r="O43" s="1">
        <f>'Data (2)'!O116</f>
        <v>0</v>
      </c>
      <c r="P43" s="1">
        <f>'Data (2)'!P116-O43</f>
        <v>0</v>
      </c>
      <c r="Q43" s="1">
        <f>'Data (2)'!Q116-P43-O43</f>
        <v>0</v>
      </c>
      <c r="R43" s="1">
        <f>'Data (2)'!R116-Q43-P43-O43</f>
        <v>0</v>
      </c>
      <c r="S43" s="12">
        <f t="shared" si="1"/>
        <v>0</v>
      </c>
      <c r="T43" s="1">
        <f>'Data (2)'!T116</f>
        <v>0</v>
      </c>
      <c r="U43" s="1">
        <f>'Data (2)'!U116-T43</f>
        <v>0</v>
      </c>
      <c r="V43" s="1">
        <f>'Data (2)'!V116-U43-T43</f>
        <v>0</v>
      </c>
      <c r="W43" s="1">
        <f>'Data (2)'!W116-V43-U43-T43</f>
        <v>0</v>
      </c>
      <c r="X43" s="12">
        <f t="shared" si="2"/>
        <v>0</v>
      </c>
      <c r="Y43" s="1">
        <f>'Data (2)'!Y116</f>
        <v>0</v>
      </c>
      <c r="Z43" s="1">
        <f>'Data (2)'!Z116-Y43</f>
        <v>0</v>
      </c>
      <c r="AA43" s="1">
        <f>'Data (2)'!AA116-Z43-Y43</f>
        <v>0</v>
      </c>
      <c r="AB43" s="1">
        <f>'Data (2)'!AB116-AA43-Z43-Y43</f>
        <v>0</v>
      </c>
      <c r="AC43" s="12">
        <f t="shared" si="3"/>
        <v>0</v>
      </c>
      <c r="AD43" s="1">
        <f>'Data (2)'!AD116</f>
        <v>0</v>
      </c>
      <c r="AE43" s="1">
        <f>'Data (2)'!AE116-AD43</f>
        <v>0</v>
      </c>
      <c r="AF43" s="1">
        <f>'Data (2)'!AF116-AE43-AD43</f>
        <v>0</v>
      </c>
      <c r="AG43" s="1">
        <f>'Data (2)'!AG116-AF43-AE43-AD43</f>
        <v>0</v>
      </c>
      <c r="AH43" s="12">
        <f t="shared" si="4"/>
        <v>0</v>
      </c>
      <c r="AI43" s="1">
        <f>'Data (2)'!AI116</f>
        <v>0</v>
      </c>
      <c r="AJ43" s="1">
        <f>'Data (2)'!AJ116-AI43</f>
        <v>0</v>
      </c>
      <c r="AK43" s="1">
        <f>'Data (2)'!AK116-AJ43-AI43</f>
        <v>0</v>
      </c>
      <c r="AL43" s="1">
        <f>'Data (2)'!AL116-AK43-AJ43-AI43</f>
        <v>0</v>
      </c>
      <c r="AM43" s="12">
        <f t="shared" si="5"/>
        <v>0</v>
      </c>
      <c r="AN43" s="1">
        <f>'Data (2)'!AN116</f>
        <v>0</v>
      </c>
      <c r="AO43" s="1">
        <f>'Data (2)'!AO116-AN43</f>
        <v>0</v>
      </c>
      <c r="AP43" s="1">
        <f>'Data (2)'!AP116-AO43-AN43</f>
        <v>0</v>
      </c>
      <c r="AQ43" s="1">
        <f>'Data (2)'!AQ116-AP43-AO43-AN43</f>
        <v>0</v>
      </c>
      <c r="AR43" s="12">
        <f t="shared" si="6"/>
        <v>0</v>
      </c>
      <c r="AS43" s="1">
        <f>'Data (2)'!AS116</f>
        <v>0</v>
      </c>
      <c r="AT43" s="1">
        <f>'Data (2)'!AT116-AS43</f>
        <v>0</v>
      </c>
      <c r="AU43" s="1">
        <f>'Data (2)'!AU116-AT43-AS43</f>
        <v>0</v>
      </c>
      <c r="AV43" s="1">
        <f>'Data (2)'!AV116-AU43-AT43-AS43</f>
        <v>0</v>
      </c>
      <c r="AW43" s="12">
        <f t="shared" si="7"/>
        <v>0</v>
      </c>
      <c r="AX43" s="1">
        <f>'Data (2)'!AX116</f>
        <v>0</v>
      </c>
      <c r="AY43" s="1">
        <f>'Data (2)'!AY116-AX43</f>
        <v>0</v>
      </c>
      <c r="AZ43" s="1">
        <f>'Data (2)'!AZ116-AY43-AX43</f>
        <v>0</v>
      </c>
      <c r="BA43" s="1">
        <f>'Data (2)'!BA116-AZ43-AY43-AX43</f>
        <v>0</v>
      </c>
      <c r="BB43" s="12">
        <f t="shared" si="8"/>
        <v>0</v>
      </c>
      <c r="BC43" s="1">
        <f>'Data (2)'!BC116</f>
        <v>-15</v>
      </c>
      <c r="BD43" s="1">
        <f>'Data (2)'!BD116-BC43</f>
        <v>-35</v>
      </c>
      <c r="BE43" s="1">
        <f>'Data (2)'!BE116-BD43-BC43</f>
        <v>0</v>
      </c>
      <c r="BF43" s="1">
        <f>'Data (2)'!BF116-BE43-BD43-BC43</f>
        <v>-40</v>
      </c>
      <c r="BG43" s="12">
        <f t="shared" si="31"/>
        <v>-90</v>
      </c>
      <c r="BH43" s="1">
        <f>'Data (2)'!BH116</f>
        <v>-48.3</v>
      </c>
      <c r="BI43" s="1">
        <f>'Data (2)'!BI116-BH43</f>
        <v>-66.2</v>
      </c>
      <c r="BJ43" s="1">
        <f>'Data (2)'!BJ116-BI43-BH43</f>
        <v>-45.5</v>
      </c>
      <c r="BK43" s="1">
        <f>'Data (2)'!BK116-BJ43-BI43-BH43</f>
        <v>0</v>
      </c>
      <c r="BL43" s="12">
        <f t="shared" si="32"/>
        <v>-160</v>
      </c>
      <c r="BM43" s="1">
        <f>'Data (2)'!BM116</f>
        <v>0</v>
      </c>
      <c r="BN43" s="1">
        <f>'Data (2)'!BN116-BM43</f>
        <v>0</v>
      </c>
      <c r="BO43" s="1">
        <f>'Data (2)'!BO116-BN43-BM43</f>
        <v>-100</v>
      </c>
      <c r="BP43" s="1">
        <f>'Data (2)'!BP116-BO43-BN43-BM43</f>
        <v>-46.099999999999994</v>
      </c>
      <c r="BQ43" s="12">
        <f t="shared" si="33"/>
        <v>-146.1</v>
      </c>
      <c r="BR43" s="1">
        <f>'Data (2)'!BR116</f>
        <v>-34.9</v>
      </c>
      <c r="BS43" s="1">
        <f>'Data (2)'!BS116-BR43</f>
        <v>-20</v>
      </c>
      <c r="BT43" s="1">
        <f>'Data (2)'!BT116-BS43-BR43</f>
        <v>-30.000000000000007</v>
      </c>
      <c r="BU43" s="1">
        <f>'Data (2)'!BU116-BT43-BS43-BR43</f>
        <v>-26.199999999999996</v>
      </c>
      <c r="BV43" s="12">
        <f t="shared" si="34"/>
        <v>-111.1</v>
      </c>
      <c r="BW43" s="1">
        <f>'Data (2)'!BW116</f>
        <v>-63.7</v>
      </c>
      <c r="BX43" s="1">
        <f>'Data (2)'!BX116-BW43</f>
        <v>-57.099999999999994</v>
      </c>
      <c r="BY43" s="1">
        <f>'Data (2)'!BY116-BX43-BW43</f>
        <v>-1.2000000000000028</v>
      </c>
      <c r="BZ43" s="1">
        <f>'Data (2)'!BZ116-BY43-BX43-BW43</f>
        <v>-28.300000000000026</v>
      </c>
      <c r="CA43" s="12">
        <f t="shared" si="35"/>
        <v>-150.30000000000001</v>
      </c>
      <c r="CB43" s="1">
        <f>'Data (2)'!CB116</f>
        <v>-30.1</v>
      </c>
      <c r="CC43" s="1">
        <f>'Data (2)'!CC116-CB43</f>
        <v>-150.9</v>
      </c>
      <c r="CD43" s="1">
        <f>'Data (2)'!CD116-CC43-CB43</f>
        <v>-101.80000000000001</v>
      </c>
      <c r="CE43" s="1">
        <f>'Data (2)'!CE116-CD43-CC43-CB43</f>
        <v>-74.899999999999977</v>
      </c>
      <c r="CF43" s="12">
        <f t="shared" si="36"/>
        <v>-357.7</v>
      </c>
      <c r="CG43" s="1">
        <f>'Data (2)'!CG116</f>
        <v>-11.2</v>
      </c>
      <c r="CH43" s="1">
        <f>'Data (2)'!CH116-CG43</f>
        <v>0</v>
      </c>
      <c r="CI43" s="1">
        <f>'Data (2)'!CI116-CH43-CG43</f>
        <v>-55.7</v>
      </c>
      <c r="CJ43" s="1">
        <f>'Data (2)'!CJ116-CI43-CH43-CG43</f>
        <v>-76.099999999999994</v>
      </c>
      <c r="CK43" s="12">
        <f t="shared" si="37"/>
        <v>-143</v>
      </c>
      <c r="CL43" s="1">
        <f>'Data (2)'!CL116</f>
        <v>-24.6</v>
      </c>
      <c r="CM43" s="141">
        <v>0</v>
      </c>
      <c r="CN43" s="141">
        <v>0</v>
      </c>
      <c r="CO43" s="141">
        <v>0</v>
      </c>
      <c r="CP43" s="12">
        <f t="shared" si="38"/>
        <v>-24.6</v>
      </c>
      <c r="CQ43" s="138">
        <v>-25</v>
      </c>
      <c r="CR43" s="138">
        <v>-150</v>
      </c>
      <c r="CS43" s="138">
        <v>-225</v>
      </c>
      <c r="CT43" s="3"/>
    </row>
    <row r="44" spans="2:98">
      <c r="B44" s="1" t="s">
        <v>77</v>
      </c>
      <c r="C44" s="12">
        <f>'Data (2)'!C117</f>
        <v>0</v>
      </c>
      <c r="D44" s="12">
        <f>'Data (2)'!D117</f>
        <v>2.7530000000000001</v>
      </c>
      <c r="E44" s="12">
        <f>'Data (2)'!E117</f>
        <v>1.4</v>
      </c>
      <c r="F44" s="12">
        <f>'Data (2)'!F117</f>
        <v>2.9</v>
      </c>
      <c r="G44" s="12">
        <f>'Data (2)'!G117</f>
        <v>-0.4</v>
      </c>
      <c r="H44" s="12">
        <f>'Data (2)'!H117</f>
        <v>0</v>
      </c>
      <c r="I44" s="12">
        <f>'Data (2)'!I117</f>
        <v>125.3</v>
      </c>
      <c r="J44" s="1">
        <f>'Data (2)'!J117</f>
        <v>-0.4</v>
      </c>
      <c r="K44" s="1">
        <f>'Data (2)'!K117-J44</f>
        <v>2.2999999999999998</v>
      </c>
      <c r="L44" s="1">
        <f>'Data (2)'!L117-K44-J44</f>
        <v>1.7000000000000002</v>
      </c>
      <c r="M44" s="1">
        <f>'Data (2)'!M117-L44-K44-J44</f>
        <v>9.2000000000000011</v>
      </c>
      <c r="N44" s="12">
        <f t="shared" si="0"/>
        <v>12.8</v>
      </c>
      <c r="O44" s="1">
        <f>'Data (2)'!O117</f>
        <v>2.2999999999999998</v>
      </c>
      <c r="P44" s="1">
        <f>'Data (2)'!P117-O44</f>
        <v>3.5</v>
      </c>
      <c r="Q44" s="1">
        <f>'Data (2)'!Q117-P44-O44</f>
        <v>4.3</v>
      </c>
      <c r="R44" s="1">
        <f>'Data (2)'!R117-Q44-P44-O44</f>
        <v>5.0999999999999988</v>
      </c>
      <c r="S44" s="12">
        <f t="shared" si="1"/>
        <v>15.2</v>
      </c>
      <c r="T44" s="1">
        <f>'Data (2)'!T117</f>
        <v>3.6</v>
      </c>
      <c r="U44" s="1">
        <f>'Data (2)'!U117-T44</f>
        <v>6.8000000000000007</v>
      </c>
      <c r="V44" s="1">
        <f>'Data (2)'!V117-U44-T44</f>
        <v>0.29999999999999849</v>
      </c>
      <c r="W44" s="1">
        <f>'Data (2)'!W117-V44-U44-T44</f>
        <v>-0.10000000000000009</v>
      </c>
      <c r="X44" s="12">
        <f t="shared" si="2"/>
        <v>10.6</v>
      </c>
      <c r="Y44" s="1">
        <f>'Data (2)'!Y117</f>
        <v>3.3</v>
      </c>
      <c r="Z44" s="1">
        <f>'Data (2)'!Z117-Y44</f>
        <v>4.3</v>
      </c>
      <c r="AA44" s="1">
        <f>'Data (2)'!AA117-Z44-Y44</f>
        <v>9.5</v>
      </c>
      <c r="AB44" s="1">
        <f>'Data (2)'!AB117-AA44-Z44-Y44</f>
        <v>4.2000000000000011</v>
      </c>
      <c r="AC44" s="12">
        <f t="shared" si="3"/>
        <v>21.300000000000004</v>
      </c>
      <c r="AD44" s="1">
        <f>'Data (2)'!AD117</f>
        <v>-0.3</v>
      </c>
      <c r="AE44" s="1">
        <f>'Data (2)'!AE117-AD44</f>
        <v>2.1</v>
      </c>
      <c r="AF44" s="1">
        <f>'Data (2)'!AF117-AE44-AD44</f>
        <v>-0.40000000000000019</v>
      </c>
      <c r="AG44" s="1">
        <f>'Data (2)'!AG117-AF44-AE44-AD44</f>
        <v>-0.2</v>
      </c>
      <c r="AH44" s="12">
        <f t="shared" si="4"/>
        <v>1.2</v>
      </c>
      <c r="AI44" s="1">
        <f>'Data (2)'!AI117</f>
        <v>-0.7</v>
      </c>
      <c r="AJ44" s="1">
        <f>'Data (2)'!AJ117-AI44</f>
        <v>9.9999999999999978E-2</v>
      </c>
      <c r="AK44" s="1">
        <f>'Data (2)'!AK117-AJ44-AI44</f>
        <v>0.6</v>
      </c>
      <c r="AL44" s="1">
        <f>'Data (2)'!AL117-AK44-AJ44-AI44</f>
        <v>0.7</v>
      </c>
      <c r="AM44" s="12">
        <f t="shared" si="5"/>
        <v>0.7</v>
      </c>
      <c r="AN44" s="1">
        <f>'Data (2)'!AN117</f>
        <v>-0.8</v>
      </c>
      <c r="AO44" s="1">
        <f>'Data (2)'!AO117-AN44</f>
        <v>1.4</v>
      </c>
      <c r="AP44" s="1">
        <f>'Data (2)'!AP117-AO44-AN44</f>
        <v>0.60000000000000009</v>
      </c>
      <c r="AQ44" s="1">
        <f>'Data (2)'!AQ117-AP44-AO44-AN44</f>
        <v>1.9000000000000001</v>
      </c>
      <c r="AR44" s="12">
        <f t="shared" si="6"/>
        <v>3.1</v>
      </c>
      <c r="AS44" s="1">
        <f>'Data (2)'!AS117</f>
        <v>3.1</v>
      </c>
      <c r="AT44" s="1">
        <f>'Data (2)'!AT117-AS44</f>
        <v>4.3000000000000007</v>
      </c>
      <c r="AU44" s="1">
        <f>'Data (2)'!AU117-AT44-AS44</f>
        <v>1.6999999999999988</v>
      </c>
      <c r="AV44" s="1">
        <f>'Data (2)'!AV117-AU44-AT44-AS44</f>
        <v>1.4</v>
      </c>
      <c r="AW44" s="12">
        <f t="shared" si="7"/>
        <v>10.5</v>
      </c>
      <c r="AX44" s="1">
        <f>'Data (2)'!AX117</f>
        <v>0.8</v>
      </c>
      <c r="AY44" s="1">
        <f>'Data (2)'!AY117-AX44</f>
        <v>1.7</v>
      </c>
      <c r="AZ44" s="1">
        <f>'Data (2)'!AZ117-AY44-AX44</f>
        <v>-0.29999999999999982</v>
      </c>
      <c r="BA44" s="1">
        <f>'Data (2)'!BA117-AZ44-AY44-AX44</f>
        <v>1.8999999999999992</v>
      </c>
      <c r="BB44" s="12">
        <f t="shared" si="8"/>
        <v>4.0999999999999996</v>
      </c>
      <c r="BC44" s="1">
        <f>'Data (2)'!BC117</f>
        <v>-0.3</v>
      </c>
      <c r="BD44" s="1">
        <f>'Data (2)'!BD117-BC44</f>
        <v>4.0999999999999996</v>
      </c>
      <c r="BE44" s="1">
        <f>'Data (2)'!BE117-BD44-BC44</f>
        <v>1.8</v>
      </c>
      <c r="BF44" s="1">
        <f>'Data (2)'!BF117-BE44-BD44-BC44</f>
        <v>1.4000000000000006</v>
      </c>
      <c r="BG44" s="12">
        <f t="shared" si="31"/>
        <v>7</v>
      </c>
      <c r="BH44" s="1">
        <f>'Data (2)'!BH117</f>
        <v>-5.2</v>
      </c>
      <c r="BI44" s="1">
        <f>'Data (2)'!BI117-BH44</f>
        <v>4.7</v>
      </c>
      <c r="BJ44" s="1">
        <f>'Data (2)'!BJ117-BI44-BH44</f>
        <v>2.7</v>
      </c>
      <c r="BK44" s="1">
        <f>'Data (2)'!BK117-BJ44-BI44-BH44</f>
        <v>1</v>
      </c>
      <c r="BL44" s="12">
        <f t="shared" si="32"/>
        <v>3.2</v>
      </c>
      <c r="BM44" s="1">
        <f>'Data (2)'!BM117</f>
        <v>10.4</v>
      </c>
      <c r="BN44" s="1">
        <f>'Data (2)'!BN117-BM44</f>
        <v>0.59999999999999964</v>
      </c>
      <c r="BO44" s="1">
        <f>'Data (2)'!BO117-BN44-BM44</f>
        <v>-1.4000000000000004</v>
      </c>
      <c r="BP44" s="1">
        <f>'Data (2)'!BP117-BO44-BN44-BM44</f>
        <v>3.7000000000000011</v>
      </c>
      <c r="BQ44" s="12">
        <f t="shared" si="33"/>
        <v>13.3</v>
      </c>
      <c r="BR44" s="1">
        <f>'Data (2)'!BR117</f>
        <v>-5</v>
      </c>
      <c r="BS44" s="1">
        <f>'Data (2)'!BS117-BR44</f>
        <v>0.29999999999999982</v>
      </c>
      <c r="BT44" s="1">
        <f>'Data (2)'!BT117-BS44-BR44</f>
        <v>3.7</v>
      </c>
      <c r="BU44" s="1">
        <f>'Data (2)'!BU117-BT44-BS44-BR44</f>
        <v>1.2999999999999998</v>
      </c>
      <c r="BV44" s="12">
        <f t="shared" si="34"/>
        <v>0.29999999999999982</v>
      </c>
      <c r="BW44" s="1">
        <f>'Data (2)'!BW117</f>
        <v>9.6999999999999993</v>
      </c>
      <c r="BX44" s="1">
        <f>'Data (2)'!BX117-BW44</f>
        <v>6.1000000000000014</v>
      </c>
      <c r="BY44" s="1">
        <f>'Data (2)'!BY117-BX44-BW44</f>
        <v>0.60000000000000142</v>
      </c>
      <c r="BZ44" s="1">
        <f>'Data (2)'!BZ117-BY44-BX44-BW44</f>
        <v>5.2999999999999972</v>
      </c>
      <c r="CA44" s="12">
        <f t="shared" si="35"/>
        <v>21.7</v>
      </c>
      <c r="CB44" s="1">
        <f>'Data (2)'!CB117</f>
        <v>-2.2000000000000002</v>
      </c>
      <c r="CC44" s="1">
        <f>'Data (2)'!CC117-CB44</f>
        <v>1.5000000000000002</v>
      </c>
      <c r="CD44" s="1">
        <f>'Data (2)'!CD117-CC44-CB44</f>
        <v>1.1000000000000001</v>
      </c>
      <c r="CE44" s="1">
        <f>'Data (2)'!CE117-CD44-CC44-CB44</f>
        <v>0.59999999999999987</v>
      </c>
      <c r="CF44" s="12">
        <f t="shared" si="36"/>
        <v>1</v>
      </c>
      <c r="CG44" s="1">
        <f>'Data (2)'!CG117</f>
        <v>-3</v>
      </c>
      <c r="CH44" s="1">
        <f>'Data (2)'!CH117-CG44</f>
        <v>1.2999999999999998</v>
      </c>
      <c r="CI44" s="1">
        <f>'Data (2)'!CI117-CH44-CG44</f>
        <v>8.1000000000000014</v>
      </c>
      <c r="CJ44" s="1">
        <f>'Data (2)'!CJ117-CI44-CH44-CG44</f>
        <v>0.6999999999999984</v>
      </c>
      <c r="CK44" s="12">
        <f t="shared" si="37"/>
        <v>7.1</v>
      </c>
      <c r="CL44" s="1">
        <f>'Data (2)'!CL117</f>
        <v>-56.3</v>
      </c>
      <c r="CM44" s="141">
        <v>1.2</v>
      </c>
      <c r="CN44" s="141">
        <v>1.2</v>
      </c>
      <c r="CO44" s="141">
        <v>1.2</v>
      </c>
      <c r="CP44" s="12">
        <f t="shared" si="38"/>
        <v>-52.699999999999989</v>
      </c>
      <c r="CQ44" s="138">
        <v>5</v>
      </c>
      <c r="CR44" s="138">
        <v>5</v>
      </c>
      <c r="CS44" s="138">
        <v>5</v>
      </c>
      <c r="CT44" s="3"/>
    </row>
    <row r="45" spans="2:98">
      <c r="B45" s="143" t="s">
        <v>251</v>
      </c>
      <c r="C45" s="144">
        <f t="shared" ref="C45:M45" si="39">SUM(C36:C44)</f>
        <v>57.244</v>
      </c>
      <c r="D45" s="144">
        <f t="shared" si="39"/>
        <v>440.66499999999996</v>
      </c>
      <c r="E45" s="144">
        <f t="shared" si="39"/>
        <v>-99.500000000000028</v>
      </c>
      <c r="F45" s="144">
        <f t="shared" si="39"/>
        <v>-95</v>
      </c>
      <c r="G45" s="144">
        <f t="shared" si="39"/>
        <v>8.7000000000000011</v>
      </c>
      <c r="H45" s="144">
        <f t="shared" si="39"/>
        <v>-67.3</v>
      </c>
      <c r="I45" s="144">
        <f t="shared" si="39"/>
        <v>-26.899999999999963</v>
      </c>
      <c r="J45" s="143">
        <f t="shared" si="39"/>
        <v>-16.100000000000001</v>
      </c>
      <c r="K45" s="143">
        <f t="shared" si="39"/>
        <v>1.7000000000000013</v>
      </c>
      <c r="L45" s="143">
        <f t="shared" si="39"/>
        <v>-9.2999999999999972</v>
      </c>
      <c r="M45" s="143">
        <f t="shared" si="39"/>
        <v>-17.900000000000006</v>
      </c>
      <c r="N45" s="144">
        <f t="shared" si="0"/>
        <v>-41.6</v>
      </c>
      <c r="O45" s="143">
        <f>SUM(O36:O44)</f>
        <v>9.399999999999995</v>
      </c>
      <c r="P45" s="143">
        <f>SUM(P36:P44)</f>
        <v>-26.2</v>
      </c>
      <c r="Q45" s="143">
        <f>SUM(Q36:Q44)</f>
        <v>-22.7</v>
      </c>
      <c r="R45" s="143">
        <f>SUM(R36:R44)</f>
        <v>-1.2000000000000011</v>
      </c>
      <c r="S45" s="144">
        <f t="shared" si="1"/>
        <v>-40.700000000000003</v>
      </c>
      <c r="T45" s="143">
        <f>SUM(T36:T44)</f>
        <v>36.5</v>
      </c>
      <c r="U45" s="143">
        <f>SUM(U36:U44)</f>
        <v>-18.7</v>
      </c>
      <c r="V45" s="143">
        <f>SUM(V36:V44)</f>
        <v>4.4999999999999982</v>
      </c>
      <c r="W45" s="143">
        <f>SUM(W36:W44)</f>
        <v>-19.700000000000003</v>
      </c>
      <c r="X45" s="144">
        <f t="shared" si="2"/>
        <v>2.5999999999999943</v>
      </c>
      <c r="Y45" s="143">
        <f>SUM(Y36:Y44)</f>
        <v>12.500000000000004</v>
      </c>
      <c r="Z45" s="143">
        <f>SUM(Z36:Z44)</f>
        <v>-13.300000000000004</v>
      </c>
      <c r="AA45" s="143">
        <f>SUM(AA36:AA44)</f>
        <v>-70.100000000000009</v>
      </c>
      <c r="AB45" s="143">
        <f>SUM(AB36:AB44)</f>
        <v>-4.5999999999999961</v>
      </c>
      <c r="AC45" s="144">
        <f t="shared" si="3"/>
        <v>-75.5</v>
      </c>
      <c r="AD45" s="143">
        <f>SUM(AD36:AD44)</f>
        <v>55.300000000000004</v>
      </c>
      <c r="AE45" s="143">
        <f>SUM(AE36:AE44)</f>
        <v>25.899999999999991</v>
      </c>
      <c r="AF45" s="143">
        <f>SUM(AF36:AF44)</f>
        <v>-0.69999999999998885</v>
      </c>
      <c r="AG45" s="143">
        <f>SUM(AG36:AG44)</f>
        <v>-0.40000000000000857</v>
      </c>
      <c r="AH45" s="144">
        <f t="shared" si="4"/>
        <v>80.099999999999994</v>
      </c>
      <c r="AI45" s="143">
        <f>SUM(AI36:AI44)</f>
        <v>3.4000000000000004</v>
      </c>
      <c r="AJ45" s="143">
        <f>SUM(AJ36:AJ44)</f>
        <v>-5.3000000000000007</v>
      </c>
      <c r="AK45" s="143">
        <f>SUM(AK36:AK44)</f>
        <v>-11.9</v>
      </c>
      <c r="AL45" s="143">
        <f>SUM(AL36:AL44)</f>
        <v>1.0999999999999996</v>
      </c>
      <c r="AM45" s="144">
        <f t="shared" si="5"/>
        <v>-12.700000000000001</v>
      </c>
      <c r="AN45" s="143">
        <f>SUM(AN36:AN44)</f>
        <v>-30.1</v>
      </c>
      <c r="AO45" s="143">
        <f>SUM(AO36:AO44)</f>
        <v>2.1999999999999997</v>
      </c>
      <c r="AP45" s="143">
        <f>SUM(AP36:AP44)</f>
        <v>-38.29999999999999</v>
      </c>
      <c r="AQ45" s="143">
        <f>SUM(AQ36:AQ44)</f>
        <v>1.0000000000000036</v>
      </c>
      <c r="AR45" s="144">
        <f t="shared" si="6"/>
        <v>-65.199999999999989</v>
      </c>
      <c r="AS45" s="143">
        <f>SUM(AS36:AS44)</f>
        <v>-52.9</v>
      </c>
      <c r="AT45" s="143">
        <f>SUM(AT36:AT44)</f>
        <v>-24.099999999999998</v>
      </c>
      <c r="AU45" s="143">
        <f>SUM(AU36:AU44)</f>
        <v>-0.70000000000000018</v>
      </c>
      <c r="AV45" s="143">
        <f>SUM(AV36:AV44)</f>
        <v>3.2999999999999994</v>
      </c>
      <c r="AW45" s="144">
        <f t="shared" si="7"/>
        <v>-74.400000000000006</v>
      </c>
      <c r="AX45" s="143">
        <f>SUM(AX36:AX44)</f>
        <v>59.099999999999994</v>
      </c>
      <c r="AY45" s="143">
        <f>SUM(AY36:AY44)</f>
        <v>-8.8999999999999968</v>
      </c>
      <c r="AZ45" s="143">
        <f>SUM(AZ36:AZ44)</f>
        <v>-3.3000000000000025</v>
      </c>
      <c r="BA45" s="143">
        <f>SUM(BA36:BA44)</f>
        <v>-38.699999999999996</v>
      </c>
      <c r="BB45" s="150">
        <f t="shared" si="8"/>
        <v>8.1999999999999957</v>
      </c>
      <c r="BC45" s="143">
        <f>SUM(BC36:BC44)</f>
        <v>1.8999999999999992</v>
      </c>
      <c r="BD45" s="143">
        <f>SUM(BD36:BD44)</f>
        <v>7.1</v>
      </c>
      <c r="BE45" s="143">
        <f>SUM(BE36:BE44)</f>
        <v>-45.7</v>
      </c>
      <c r="BF45" s="143">
        <f>SUM(BF36:BF44)</f>
        <v>-10.499999999999998</v>
      </c>
      <c r="BG45" s="144">
        <f t="shared" si="31"/>
        <v>-47.2</v>
      </c>
      <c r="BH45" s="143">
        <f>SUM(BH36:BH44)</f>
        <v>6.3</v>
      </c>
      <c r="BI45" s="143">
        <f>SUM(BI36:BI44)</f>
        <v>-18.500000000000004</v>
      </c>
      <c r="BJ45" s="143">
        <f>SUM(BJ36:BJ44)</f>
        <v>-9.0999999999999979</v>
      </c>
      <c r="BK45" s="143">
        <f>SUM(BK36:BK44)</f>
        <v>-15.600000000000001</v>
      </c>
      <c r="BL45" s="144">
        <f t="shared" si="32"/>
        <v>-36.900000000000006</v>
      </c>
      <c r="BM45" s="143">
        <f>SUM(BM36:BM44)</f>
        <v>65.8</v>
      </c>
      <c r="BN45" s="143">
        <f>SUM(BN36:BN44)</f>
        <v>18.799999999999997</v>
      </c>
      <c r="BO45" s="143">
        <f>SUM(BO36:BO44)</f>
        <v>-18.900000000000013</v>
      </c>
      <c r="BP45" s="143">
        <f>SUM(BP36:BP44)</f>
        <v>-76.59999999999998</v>
      </c>
      <c r="BQ45" s="144">
        <f t="shared" si="33"/>
        <v>-10.899999999999991</v>
      </c>
      <c r="BR45" s="143">
        <f>SUM(BR36:BR44)</f>
        <v>54.9</v>
      </c>
      <c r="BS45" s="143">
        <f>SUM(BS36:BS44)</f>
        <v>-12.900000000000006</v>
      </c>
      <c r="BT45" s="143">
        <f>SUM(BT36:BT44)</f>
        <v>-69.3</v>
      </c>
      <c r="BU45" s="143">
        <f>SUM(BU36:BU44)</f>
        <v>-19.499999999999993</v>
      </c>
      <c r="BV45" s="144">
        <f t="shared" si="34"/>
        <v>-46.8</v>
      </c>
      <c r="BW45" s="143">
        <f>SUM(BW36:BW44)</f>
        <v>87.800000000000011</v>
      </c>
      <c r="BX45" s="143">
        <f>SUM(BX36:BX44)</f>
        <v>-85</v>
      </c>
      <c r="BY45" s="143">
        <f>SUM(BY36:BY44)</f>
        <v>-1.7999999999999989</v>
      </c>
      <c r="BZ45" s="143">
        <f>SUM(BZ36:BZ44)</f>
        <v>-59.300000000000026</v>
      </c>
      <c r="CA45" s="144">
        <f t="shared" si="35"/>
        <v>-58.300000000000011</v>
      </c>
      <c r="CB45" s="143">
        <f>SUM(CB36:CB44)</f>
        <v>-15.5</v>
      </c>
      <c r="CC45" s="143">
        <f>SUM(CC36:CC44)</f>
        <v>-57.800000000000011</v>
      </c>
      <c r="CD45" s="143">
        <f>SUM(CD36:CD44)</f>
        <v>-63.500000000000021</v>
      </c>
      <c r="CE45" s="143">
        <f>SUM(CE36:CE44)</f>
        <v>-120.49999999999997</v>
      </c>
      <c r="CF45" s="144">
        <f t="shared" si="36"/>
        <v>-257.3</v>
      </c>
      <c r="CG45" s="143">
        <f>SUM(CG36:CG44)</f>
        <v>184.90000000000003</v>
      </c>
      <c r="CH45" s="143">
        <f>SUM(CH36:CH44)</f>
        <v>-56.7</v>
      </c>
      <c r="CI45" s="143">
        <f>SUM(CI36:CI44)</f>
        <v>-63.4</v>
      </c>
      <c r="CJ45" s="143">
        <f>SUM(CJ36:CJ44)</f>
        <v>-156.20000000000002</v>
      </c>
      <c r="CK45" s="144">
        <f t="shared" si="37"/>
        <v>-91.399999999999977</v>
      </c>
      <c r="CL45" s="143">
        <f>SUM(CL36:CL44)</f>
        <v>284.79999999999995</v>
      </c>
      <c r="CM45" s="143">
        <f>SUM(CM36:CM44)</f>
        <v>1.2</v>
      </c>
      <c r="CN45" s="143">
        <f>SUM(CN36:CN44)</f>
        <v>-23.8</v>
      </c>
      <c r="CO45" s="143">
        <f>SUM(CO36:CO44)</f>
        <v>-48.8</v>
      </c>
      <c r="CP45" s="144">
        <f t="shared" si="38"/>
        <v>213.39999999999992</v>
      </c>
      <c r="CQ45" s="144">
        <f>SUM(CQ36:CQ44)</f>
        <v>-344.93</v>
      </c>
      <c r="CR45" s="144">
        <f>SUM(CR36:CR44)</f>
        <v>-275.22500000000002</v>
      </c>
      <c r="CS45" s="144">
        <f>SUM(CS36:CS44)</f>
        <v>-256.234375</v>
      </c>
    </row>
    <row r="46" spans="2:98">
      <c r="B46" s="1" t="s">
        <v>250</v>
      </c>
      <c r="C46" s="12">
        <f>'Data (2)'!C119</f>
        <v>0</v>
      </c>
      <c r="D46" s="12">
        <f>'Data (2)'!D119</f>
        <v>0</v>
      </c>
      <c r="E46" s="12">
        <f>'Data (2)'!E119</f>
        <v>0</v>
      </c>
      <c r="F46" s="12">
        <f>'Data (2)'!F119</f>
        <v>0</v>
      </c>
      <c r="G46" s="12">
        <f>'Data (2)'!G119</f>
        <v>0</v>
      </c>
      <c r="H46" s="12">
        <f>'Data (2)'!H119</f>
        <v>0</v>
      </c>
      <c r="I46" s="12">
        <f>'Data (2)'!I119</f>
        <v>0</v>
      </c>
      <c r="J46" s="1">
        <f>'Data (2)'!J119</f>
        <v>0</v>
      </c>
      <c r="K46" s="1">
        <f>'Data (2)'!K119-J46</f>
        <v>0</v>
      </c>
      <c r="L46" s="1">
        <f>'Data (2)'!L119-K46-J46</f>
        <v>0</v>
      </c>
      <c r="M46" s="1">
        <f>'Data (2)'!M119-L46-K46-J46</f>
        <v>0</v>
      </c>
      <c r="N46" s="12">
        <f t="shared" si="0"/>
        <v>0</v>
      </c>
      <c r="O46" s="1">
        <f>'Data (2)'!O119</f>
        <v>0</v>
      </c>
      <c r="P46" s="1">
        <f>'Data (2)'!P119-O46</f>
        <v>0</v>
      </c>
      <c r="Q46" s="1">
        <f>'Data (2)'!Q119-P46-O46</f>
        <v>0</v>
      </c>
      <c r="R46" s="1">
        <f>'Data (2)'!R119-Q46-P46-O46</f>
        <v>0</v>
      </c>
      <c r="S46" s="12">
        <f t="shared" si="1"/>
        <v>0</v>
      </c>
      <c r="T46" s="1">
        <f>'Data (2)'!T119</f>
        <v>0</v>
      </c>
      <c r="U46" s="1">
        <f>'Data (2)'!U119-T46</f>
        <v>0</v>
      </c>
      <c r="V46" s="1">
        <f>'Data (2)'!V119-U46-T46</f>
        <v>0</v>
      </c>
      <c r="W46" s="1">
        <f>'Data (2)'!W119-V46-U46-T46</f>
        <v>2.5</v>
      </c>
      <c r="X46" s="12">
        <f t="shared" si="2"/>
        <v>2.5</v>
      </c>
      <c r="Y46" s="1">
        <f>'Data (2)'!Y119</f>
        <v>-2.2000000000000002</v>
      </c>
      <c r="Z46" s="1">
        <f>'Data (2)'!Z119-Y46</f>
        <v>10.100000000000001</v>
      </c>
      <c r="AA46" s="1">
        <f>'Data (2)'!AA119-Z46-Y46</f>
        <v>0</v>
      </c>
      <c r="AB46" s="1">
        <f>'Data (2)'!AB119-AA46-Z46-Y46</f>
        <v>-0.70000000000000107</v>
      </c>
      <c r="AC46" s="12">
        <f t="shared" si="3"/>
        <v>7.2</v>
      </c>
      <c r="AD46" s="1">
        <f>'Data (2)'!AD119</f>
        <v>0</v>
      </c>
      <c r="AE46" s="1">
        <f>'Data (2)'!AE119-AD46</f>
        <v>0</v>
      </c>
      <c r="AF46" s="1">
        <f>'Data (2)'!AF119-AE46-AD46</f>
        <v>0</v>
      </c>
      <c r="AG46" s="1">
        <f>'Data (2)'!AG119-AF46-AE46-AD46</f>
        <v>0</v>
      </c>
      <c r="AH46" s="12">
        <f t="shared" si="4"/>
        <v>0</v>
      </c>
      <c r="AI46" s="1">
        <f>'Data (2)'!AI119</f>
        <v>0</v>
      </c>
      <c r="AJ46" s="1">
        <f>'Data (2)'!AJ119-AI46</f>
        <v>0</v>
      </c>
      <c r="AK46" s="1">
        <f>'Data (2)'!AK119-AJ46-AI46</f>
        <v>0</v>
      </c>
      <c r="AL46" s="1">
        <f>'Data (2)'!AL119-AK46-AJ46-AI46</f>
        <v>0</v>
      </c>
      <c r="AM46" s="12">
        <f t="shared" si="5"/>
        <v>0</v>
      </c>
      <c r="AN46" s="1">
        <f>'Data (2)'!AN119</f>
        <v>0</v>
      </c>
      <c r="AO46" s="1">
        <f>'Data (2)'!AO119-AN46</f>
        <v>0</v>
      </c>
      <c r="AP46" s="1">
        <f>'Data (2)'!AP119-AO46-AN46</f>
        <v>0</v>
      </c>
      <c r="AQ46" s="1">
        <f>'Data (2)'!AQ119-AP46-AO46-AN46</f>
        <v>0</v>
      </c>
      <c r="AR46" s="12">
        <f t="shared" si="6"/>
        <v>0</v>
      </c>
      <c r="AS46" s="1">
        <f>'Data (2)'!AS119</f>
        <v>0</v>
      </c>
      <c r="AT46" s="1">
        <f>'Data (2)'!AT119-AS46</f>
        <v>0</v>
      </c>
      <c r="AU46" s="1">
        <f>'Data (2)'!AU119-AT46-AS46</f>
        <v>0</v>
      </c>
      <c r="AV46" s="1">
        <f>'Data (2)'!AV119-AU46-AT46-AS46</f>
        <v>0</v>
      </c>
      <c r="AW46" s="12">
        <f t="shared" si="7"/>
        <v>0</v>
      </c>
      <c r="AX46" s="1">
        <f>'Data (2)'!AX119</f>
        <v>0</v>
      </c>
      <c r="AY46" s="1">
        <f>'Data (2)'!AY119-AX46</f>
        <v>0</v>
      </c>
      <c r="AZ46" s="1">
        <f>'Data (2)'!AZ119-AY46-AX46</f>
        <v>0</v>
      </c>
      <c r="BA46" s="1">
        <f>'Data (2)'!BA119-AZ46-AY46-AX46</f>
        <v>0</v>
      </c>
      <c r="BB46" s="12">
        <f t="shared" si="8"/>
        <v>0</v>
      </c>
      <c r="BC46" s="1">
        <f>'Data (2)'!BC119</f>
        <v>0</v>
      </c>
      <c r="BD46" s="1">
        <f>'Data (2)'!BD119-BC46</f>
        <v>0</v>
      </c>
      <c r="BE46" s="1">
        <f>'Data (2)'!BE119-BD46-BC46</f>
        <v>0</v>
      </c>
      <c r="BF46" s="1">
        <f>'Data (2)'!BF119-BE46-BD46-BC46</f>
        <v>0</v>
      </c>
      <c r="BG46" s="12">
        <f t="shared" si="31"/>
        <v>0</v>
      </c>
      <c r="BH46" s="1">
        <v>0</v>
      </c>
      <c r="BI46" s="1">
        <f>'Data (2)'!BI119-BH46</f>
        <v>0</v>
      </c>
      <c r="BJ46" s="1">
        <f>'Data (2)'!BJ119-BI46-BH46</f>
        <v>0</v>
      </c>
      <c r="BK46" s="1">
        <f>'Data (2)'!BK119-BJ46-BI46-BH46</f>
        <v>0</v>
      </c>
      <c r="BL46" s="12">
        <f t="shared" si="32"/>
        <v>0</v>
      </c>
      <c r="BM46" s="1">
        <v>0</v>
      </c>
      <c r="BN46" s="1">
        <f>'Data (2)'!BN119-BM46</f>
        <v>0</v>
      </c>
      <c r="BO46" s="1">
        <f>'Data (2)'!BO119-BN46-BM46</f>
        <v>0</v>
      </c>
      <c r="BP46" s="1">
        <f>'Data (2)'!BP119-BO46-BN46-BM46</f>
        <v>0</v>
      </c>
      <c r="BQ46" s="12">
        <f t="shared" si="33"/>
        <v>0</v>
      </c>
      <c r="BR46" s="1">
        <v>0</v>
      </c>
      <c r="BS46" s="1">
        <f>'Data (2)'!BS119-BR46</f>
        <v>0</v>
      </c>
      <c r="BT46" s="1">
        <f>'Data (2)'!BT119-BS46-BR46</f>
        <v>0</v>
      </c>
      <c r="BU46" s="1">
        <f>'Data (2)'!BU119-BT46-BS46-BR46</f>
        <v>0</v>
      </c>
      <c r="BV46" s="12">
        <f t="shared" si="34"/>
        <v>0</v>
      </c>
      <c r="BW46" s="1">
        <v>0</v>
      </c>
      <c r="BX46" s="1">
        <f>'Data (2)'!BX119-BW46</f>
        <v>0</v>
      </c>
      <c r="BY46" s="1">
        <f>'Data (2)'!BY119-BX46-BW46</f>
        <v>0</v>
      </c>
      <c r="BZ46" s="1">
        <f>'Data (2)'!BZ119-BY46-BX46-BW46</f>
        <v>0</v>
      </c>
      <c r="CA46" s="12">
        <f t="shared" si="35"/>
        <v>0</v>
      </c>
      <c r="CB46" s="1">
        <v>0</v>
      </c>
      <c r="CC46" s="1">
        <v>0</v>
      </c>
      <c r="CD46" s="1">
        <f>'Data (2)'!CD119-CC46-CB46</f>
        <v>0</v>
      </c>
      <c r="CE46" s="1">
        <f>'Data (2)'!CE119-CD46-CC46-CB46</f>
        <v>0</v>
      </c>
      <c r="CF46" s="12">
        <f t="shared" si="36"/>
        <v>0</v>
      </c>
      <c r="CG46" s="1">
        <v>0</v>
      </c>
      <c r="CH46" s="1">
        <v>0</v>
      </c>
      <c r="CI46" s="1">
        <f>'Data (2)'!CI119-CH46-CG46</f>
        <v>0</v>
      </c>
      <c r="CJ46" s="1">
        <f>'Data (2)'!CJ119-CI46-CH46-CG46</f>
        <v>0</v>
      </c>
      <c r="CK46" s="12">
        <f t="shared" si="37"/>
        <v>0</v>
      </c>
      <c r="CL46" s="1">
        <v>0</v>
      </c>
      <c r="CM46" s="1">
        <v>0</v>
      </c>
      <c r="CN46" s="1">
        <v>0</v>
      </c>
      <c r="CO46" s="1">
        <v>0</v>
      </c>
      <c r="CP46" s="12">
        <f t="shared" si="38"/>
        <v>0</v>
      </c>
      <c r="CQ46" s="12">
        <v>0</v>
      </c>
      <c r="CR46" s="12">
        <v>0</v>
      </c>
      <c r="CS46" s="12">
        <v>0</v>
      </c>
    </row>
    <row r="47" spans="2:98">
      <c r="B47" s="1" t="s">
        <v>319</v>
      </c>
      <c r="C47" s="12">
        <f>'Data (2)'!C120</f>
        <v>0</v>
      </c>
      <c r="D47" s="12">
        <f>'Data (2)'!D120</f>
        <v>0</v>
      </c>
      <c r="E47" s="12">
        <f>'Data (2)'!E120</f>
        <v>0</v>
      </c>
      <c r="F47" s="12">
        <f>'Data (2)'!F120</f>
        <v>0</v>
      </c>
      <c r="G47" s="12">
        <f>'Data (2)'!G120</f>
        <v>0</v>
      </c>
      <c r="H47" s="12">
        <f>'Data (2)'!H120</f>
        <v>0</v>
      </c>
      <c r="I47" s="12">
        <f>'Data (2)'!I120</f>
        <v>0</v>
      </c>
      <c r="J47" s="1">
        <f>'Data (2)'!J120</f>
        <v>0</v>
      </c>
      <c r="K47" s="1">
        <f>'Data (2)'!K120-J47</f>
        <v>0</v>
      </c>
      <c r="L47" s="1">
        <f>'Data (2)'!L120-K47-J47</f>
        <v>0</v>
      </c>
      <c r="M47" s="1">
        <f>'Data (2)'!M120-L47-K47-J47</f>
        <v>0</v>
      </c>
      <c r="N47" s="12">
        <f t="shared" si="0"/>
        <v>0</v>
      </c>
      <c r="O47" s="1">
        <f>'Data (2)'!O120</f>
        <v>0</v>
      </c>
      <c r="P47" s="1">
        <f>'Data (2)'!P120-O47</f>
        <v>0</v>
      </c>
      <c r="Q47" s="1">
        <f>'Data (2)'!Q120-P47-O47</f>
        <v>0</v>
      </c>
      <c r="R47" s="1">
        <f>'Data (2)'!R120-Q47-P47-O47</f>
        <v>0</v>
      </c>
      <c r="S47" s="12">
        <f t="shared" si="1"/>
        <v>0</v>
      </c>
      <c r="T47" s="1">
        <f>'Data (2)'!T120</f>
        <v>0</v>
      </c>
      <c r="U47" s="1">
        <f>'Data (2)'!U120-T47</f>
        <v>0</v>
      </c>
      <c r="V47" s="1">
        <f>'Data (2)'!V120-U47-T47</f>
        <v>0</v>
      </c>
      <c r="W47" s="1">
        <f>'Data (2)'!W120-V47-U47-T47</f>
        <v>-0.3</v>
      </c>
      <c r="X47" s="12">
        <f t="shared" si="2"/>
        <v>-0.3</v>
      </c>
      <c r="Y47" s="1">
        <f>'Data (2)'!Y120</f>
        <v>0</v>
      </c>
      <c r="Z47" s="1">
        <f>'Data (2)'!Z120-Y47</f>
        <v>-1.6</v>
      </c>
      <c r="AA47" s="1">
        <f>'Data (2)'!AA120-Z47-Y47</f>
        <v>-0.19999999999999996</v>
      </c>
      <c r="AB47" s="1">
        <f>'Data (2)'!AB120-AA47-Z47-Y47</f>
        <v>0</v>
      </c>
      <c r="AC47" s="12">
        <f t="shared" si="3"/>
        <v>-1.8</v>
      </c>
      <c r="AD47" s="1">
        <f>'Data (2)'!AD120</f>
        <v>0</v>
      </c>
      <c r="AE47" s="1">
        <f>'Data (2)'!AE120-AD47</f>
        <v>0</v>
      </c>
      <c r="AF47" s="1">
        <f>'Data (2)'!AF120-AE47-AD47</f>
        <v>0</v>
      </c>
      <c r="AG47" s="1">
        <f>'Data (2)'!AG120-AF47-AE47-AD47</f>
        <v>0</v>
      </c>
      <c r="AH47" s="12">
        <f t="shared" si="4"/>
        <v>0</v>
      </c>
      <c r="AI47" s="1">
        <f>'Data (2)'!AI120</f>
        <v>0</v>
      </c>
      <c r="AJ47" s="1">
        <f>'Data (2)'!AJ120-AI47</f>
        <v>0</v>
      </c>
      <c r="AK47" s="1">
        <f>'Data (2)'!AK120-AJ47-AI47</f>
        <v>0</v>
      </c>
      <c r="AL47" s="1">
        <f>'Data (2)'!AL120-AK47-AJ47-AI47</f>
        <v>0</v>
      </c>
      <c r="AM47" s="12">
        <f t="shared" si="5"/>
        <v>0</v>
      </c>
      <c r="AN47" s="1">
        <f>'Data (2)'!AN120</f>
        <v>0</v>
      </c>
      <c r="AO47" s="1">
        <f>'Data (2)'!AO120-AN47</f>
        <v>0</v>
      </c>
      <c r="AP47" s="1">
        <f>'Data (2)'!AP120-AO47-AN47</f>
        <v>0</v>
      </c>
      <c r="AQ47" s="1">
        <f>'Data (2)'!AQ120-AP47-AO47-AN47</f>
        <v>0</v>
      </c>
      <c r="AR47" s="12">
        <f t="shared" si="6"/>
        <v>0</v>
      </c>
      <c r="AS47" s="1">
        <f>'Data (2)'!AS120</f>
        <v>0</v>
      </c>
      <c r="AT47" s="1">
        <f>'Data (2)'!AT120-AS47</f>
        <v>0</v>
      </c>
      <c r="AU47" s="1">
        <f>'Data (2)'!AU120-AT47-AS47</f>
        <v>0</v>
      </c>
      <c r="AV47" s="1">
        <f>'Data (2)'!AV120-AU47-AT47-AS47</f>
        <v>0</v>
      </c>
      <c r="AW47" s="12">
        <f t="shared" si="7"/>
        <v>0</v>
      </c>
      <c r="AX47" s="1">
        <f>'Data (2)'!AX120</f>
        <v>0</v>
      </c>
      <c r="AY47" s="1">
        <f>'Data (2)'!AY120-AX47</f>
        <v>0</v>
      </c>
      <c r="AZ47" s="1">
        <f>'Data (2)'!AZ120-AY47-AX47</f>
        <v>0</v>
      </c>
      <c r="BA47" s="1">
        <f>'Data (2)'!BA120-AZ47-AY47-AX47</f>
        <v>0</v>
      </c>
      <c r="BB47" s="12">
        <f t="shared" si="8"/>
        <v>0</v>
      </c>
      <c r="BC47" s="1">
        <f>'Data (2)'!BC120</f>
        <v>0</v>
      </c>
      <c r="BD47" s="1">
        <f>'Data (2)'!BD120-BC47</f>
        <v>0</v>
      </c>
      <c r="BE47" s="1">
        <f>'Data (2)'!BE120-BD47-BC47</f>
        <v>0</v>
      </c>
      <c r="BF47" s="1">
        <f>'Data (2)'!BF120-BE47-BD47-BC47</f>
        <v>0</v>
      </c>
      <c r="BG47" s="12">
        <f t="shared" si="31"/>
        <v>0</v>
      </c>
      <c r="BH47" s="1">
        <v>0</v>
      </c>
      <c r="BI47" s="1">
        <f>'Data (2)'!BI120-BH47</f>
        <v>0</v>
      </c>
      <c r="BJ47" s="1">
        <f>'Data (2)'!BJ120-BI47-BH47</f>
        <v>0</v>
      </c>
      <c r="BK47" s="1">
        <f>'Data (2)'!BK120-BJ47-BI47-BH47</f>
        <v>0</v>
      </c>
      <c r="BL47" s="12">
        <f t="shared" si="32"/>
        <v>0</v>
      </c>
      <c r="BM47" s="1">
        <v>0</v>
      </c>
      <c r="BN47" s="1">
        <f>'Data (2)'!BN120-BM47</f>
        <v>0</v>
      </c>
      <c r="BO47" s="1">
        <f>'Data (2)'!BO120-BN47-BM47</f>
        <v>0</v>
      </c>
      <c r="BP47" s="1">
        <f>'Data (2)'!BP120-BO47-BN47-BM47</f>
        <v>0</v>
      </c>
      <c r="BQ47" s="12">
        <f t="shared" si="33"/>
        <v>0</v>
      </c>
      <c r="BR47" s="1">
        <v>0</v>
      </c>
      <c r="BS47" s="1">
        <f>'Data (2)'!BS120-BR47</f>
        <v>0</v>
      </c>
      <c r="BT47" s="1">
        <f>'Data (2)'!BT120-BS47-BR47</f>
        <v>0</v>
      </c>
      <c r="BU47" s="1">
        <f>'Data (2)'!BU120-BT47-BS47-BR47</f>
        <v>0</v>
      </c>
      <c r="BV47" s="12">
        <f t="shared" si="34"/>
        <v>0</v>
      </c>
      <c r="BW47" s="1">
        <v>0</v>
      </c>
      <c r="BX47" s="1">
        <f>'Data (2)'!BX120-BW47</f>
        <v>0</v>
      </c>
      <c r="BY47" s="1">
        <f>'Data (2)'!BY120-BX47-BW47</f>
        <v>0</v>
      </c>
      <c r="BZ47" s="1">
        <f>'Data (2)'!BZ120-BY47-BX47-BW47</f>
        <v>0</v>
      </c>
      <c r="CA47" s="12">
        <f t="shared" si="35"/>
        <v>0</v>
      </c>
      <c r="CB47" s="1">
        <v>0</v>
      </c>
      <c r="CC47" s="1">
        <v>0</v>
      </c>
      <c r="CD47" s="1">
        <f>'Data (2)'!CD120-CC47-CB47</f>
        <v>0</v>
      </c>
      <c r="CE47" s="1">
        <f>'Data (2)'!CE120-CD47-CC47-CB47</f>
        <v>0</v>
      </c>
      <c r="CF47" s="12">
        <f t="shared" si="36"/>
        <v>0</v>
      </c>
      <c r="CG47" s="1">
        <v>0</v>
      </c>
      <c r="CH47" s="1">
        <v>0</v>
      </c>
      <c r="CI47" s="1">
        <f>'Data (2)'!CI120-CH47-CG47</f>
        <v>0</v>
      </c>
      <c r="CJ47" s="1">
        <f>'Data (2)'!CJ120-CI47-CH47-CG47</f>
        <v>0</v>
      </c>
      <c r="CK47" s="12">
        <f t="shared" si="37"/>
        <v>0</v>
      </c>
      <c r="CL47" s="1">
        <v>0</v>
      </c>
      <c r="CM47" s="1">
        <v>0</v>
      </c>
      <c r="CN47" s="1">
        <v>0</v>
      </c>
      <c r="CO47" s="1">
        <v>0</v>
      </c>
      <c r="CP47" s="12">
        <f t="shared" si="38"/>
        <v>0</v>
      </c>
      <c r="CQ47" s="12">
        <v>0</v>
      </c>
      <c r="CR47" s="12">
        <v>0</v>
      </c>
      <c r="CS47" s="12">
        <v>0</v>
      </c>
    </row>
    <row r="48" spans="2:98">
      <c r="B48" s="1" t="s">
        <v>254</v>
      </c>
      <c r="C48" s="18">
        <f>'Data (2)'!C121</f>
        <v>0.70899999999999996</v>
      </c>
      <c r="D48" s="18">
        <f>'Data (2)'!D121</f>
        <v>3.177</v>
      </c>
      <c r="E48" s="18">
        <f>'Data (2)'!E121</f>
        <v>-1.2</v>
      </c>
      <c r="F48" s="18">
        <f>'Data (2)'!F121</f>
        <v>-1.9</v>
      </c>
      <c r="G48" s="18">
        <f>'Data (2)'!G121</f>
        <v>1.1000000000000001</v>
      </c>
      <c r="H48" s="18">
        <f>'Data (2)'!H121</f>
        <v>0.3</v>
      </c>
      <c r="I48" s="18">
        <f>'Data (2)'!I121</f>
        <v>4.4000000000000004</v>
      </c>
      <c r="J48" s="19">
        <f>'Data (2)'!J121</f>
        <v>0.2</v>
      </c>
      <c r="K48" s="19">
        <f>'Data (2)'!K121-J48</f>
        <v>0.49999999999999994</v>
      </c>
      <c r="L48" s="19">
        <f>'Data (2)'!L121-K48-J48</f>
        <v>-0.39999999999999997</v>
      </c>
      <c r="M48" s="19">
        <f>'Data (2)'!M121-L48-K48-J48</f>
        <v>-0.5</v>
      </c>
      <c r="N48" s="18">
        <f t="shared" si="0"/>
        <v>-0.2</v>
      </c>
      <c r="O48" s="19">
        <f>'Data (2)'!O121</f>
        <v>0.9</v>
      </c>
      <c r="P48" s="19">
        <f>'Data (2)'!P121-O48</f>
        <v>2.3000000000000003</v>
      </c>
      <c r="Q48" s="19">
        <f>'Data (2)'!Q121-P48-O48</f>
        <v>-1</v>
      </c>
      <c r="R48" s="19">
        <f>'Data (2)'!R121-Q48-P48-O48</f>
        <v>-0.30000000000000038</v>
      </c>
      <c r="S48" s="18">
        <f t="shared" si="1"/>
        <v>1.9</v>
      </c>
      <c r="T48" s="19">
        <f>'Data (2)'!T121</f>
        <v>-0.6</v>
      </c>
      <c r="U48" s="19">
        <f>'Data (2)'!U121-T48</f>
        <v>-0.20000000000000007</v>
      </c>
      <c r="V48" s="19">
        <f>'Data (2)'!V121-U48-T48</f>
        <v>0.4</v>
      </c>
      <c r="W48" s="19">
        <f>'Data (2)'!W121-V48-U48-T48</f>
        <v>-2.0999999999999996</v>
      </c>
      <c r="X48" s="18">
        <f t="shared" si="2"/>
        <v>-2.4999999999999996</v>
      </c>
      <c r="Y48" s="19">
        <f>'Data (2)'!Y121</f>
        <v>0.5</v>
      </c>
      <c r="Z48" s="19">
        <f>'Data (2)'!Z121-Y48</f>
        <v>0.4</v>
      </c>
      <c r="AA48" s="19">
        <f>'Data (2)'!AA121-Z48-Y48</f>
        <v>1.6</v>
      </c>
      <c r="AB48" s="19">
        <f>'Data (2)'!AB121-AA48-Z48-Y48</f>
        <v>1.1000000000000001</v>
      </c>
      <c r="AC48" s="18">
        <f t="shared" si="3"/>
        <v>3.6</v>
      </c>
      <c r="AD48" s="19">
        <f>'Data (2)'!AD121</f>
        <v>1.6</v>
      </c>
      <c r="AE48" s="19">
        <f>'Data (2)'!AE121-AD48</f>
        <v>9.9999999999999867E-2</v>
      </c>
      <c r="AF48" s="19">
        <f>'Data (2)'!AF121-AE48-AD48</f>
        <v>-1.5</v>
      </c>
      <c r="AG48" s="19">
        <f>'Data (2)'!AG121-AF48-AE48-AD48</f>
        <v>-1.4</v>
      </c>
      <c r="AH48" s="18">
        <f t="shared" si="4"/>
        <v>-1.2</v>
      </c>
      <c r="AI48" s="19">
        <f>'Data (2)'!AI121</f>
        <v>-2.2999999999999998</v>
      </c>
      <c r="AJ48" s="19">
        <f>'Data (2)'!AJ121-AI48</f>
        <v>3.9</v>
      </c>
      <c r="AK48" s="19">
        <f>'Data (2)'!AK121-AJ48-AI48</f>
        <v>4.0999999999999996</v>
      </c>
      <c r="AL48" s="19">
        <f>'Data (2)'!AL121-AK48-AJ48-AI48</f>
        <v>-2.2000000000000002</v>
      </c>
      <c r="AM48" s="18">
        <f t="shared" si="5"/>
        <v>3.4999999999999991</v>
      </c>
      <c r="AN48" s="19">
        <f>'Data (2)'!AN121</f>
        <v>-4.5999999999999996</v>
      </c>
      <c r="AO48" s="19">
        <f>'Data (2)'!AO121-AN48</f>
        <v>-5.2000000000000011</v>
      </c>
      <c r="AP48" s="19">
        <f>'Data (2)'!AP121-AO48-AN48</f>
        <v>6.8000000000000007</v>
      </c>
      <c r="AQ48" s="19">
        <f>'Data (2)'!AQ121-AP48-AO48-AN48</f>
        <v>-2.4000000000000004</v>
      </c>
      <c r="AR48" s="18">
        <f t="shared" si="6"/>
        <v>-5.4</v>
      </c>
      <c r="AS48" s="19">
        <f>'Data (2)'!AS121</f>
        <v>5.3</v>
      </c>
      <c r="AT48" s="19">
        <f>'Data (2)'!AT121-AS48</f>
        <v>0.90000000000000036</v>
      </c>
      <c r="AU48" s="19">
        <f>'Data (2)'!AU121-AT48-AS48</f>
        <v>-3.6</v>
      </c>
      <c r="AV48" s="19">
        <f>'Data (2)'!AV121-AU48-AT48-AS48</f>
        <v>-3.2</v>
      </c>
      <c r="AW48" s="18">
        <f t="shared" si="7"/>
        <v>-0.60000000000000009</v>
      </c>
      <c r="AX48" s="19">
        <f>'Data (2)'!AX121</f>
        <v>0.8</v>
      </c>
      <c r="AY48" s="19">
        <f>'Data (2)'!AY121-AX48</f>
        <v>-2.6</v>
      </c>
      <c r="AZ48" s="19">
        <f>'Data (2)'!AZ121-AY48-AX48</f>
        <v>1.7</v>
      </c>
      <c r="BA48" s="19">
        <f>'Data (2)'!BA121-AZ48-AY48-AX48</f>
        <v>1.0000000000000002</v>
      </c>
      <c r="BB48" s="31">
        <f t="shared" si="8"/>
        <v>0.90000000000000013</v>
      </c>
      <c r="BC48" s="19">
        <f>'Data (2)'!BC121</f>
        <v>-1.3</v>
      </c>
      <c r="BD48" s="19">
        <f>'Data (2)'!BD121-BC48</f>
        <v>0.19999999999999996</v>
      </c>
      <c r="BE48" s="19">
        <f>'Data (2)'!BE121-BD48-BC48</f>
        <v>2.1</v>
      </c>
      <c r="BF48" s="19">
        <f>'Data (2)'!BF121-BE48-BD48-BC48</f>
        <v>1.1000000000000001</v>
      </c>
      <c r="BG48" s="18">
        <f t="shared" si="31"/>
        <v>2.1</v>
      </c>
      <c r="BH48" s="19">
        <f>'Data (2)'!BH121</f>
        <v>-0.2</v>
      </c>
      <c r="BI48" s="19">
        <f>'Data (2)'!BI121-BH48</f>
        <v>-0.39999999999999997</v>
      </c>
      <c r="BJ48" s="19">
        <f>'Data (2)'!BJ121-BI48-BH48</f>
        <v>-3.3</v>
      </c>
      <c r="BK48" s="19">
        <f>'Data (2)'!BK121-BJ48-BI48-BH48</f>
        <v>-1.4000000000000001</v>
      </c>
      <c r="BL48" s="18">
        <f t="shared" si="32"/>
        <v>-5.3</v>
      </c>
      <c r="BM48" s="19">
        <f>'Data (2)'!BM121</f>
        <v>-3.3</v>
      </c>
      <c r="BN48" s="19">
        <f>'Data (2)'!BN121-BM48</f>
        <v>0.29999999999999982</v>
      </c>
      <c r="BO48" s="19">
        <f>'Data (2)'!BO121-BN48-BM48</f>
        <v>-4.2</v>
      </c>
      <c r="BP48" s="19">
        <f>'Data (2)'!BP121-BO48-BN48-BM48</f>
        <v>3.3000000000000003</v>
      </c>
      <c r="BQ48" s="18">
        <f t="shared" si="33"/>
        <v>-3.9</v>
      </c>
      <c r="BR48" s="19">
        <f>'Data (2)'!BR121</f>
        <v>1.2</v>
      </c>
      <c r="BS48" s="19">
        <f>'Data (2)'!BS121-BR48</f>
        <v>-1.4</v>
      </c>
      <c r="BT48" s="19">
        <f>'Data (2)'!BT121-BS48-BR48</f>
        <v>0</v>
      </c>
      <c r="BU48" s="19">
        <f>'Data (2)'!BU121-BT48-BS48-BR48</f>
        <v>-4.5</v>
      </c>
      <c r="BV48" s="18">
        <f t="shared" si="34"/>
        <v>-4.7</v>
      </c>
      <c r="BW48" s="19">
        <f>'Data (2)'!BW121</f>
        <v>0.4</v>
      </c>
      <c r="BX48" s="19">
        <f>'Data (2)'!BX121-BW48</f>
        <v>3.9</v>
      </c>
      <c r="BY48" s="19">
        <f>'Data (2)'!BY121-BX48-BW48</f>
        <v>3.4000000000000004</v>
      </c>
      <c r="BZ48" s="19">
        <f>'Data (2)'!BZ121-BY48-BX48-BW48</f>
        <v>0.89999999999999936</v>
      </c>
      <c r="CA48" s="18">
        <f t="shared" si="35"/>
        <v>8.6</v>
      </c>
      <c r="CB48" s="19">
        <f>'Data (2)'!CB121</f>
        <v>2.1</v>
      </c>
      <c r="CC48" s="19">
        <f>'Data (2)'!CC121-CB48</f>
        <v>-5.0999999999999996</v>
      </c>
      <c r="CD48" s="19">
        <f>'Data (2)'!CD121-CC48-CB48</f>
        <v>-0.60000000000000053</v>
      </c>
      <c r="CE48" s="19">
        <f>'Data (2)'!CE121-CD48-CC48-CB48</f>
        <v>-0.39999999999999991</v>
      </c>
      <c r="CF48" s="18">
        <f t="shared" si="36"/>
        <v>-4</v>
      </c>
      <c r="CG48" s="19">
        <f>'Data (2)'!CG121</f>
        <v>-0.3</v>
      </c>
      <c r="CH48" s="19">
        <f>'Data (2)'!CH121-CG48</f>
        <v>9.9999999999999978E-2</v>
      </c>
      <c r="CI48" s="19">
        <f>'Data (2)'!CI121-CH48-CG48</f>
        <v>-1.7</v>
      </c>
      <c r="CJ48" s="19">
        <f>'Data (2)'!CJ121-CI48-CH48-CG48</f>
        <v>1.2</v>
      </c>
      <c r="CK48" s="18">
        <f t="shared" si="37"/>
        <v>-0.7</v>
      </c>
      <c r="CL48" s="19">
        <f>'Data (2)'!CL121</f>
        <v>-1.3</v>
      </c>
      <c r="CM48" s="19">
        <v>0</v>
      </c>
      <c r="CN48" s="19">
        <v>0</v>
      </c>
      <c r="CO48" s="19">
        <v>0</v>
      </c>
      <c r="CP48" s="18">
        <f t="shared" si="38"/>
        <v>-1.3</v>
      </c>
      <c r="CQ48" s="18">
        <v>0</v>
      </c>
      <c r="CR48" s="18">
        <v>0</v>
      </c>
      <c r="CS48" s="18">
        <v>0</v>
      </c>
    </row>
    <row r="49" spans="2:97">
      <c r="B49" s="9" t="s">
        <v>177</v>
      </c>
      <c r="C49" s="10">
        <f>'Data (2)'!C122</f>
        <v>0.78800000000000381</v>
      </c>
      <c r="D49" s="10">
        <f t="shared" ref="D49:AI49" si="40">D48+D47+D46+D45+D35+D26</f>
        <v>-1.5289999999999679</v>
      </c>
      <c r="E49" s="10">
        <f t="shared" si="40"/>
        <v>-7.3000000000000398</v>
      </c>
      <c r="F49" s="10">
        <f t="shared" si="40"/>
        <v>4.9000000000000057</v>
      </c>
      <c r="G49" s="10">
        <f t="shared" si="40"/>
        <v>6.5000000000000178</v>
      </c>
      <c r="H49" s="10">
        <f t="shared" si="40"/>
        <v>-3.3999999999999915</v>
      </c>
      <c r="I49" s="10">
        <f t="shared" si="40"/>
        <v>33.500000000000028</v>
      </c>
      <c r="J49" s="9">
        <f t="shared" si="40"/>
        <v>0.39999999999999503</v>
      </c>
      <c r="K49" s="9">
        <f t="shared" si="40"/>
        <v>24.9</v>
      </c>
      <c r="L49" s="9">
        <f t="shared" si="40"/>
        <v>-1.399999999999995</v>
      </c>
      <c r="M49" s="9">
        <f t="shared" si="40"/>
        <v>-8.4000000000000057</v>
      </c>
      <c r="N49" s="10">
        <f t="shared" si="40"/>
        <v>15.499999999999986</v>
      </c>
      <c r="O49" s="9">
        <f t="shared" si="40"/>
        <v>-14.900000000000002</v>
      </c>
      <c r="P49" s="9">
        <f t="shared" si="40"/>
        <v>7.3999999999999986</v>
      </c>
      <c r="Q49" s="9">
        <f t="shared" si="40"/>
        <v>-25.8</v>
      </c>
      <c r="R49" s="9">
        <f t="shared" si="40"/>
        <v>-2.9000000000000128</v>
      </c>
      <c r="S49" s="10">
        <f t="shared" si="40"/>
        <v>-36.200000000000017</v>
      </c>
      <c r="T49" s="9">
        <f t="shared" si="40"/>
        <v>2.8999999999999986</v>
      </c>
      <c r="U49" s="9">
        <f t="shared" si="40"/>
        <v>-15.100000000000009</v>
      </c>
      <c r="V49" s="9">
        <f t="shared" si="40"/>
        <v>4.1999999999999993</v>
      </c>
      <c r="W49" s="9">
        <f t="shared" si="40"/>
        <v>12.70000000000001</v>
      </c>
      <c r="X49" s="10">
        <f t="shared" si="40"/>
        <v>4.6999999999999886</v>
      </c>
      <c r="Y49" s="9">
        <f t="shared" si="40"/>
        <v>7.8000000000000078</v>
      </c>
      <c r="Z49" s="9">
        <f t="shared" si="40"/>
        <v>2.4999999999999858</v>
      </c>
      <c r="AA49" s="9">
        <f t="shared" si="40"/>
        <v>-4.6000000000000014</v>
      </c>
      <c r="AB49" s="9">
        <f t="shared" si="40"/>
        <v>-3.2999999999999901</v>
      </c>
      <c r="AC49" s="10">
        <f t="shared" si="40"/>
        <v>2.4000000000000057</v>
      </c>
      <c r="AD49" s="9">
        <f t="shared" si="40"/>
        <v>-1.6999999999999744</v>
      </c>
      <c r="AE49" s="9">
        <f t="shared" si="40"/>
        <v>-7.1000000000000192</v>
      </c>
      <c r="AF49" s="9">
        <f t="shared" si="40"/>
        <v>29.400000000000016</v>
      </c>
      <c r="AG49" s="9">
        <f t="shared" si="40"/>
        <v>2.1999999999999886</v>
      </c>
      <c r="AH49" s="10">
        <f t="shared" si="40"/>
        <v>22.800000000000026</v>
      </c>
      <c r="AI49" s="9">
        <f t="shared" si="40"/>
        <v>-23.9</v>
      </c>
      <c r="AJ49" s="9">
        <f t="shared" ref="AJ49:BO49" si="41">AJ48+AJ47+AJ46+AJ45+AJ35+AJ26</f>
        <v>45.600000000000009</v>
      </c>
      <c r="AK49" s="9">
        <f t="shared" si="41"/>
        <v>22.099999999999994</v>
      </c>
      <c r="AL49" s="9">
        <f t="shared" si="41"/>
        <v>15.399999999999977</v>
      </c>
      <c r="AM49" s="10">
        <f t="shared" si="41"/>
        <v>59.2</v>
      </c>
      <c r="AN49" s="9">
        <f t="shared" si="41"/>
        <v>-44.400000000000006</v>
      </c>
      <c r="AO49" s="9">
        <f t="shared" si="41"/>
        <v>18.300000000000011</v>
      </c>
      <c r="AP49" s="9">
        <f t="shared" si="41"/>
        <v>-5.5</v>
      </c>
      <c r="AQ49" s="9">
        <f t="shared" si="41"/>
        <v>38.700000000000017</v>
      </c>
      <c r="AR49" s="10">
        <f t="shared" si="41"/>
        <v>7.1000000000000369</v>
      </c>
      <c r="AS49" s="9">
        <f t="shared" si="41"/>
        <v>-66.600000000000009</v>
      </c>
      <c r="AT49" s="9">
        <f t="shared" si="41"/>
        <v>5.2999999999999972</v>
      </c>
      <c r="AU49" s="9">
        <f t="shared" si="41"/>
        <v>-7.4999999999999929</v>
      </c>
      <c r="AV49" s="9">
        <f t="shared" si="41"/>
        <v>1.1000000000000085</v>
      </c>
      <c r="AW49" s="10">
        <f t="shared" si="41"/>
        <v>-67.699999999999989</v>
      </c>
      <c r="AX49" s="9">
        <f t="shared" si="41"/>
        <v>-0.80000000000002558</v>
      </c>
      <c r="AY49" s="9">
        <f t="shared" si="41"/>
        <v>-16.099999999999994</v>
      </c>
      <c r="AZ49" s="9">
        <f t="shared" si="41"/>
        <v>10.599999999999994</v>
      </c>
      <c r="BA49" s="9">
        <f t="shared" si="41"/>
        <v>-10.599999999999966</v>
      </c>
      <c r="BB49" s="10">
        <f t="shared" si="41"/>
        <v>-16.899999999999977</v>
      </c>
      <c r="BC49" s="9">
        <f t="shared" si="41"/>
        <v>-14.299999999999997</v>
      </c>
      <c r="BD49" s="9">
        <f t="shared" si="41"/>
        <v>38.4</v>
      </c>
      <c r="BE49" s="9">
        <f t="shared" si="41"/>
        <v>3.0000000000000284</v>
      </c>
      <c r="BF49" s="9">
        <f t="shared" si="41"/>
        <v>5.7999999999999829</v>
      </c>
      <c r="BG49" s="10">
        <f t="shared" si="41"/>
        <v>32.900000000000034</v>
      </c>
      <c r="BH49" s="9">
        <f t="shared" si="41"/>
        <v>-15.5</v>
      </c>
      <c r="BI49" s="9">
        <f t="shared" si="41"/>
        <v>-6.2000000000000313</v>
      </c>
      <c r="BJ49" s="9">
        <f t="shared" si="41"/>
        <v>-6.0999999999999659</v>
      </c>
      <c r="BK49" s="9">
        <f t="shared" si="41"/>
        <v>33.199999999999989</v>
      </c>
      <c r="BL49" s="10">
        <f t="shared" si="41"/>
        <v>5.3999999999999773</v>
      </c>
      <c r="BM49" s="9">
        <f t="shared" si="41"/>
        <v>-47.099999999999994</v>
      </c>
      <c r="BN49" s="9">
        <f t="shared" si="41"/>
        <v>12.600000000000023</v>
      </c>
      <c r="BO49" s="9">
        <f t="shared" si="41"/>
        <v>7.9999999999999858</v>
      </c>
      <c r="BP49" s="9">
        <f t="shared" ref="BP49:CS49" si="42">BP48+BP47+BP46+BP45+BP35+BP26</f>
        <v>7.4000000000000057</v>
      </c>
      <c r="BQ49" s="10">
        <f t="shared" si="42"/>
        <v>-19.100000000000023</v>
      </c>
      <c r="BR49" s="9">
        <f t="shared" si="42"/>
        <v>-27.600000000000016</v>
      </c>
      <c r="BS49" s="9">
        <f t="shared" si="42"/>
        <v>14.699999999999989</v>
      </c>
      <c r="BT49" s="9">
        <f t="shared" si="42"/>
        <v>6.7999999999999545</v>
      </c>
      <c r="BU49" s="9">
        <f t="shared" si="42"/>
        <v>-10.499999999999957</v>
      </c>
      <c r="BV49" s="10">
        <f t="shared" si="42"/>
        <v>-16.600000000000023</v>
      </c>
      <c r="BW49" s="9">
        <f t="shared" si="42"/>
        <v>46.800000000000033</v>
      </c>
      <c r="BX49" s="9">
        <f t="shared" si="42"/>
        <v>-36.499999999999972</v>
      </c>
      <c r="BY49" s="9">
        <f t="shared" si="42"/>
        <v>73.599999999999994</v>
      </c>
      <c r="BZ49" s="9">
        <f t="shared" si="42"/>
        <v>-59.000000000000057</v>
      </c>
      <c r="CA49" s="10">
        <f t="shared" si="42"/>
        <v>24.900000000000034</v>
      </c>
      <c r="CB49" s="9">
        <f t="shared" si="42"/>
        <v>-10.300000000000004</v>
      </c>
      <c r="CC49" s="9">
        <f t="shared" si="42"/>
        <v>-10.700000000000003</v>
      </c>
      <c r="CD49" s="9">
        <f t="shared" si="42"/>
        <v>8.0999999999999801</v>
      </c>
      <c r="CE49" s="9">
        <f t="shared" si="42"/>
        <v>-14.499999999999972</v>
      </c>
      <c r="CF49" s="10">
        <f t="shared" si="42"/>
        <v>-27.400000000000034</v>
      </c>
      <c r="CG49" s="9">
        <f t="shared" si="42"/>
        <v>11.000000000000043</v>
      </c>
      <c r="CH49" s="9">
        <f t="shared" si="42"/>
        <v>11.700000000000003</v>
      </c>
      <c r="CI49" s="9">
        <f t="shared" si="42"/>
        <v>-8.3999999999999915</v>
      </c>
      <c r="CJ49" s="9">
        <f t="shared" si="42"/>
        <v>17.399999999999977</v>
      </c>
      <c r="CK49" s="10">
        <f t="shared" si="42"/>
        <v>31.700000000000102</v>
      </c>
      <c r="CL49" s="9">
        <f t="shared" si="42"/>
        <v>264.89999999999998</v>
      </c>
      <c r="CM49" s="9">
        <f t="shared" si="42"/>
        <v>-33.799999999999997</v>
      </c>
      <c r="CN49" s="9">
        <f t="shared" si="42"/>
        <v>16.200000000000003</v>
      </c>
      <c r="CO49" s="9">
        <f t="shared" si="42"/>
        <v>86.2</v>
      </c>
      <c r="CP49" s="10">
        <f t="shared" si="42"/>
        <v>333.49999999999994</v>
      </c>
      <c r="CQ49" s="10">
        <f t="shared" si="42"/>
        <v>-144.93</v>
      </c>
      <c r="CR49" s="10">
        <f t="shared" si="42"/>
        <v>-25.225000000000023</v>
      </c>
      <c r="CS49" s="10">
        <f t="shared" si="42"/>
        <v>18.765625</v>
      </c>
    </row>
    <row r="50" spans="2:97">
      <c r="B50" s="1" t="s">
        <v>178</v>
      </c>
      <c r="C50" s="12">
        <f>'Data (2)'!C123</f>
        <v>8.2449999999999992</v>
      </c>
      <c r="D50" s="12">
        <f t="shared" ref="D50:M50" si="43">C51</f>
        <v>9.033000000000003</v>
      </c>
      <c r="E50" s="12">
        <f t="shared" si="43"/>
        <v>7.5040000000000351</v>
      </c>
      <c r="F50" s="12">
        <f t="shared" si="43"/>
        <v>0.2039999999999953</v>
      </c>
      <c r="G50" s="12">
        <f t="shared" si="43"/>
        <v>5.104000000000001</v>
      </c>
      <c r="H50" s="12">
        <f t="shared" si="43"/>
        <v>11.604000000000019</v>
      </c>
      <c r="I50" s="12">
        <f t="shared" si="43"/>
        <v>8.2040000000000273</v>
      </c>
      <c r="J50" s="1">
        <f t="shared" si="43"/>
        <v>41.704000000000057</v>
      </c>
      <c r="K50" s="1">
        <f t="shared" si="43"/>
        <v>42.104000000000056</v>
      </c>
      <c r="L50" s="1">
        <f t="shared" si="43"/>
        <v>67.004000000000048</v>
      </c>
      <c r="M50" s="1">
        <f t="shared" si="43"/>
        <v>65.604000000000056</v>
      </c>
      <c r="N50" s="12">
        <f>I51</f>
        <v>41.704000000000057</v>
      </c>
      <c r="O50" s="1">
        <f>N51</f>
        <v>57.204000000000043</v>
      </c>
      <c r="P50" s="1">
        <f>O51</f>
        <v>42.304000000000045</v>
      </c>
      <c r="Q50" s="1">
        <f>P51</f>
        <v>49.704000000000043</v>
      </c>
      <c r="R50" s="1">
        <f>Q51</f>
        <v>23.904000000000043</v>
      </c>
      <c r="S50" s="12">
        <f>N51</f>
        <v>57.204000000000043</v>
      </c>
      <c r="T50" s="1">
        <f>S51</f>
        <v>21.004000000000026</v>
      </c>
      <c r="U50" s="1">
        <f>T51</f>
        <v>23.904000000000025</v>
      </c>
      <c r="V50" s="1">
        <f>U51</f>
        <v>8.8040000000000163</v>
      </c>
      <c r="W50" s="1">
        <f>V51</f>
        <v>13.004000000000016</v>
      </c>
      <c r="X50" s="12">
        <f>S51</f>
        <v>21.004000000000026</v>
      </c>
      <c r="Y50" s="1">
        <f>X51</f>
        <v>25.704000000000015</v>
      </c>
      <c r="Z50" s="1">
        <f>Y51</f>
        <v>33.504000000000019</v>
      </c>
      <c r="AA50" s="1">
        <f>Z51</f>
        <v>36.004000000000005</v>
      </c>
      <c r="AB50" s="1">
        <f>AA51</f>
        <v>31.404000000000003</v>
      </c>
      <c r="AC50" s="12">
        <f>X51</f>
        <v>25.704000000000015</v>
      </c>
      <c r="AD50" s="1">
        <f>AC51</f>
        <v>28.104000000000021</v>
      </c>
      <c r="AE50" s="1">
        <f>AD51</f>
        <v>26.404000000000046</v>
      </c>
      <c r="AF50" s="1">
        <f>AE51</f>
        <v>19.304000000000027</v>
      </c>
      <c r="AG50" s="1">
        <f>AF51</f>
        <v>48.704000000000043</v>
      </c>
      <c r="AH50" s="12">
        <f>AC51</f>
        <v>28.104000000000021</v>
      </c>
      <c r="AI50" s="1">
        <f>AH51</f>
        <v>50.904000000000046</v>
      </c>
      <c r="AJ50" s="1">
        <f>AI51</f>
        <v>27.004000000000048</v>
      </c>
      <c r="AK50" s="1">
        <f>AJ51</f>
        <v>72.604000000000056</v>
      </c>
      <c r="AL50" s="1">
        <f>AK51</f>
        <v>94.70400000000005</v>
      </c>
      <c r="AM50" s="12">
        <f>AH51</f>
        <v>50.904000000000046</v>
      </c>
      <c r="AN50" s="1">
        <f>AM51</f>
        <v>110.10400000000004</v>
      </c>
      <c r="AO50" s="1">
        <f>AN51</f>
        <v>65.704000000000036</v>
      </c>
      <c r="AP50" s="1">
        <f>AO51</f>
        <v>84.004000000000048</v>
      </c>
      <c r="AQ50" s="1">
        <f>AP51</f>
        <v>78.504000000000048</v>
      </c>
      <c r="AR50" s="12">
        <f>AM51</f>
        <v>110.10400000000004</v>
      </c>
      <c r="AS50" s="1">
        <f>AR51</f>
        <v>117.20400000000008</v>
      </c>
      <c r="AT50" s="1">
        <f>AS51</f>
        <v>50.60400000000007</v>
      </c>
      <c r="AU50" s="1">
        <f>AT51</f>
        <v>55.904000000000067</v>
      </c>
      <c r="AV50" s="1">
        <f>AU51</f>
        <v>48.404000000000075</v>
      </c>
      <c r="AW50" s="12">
        <f>AR51</f>
        <v>117.20400000000008</v>
      </c>
      <c r="AX50" s="1">
        <f>AW51</f>
        <v>49.50400000000009</v>
      </c>
      <c r="AY50" s="1">
        <f>AX51</f>
        <v>48.704000000000065</v>
      </c>
      <c r="AZ50" s="1">
        <f>AY51</f>
        <v>32.60400000000007</v>
      </c>
      <c r="BA50" s="1">
        <f>AZ51</f>
        <v>43.204000000000065</v>
      </c>
      <c r="BB50" s="12">
        <f>AW51</f>
        <v>49.50400000000009</v>
      </c>
      <c r="BC50" s="1">
        <f>BB51</f>
        <v>32.604000000000113</v>
      </c>
      <c r="BD50" s="1">
        <f>BC51</f>
        <v>18.304000000000116</v>
      </c>
      <c r="BE50" s="1">
        <f>BD51</f>
        <v>56.704000000000114</v>
      </c>
      <c r="BF50" s="1">
        <f>BE51</f>
        <v>59.704000000000143</v>
      </c>
      <c r="BG50" s="21">
        <f>BB51</f>
        <v>32.604000000000113</v>
      </c>
      <c r="BH50" s="1">
        <f>BG51</f>
        <v>65.504000000000147</v>
      </c>
      <c r="BI50" s="1">
        <f>BH51</f>
        <v>50.004000000000147</v>
      </c>
      <c r="BJ50" s="1">
        <f>BI51</f>
        <v>43.804000000000116</v>
      </c>
      <c r="BK50" s="1">
        <f>BJ51</f>
        <v>37.70400000000015</v>
      </c>
      <c r="BL50" s="12">
        <f>BG51</f>
        <v>65.504000000000147</v>
      </c>
      <c r="BM50" s="1">
        <f>BL51</f>
        <v>70.904000000000124</v>
      </c>
      <c r="BN50" s="1">
        <f>BM51</f>
        <v>23.80400000000013</v>
      </c>
      <c r="BO50" s="1">
        <f>BN51</f>
        <v>36.404000000000153</v>
      </c>
      <c r="BP50" s="1">
        <f>BO51</f>
        <v>44.404000000000138</v>
      </c>
      <c r="BQ50" s="12">
        <f>BL51</f>
        <v>70.904000000000124</v>
      </c>
      <c r="BR50" s="1">
        <f>BQ51</f>
        <v>51.804000000000102</v>
      </c>
      <c r="BS50" s="1">
        <f>BR51</f>
        <v>24.204000000000086</v>
      </c>
      <c r="BT50" s="1">
        <f>BS51</f>
        <v>38.904000000000075</v>
      </c>
      <c r="BU50" s="1">
        <f>BT51</f>
        <v>45.704000000000029</v>
      </c>
      <c r="BV50" s="12">
        <f>BQ51</f>
        <v>51.804000000000102</v>
      </c>
      <c r="BW50" s="1">
        <f>BV51</f>
        <v>35.204000000000079</v>
      </c>
      <c r="BX50" s="1">
        <f>BW51</f>
        <v>82.004000000000104</v>
      </c>
      <c r="BY50" s="1">
        <f>BX51</f>
        <v>45.504000000000133</v>
      </c>
      <c r="BZ50" s="1">
        <f>BY51</f>
        <v>119.10400000000013</v>
      </c>
      <c r="CA50" s="12">
        <f>BV51</f>
        <v>35.204000000000079</v>
      </c>
      <c r="CB50" s="1">
        <f>CA51</f>
        <v>60.104000000000113</v>
      </c>
      <c r="CC50" s="1">
        <f>CB51</f>
        <v>49.804000000000109</v>
      </c>
      <c r="CD50" s="1">
        <f>CC51</f>
        <v>39.104000000000106</v>
      </c>
      <c r="CE50" s="1">
        <f>CD51</f>
        <v>47.204000000000086</v>
      </c>
      <c r="CF50" s="12">
        <f>CA51</f>
        <v>60.104000000000113</v>
      </c>
      <c r="CG50" s="1">
        <f>CF51</f>
        <v>32.704000000000079</v>
      </c>
      <c r="CH50" s="1">
        <f>CG51</f>
        <v>43.704000000000121</v>
      </c>
      <c r="CI50" s="1">
        <f>CH51</f>
        <v>55.404000000000124</v>
      </c>
      <c r="CJ50" s="1">
        <f>CI51</f>
        <v>47.004000000000133</v>
      </c>
      <c r="CK50" s="12">
        <f>CF51</f>
        <v>32.704000000000079</v>
      </c>
      <c r="CL50" s="1">
        <f>CK51</f>
        <v>64.404000000000181</v>
      </c>
      <c r="CM50" s="1">
        <f>CL51</f>
        <v>329.30400000000014</v>
      </c>
      <c r="CN50" s="1">
        <f>CM51</f>
        <v>295.50400000000013</v>
      </c>
      <c r="CO50" s="1">
        <f>CN51</f>
        <v>311.70400000000012</v>
      </c>
      <c r="CP50" s="12">
        <f>CK51</f>
        <v>64.404000000000181</v>
      </c>
      <c r="CQ50" s="12">
        <f>CP51</f>
        <v>397.90400000000011</v>
      </c>
      <c r="CR50" s="12">
        <f>CQ51</f>
        <v>252.9740000000001</v>
      </c>
      <c r="CS50" s="12">
        <f>CR51</f>
        <v>227.74900000000008</v>
      </c>
    </row>
    <row r="51" spans="2:97">
      <c r="B51" s="1" t="s">
        <v>179</v>
      </c>
      <c r="C51" s="12">
        <f>'Data (2)'!C124</f>
        <v>9.033000000000003</v>
      </c>
      <c r="D51" s="12">
        <f t="shared" ref="D51:AI51" si="44">D50+D49</f>
        <v>7.5040000000000351</v>
      </c>
      <c r="E51" s="12">
        <f t="shared" si="44"/>
        <v>0.2039999999999953</v>
      </c>
      <c r="F51" s="12">
        <f t="shared" si="44"/>
        <v>5.104000000000001</v>
      </c>
      <c r="G51" s="12">
        <f t="shared" si="44"/>
        <v>11.604000000000019</v>
      </c>
      <c r="H51" s="12">
        <f t="shared" si="44"/>
        <v>8.2040000000000273</v>
      </c>
      <c r="I51" s="12">
        <f t="shared" si="44"/>
        <v>41.704000000000057</v>
      </c>
      <c r="J51" s="1">
        <f t="shared" si="44"/>
        <v>42.104000000000056</v>
      </c>
      <c r="K51" s="1">
        <f t="shared" si="44"/>
        <v>67.004000000000048</v>
      </c>
      <c r="L51" s="1">
        <f t="shared" si="44"/>
        <v>65.604000000000056</v>
      </c>
      <c r="M51" s="1">
        <f t="shared" si="44"/>
        <v>57.20400000000005</v>
      </c>
      <c r="N51" s="12">
        <f t="shared" si="44"/>
        <v>57.204000000000043</v>
      </c>
      <c r="O51" s="1">
        <f t="shared" si="44"/>
        <v>42.304000000000045</v>
      </c>
      <c r="P51" s="1">
        <f t="shared" si="44"/>
        <v>49.704000000000043</v>
      </c>
      <c r="Q51" s="1">
        <f t="shared" si="44"/>
        <v>23.904000000000043</v>
      </c>
      <c r="R51" s="1">
        <f t="shared" si="44"/>
        <v>21.00400000000003</v>
      </c>
      <c r="S51" s="12">
        <f t="shared" si="44"/>
        <v>21.004000000000026</v>
      </c>
      <c r="T51" s="1">
        <f t="shared" si="44"/>
        <v>23.904000000000025</v>
      </c>
      <c r="U51" s="1">
        <f t="shared" si="44"/>
        <v>8.8040000000000163</v>
      </c>
      <c r="V51" s="1">
        <f t="shared" si="44"/>
        <v>13.004000000000016</v>
      </c>
      <c r="W51" s="1">
        <f t="shared" si="44"/>
        <v>25.704000000000025</v>
      </c>
      <c r="X51" s="12">
        <f t="shared" si="44"/>
        <v>25.704000000000015</v>
      </c>
      <c r="Y51" s="1">
        <f t="shared" si="44"/>
        <v>33.504000000000019</v>
      </c>
      <c r="Z51" s="1">
        <f t="shared" si="44"/>
        <v>36.004000000000005</v>
      </c>
      <c r="AA51" s="1">
        <f t="shared" si="44"/>
        <v>31.404000000000003</v>
      </c>
      <c r="AB51" s="1">
        <f t="shared" si="44"/>
        <v>28.104000000000013</v>
      </c>
      <c r="AC51" s="12">
        <f t="shared" si="44"/>
        <v>28.104000000000021</v>
      </c>
      <c r="AD51" s="1">
        <f t="shared" si="44"/>
        <v>26.404000000000046</v>
      </c>
      <c r="AE51" s="1">
        <f t="shared" si="44"/>
        <v>19.304000000000027</v>
      </c>
      <c r="AF51" s="1">
        <f t="shared" si="44"/>
        <v>48.704000000000043</v>
      </c>
      <c r="AG51" s="1">
        <f t="shared" si="44"/>
        <v>50.904000000000032</v>
      </c>
      <c r="AH51" s="12">
        <f t="shared" si="44"/>
        <v>50.904000000000046</v>
      </c>
      <c r="AI51" s="1">
        <f t="shared" si="44"/>
        <v>27.004000000000048</v>
      </c>
      <c r="AJ51" s="1">
        <f t="shared" ref="AJ51:BO51" si="45">AJ50+AJ49</f>
        <v>72.604000000000056</v>
      </c>
      <c r="AK51" s="1">
        <f t="shared" si="45"/>
        <v>94.70400000000005</v>
      </c>
      <c r="AL51" s="1">
        <f t="shared" si="45"/>
        <v>110.10400000000003</v>
      </c>
      <c r="AM51" s="12">
        <f t="shared" si="45"/>
        <v>110.10400000000004</v>
      </c>
      <c r="AN51" s="1">
        <f t="shared" si="45"/>
        <v>65.704000000000036</v>
      </c>
      <c r="AO51" s="1">
        <f t="shared" si="45"/>
        <v>84.004000000000048</v>
      </c>
      <c r="AP51" s="1">
        <f t="shared" si="45"/>
        <v>78.504000000000048</v>
      </c>
      <c r="AQ51" s="1">
        <f t="shared" si="45"/>
        <v>117.20400000000006</v>
      </c>
      <c r="AR51" s="12">
        <f t="shared" si="45"/>
        <v>117.20400000000008</v>
      </c>
      <c r="AS51" s="1">
        <f t="shared" si="45"/>
        <v>50.60400000000007</v>
      </c>
      <c r="AT51" s="1">
        <f t="shared" si="45"/>
        <v>55.904000000000067</v>
      </c>
      <c r="AU51" s="1">
        <f t="shared" si="45"/>
        <v>48.404000000000075</v>
      </c>
      <c r="AV51" s="1">
        <f t="shared" si="45"/>
        <v>49.504000000000083</v>
      </c>
      <c r="AW51" s="12">
        <f t="shared" si="45"/>
        <v>49.50400000000009</v>
      </c>
      <c r="AX51" s="1">
        <f t="shared" si="45"/>
        <v>48.704000000000065</v>
      </c>
      <c r="AY51" s="1">
        <f t="shared" si="45"/>
        <v>32.60400000000007</v>
      </c>
      <c r="AZ51" s="1">
        <f t="shared" si="45"/>
        <v>43.204000000000065</v>
      </c>
      <c r="BA51" s="1">
        <f t="shared" si="45"/>
        <v>32.604000000000099</v>
      </c>
      <c r="BB51" s="12">
        <f t="shared" si="45"/>
        <v>32.604000000000113</v>
      </c>
      <c r="BC51" s="1">
        <f t="shared" si="45"/>
        <v>18.304000000000116</v>
      </c>
      <c r="BD51" s="1">
        <f t="shared" si="45"/>
        <v>56.704000000000114</v>
      </c>
      <c r="BE51" s="1">
        <f t="shared" si="45"/>
        <v>59.704000000000143</v>
      </c>
      <c r="BF51" s="1">
        <f t="shared" si="45"/>
        <v>65.504000000000133</v>
      </c>
      <c r="BG51" s="21">
        <f t="shared" si="45"/>
        <v>65.504000000000147</v>
      </c>
      <c r="BH51" s="1">
        <f t="shared" si="45"/>
        <v>50.004000000000147</v>
      </c>
      <c r="BI51" s="1">
        <f t="shared" si="45"/>
        <v>43.804000000000116</v>
      </c>
      <c r="BJ51" s="1">
        <f t="shared" si="45"/>
        <v>37.70400000000015</v>
      </c>
      <c r="BK51" s="1">
        <f t="shared" si="45"/>
        <v>70.904000000000138</v>
      </c>
      <c r="BL51" s="12">
        <f t="shared" si="45"/>
        <v>70.904000000000124</v>
      </c>
      <c r="BM51" s="1">
        <f t="shared" si="45"/>
        <v>23.80400000000013</v>
      </c>
      <c r="BN51" s="1">
        <f t="shared" si="45"/>
        <v>36.404000000000153</v>
      </c>
      <c r="BO51" s="1">
        <f t="shared" si="45"/>
        <v>44.404000000000138</v>
      </c>
      <c r="BP51" s="1">
        <f t="shared" ref="BP51:CS51" si="46">BP50+BP49</f>
        <v>51.804000000000144</v>
      </c>
      <c r="BQ51" s="12">
        <f t="shared" si="46"/>
        <v>51.804000000000102</v>
      </c>
      <c r="BR51" s="1">
        <f t="shared" si="46"/>
        <v>24.204000000000086</v>
      </c>
      <c r="BS51" s="1">
        <f t="shared" si="46"/>
        <v>38.904000000000075</v>
      </c>
      <c r="BT51" s="1">
        <f t="shared" si="46"/>
        <v>45.704000000000029</v>
      </c>
      <c r="BU51" s="1">
        <f t="shared" si="46"/>
        <v>35.204000000000072</v>
      </c>
      <c r="BV51" s="12">
        <f t="shared" si="46"/>
        <v>35.204000000000079</v>
      </c>
      <c r="BW51" s="1">
        <f t="shared" si="46"/>
        <v>82.004000000000104</v>
      </c>
      <c r="BX51" s="1">
        <f t="shared" si="46"/>
        <v>45.504000000000133</v>
      </c>
      <c r="BY51" s="1">
        <f t="shared" si="46"/>
        <v>119.10400000000013</v>
      </c>
      <c r="BZ51" s="1">
        <f t="shared" si="46"/>
        <v>60.10400000000007</v>
      </c>
      <c r="CA51" s="12">
        <f t="shared" si="46"/>
        <v>60.104000000000113</v>
      </c>
      <c r="CB51" s="1">
        <f t="shared" si="46"/>
        <v>49.804000000000109</v>
      </c>
      <c r="CC51" s="1">
        <f t="shared" si="46"/>
        <v>39.104000000000106</v>
      </c>
      <c r="CD51" s="1">
        <f t="shared" si="46"/>
        <v>47.204000000000086</v>
      </c>
      <c r="CE51" s="1">
        <f t="shared" si="46"/>
        <v>32.704000000000114</v>
      </c>
      <c r="CF51" s="12">
        <f t="shared" si="46"/>
        <v>32.704000000000079</v>
      </c>
      <c r="CG51" s="1">
        <f t="shared" si="46"/>
        <v>43.704000000000121</v>
      </c>
      <c r="CH51" s="1">
        <f t="shared" si="46"/>
        <v>55.404000000000124</v>
      </c>
      <c r="CI51" s="1">
        <f t="shared" si="46"/>
        <v>47.004000000000133</v>
      </c>
      <c r="CJ51" s="1">
        <f t="shared" si="46"/>
        <v>64.40400000000011</v>
      </c>
      <c r="CK51" s="12">
        <f t="shared" si="46"/>
        <v>64.404000000000181</v>
      </c>
      <c r="CL51" s="1">
        <f t="shared" si="46"/>
        <v>329.30400000000014</v>
      </c>
      <c r="CM51" s="1">
        <f t="shared" si="46"/>
        <v>295.50400000000013</v>
      </c>
      <c r="CN51" s="1">
        <f t="shared" si="46"/>
        <v>311.70400000000012</v>
      </c>
      <c r="CO51" s="1">
        <f t="shared" si="46"/>
        <v>397.90400000000011</v>
      </c>
      <c r="CP51" s="12">
        <f t="shared" si="46"/>
        <v>397.90400000000011</v>
      </c>
      <c r="CQ51" s="12">
        <f t="shared" si="46"/>
        <v>252.9740000000001</v>
      </c>
      <c r="CR51" s="12">
        <f t="shared" si="46"/>
        <v>227.74900000000008</v>
      </c>
      <c r="CS51" s="12">
        <f t="shared" si="46"/>
        <v>246.51462500000008</v>
      </c>
    </row>
    <row r="52" spans="2:97" ht="14.25">
      <c r="B52" s="678" t="s">
        <v>573</v>
      </c>
      <c r="C52" s="679">
        <v>1997</v>
      </c>
      <c r="D52" s="679">
        <v>1998</v>
      </c>
      <c r="E52" s="679">
        <v>1999</v>
      </c>
      <c r="F52" s="679">
        <v>2000</v>
      </c>
      <c r="G52" s="679">
        <v>2001</v>
      </c>
      <c r="H52" s="679">
        <v>2002</v>
      </c>
      <c r="I52" s="679">
        <v>2003</v>
      </c>
      <c r="J52" s="680" t="s">
        <v>0</v>
      </c>
      <c r="K52" s="680" t="s">
        <v>1</v>
      </c>
      <c r="L52" s="680" t="s">
        <v>2</v>
      </c>
      <c r="M52" s="680" t="s">
        <v>3</v>
      </c>
      <c r="N52" s="679">
        <v>2004</v>
      </c>
      <c r="O52" s="680" t="s">
        <v>4</v>
      </c>
      <c r="P52" s="680" t="s">
        <v>5</v>
      </c>
      <c r="Q52" s="680" t="s">
        <v>6</v>
      </c>
      <c r="R52" s="680" t="s">
        <v>7</v>
      </c>
      <c r="S52" s="679">
        <v>2005</v>
      </c>
      <c r="T52" s="680" t="s">
        <v>8</v>
      </c>
      <c r="U52" s="680" t="s">
        <v>9</v>
      </c>
      <c r="V52" s="680" t="s">
        <v>10</v>
      </c>
      <c r="W52" s="680" t="s">
        <v>11</v>
      </c>
      <c r="X52" s="679">
        <v>2006</v>
      </c>
      <c r="Y52" s="680" t="s">
        <v>12</v>
      </c>
      <c r="Z52" s="680" t="s">
        <v>13</v>
      </c>
      <c r="AA52" s="680" t="s">
        <v>14</v>
      </c>
      <c r="AB52" s="680" t="s">
        <v>15</v>
      </c>
      <c r="AC52" s="679">
        <v>2007</v>
      </c>
      <c r="AD52" s="680" t="s">
        <v>16</v>
      </c>
      <c r="AE52" s="680" t="s">
        <v>17</v>
      </c>
      <c r="AF52" s="680" t="s">
        <v>18</v>
      </c>
      <c r="AG52" s="680" t="s">
        <v>19</v>
      </c>
      <c r="AH52" s="679">
        <v>2008</v>
      </c>
      <c r="AI52" s="680" t="s">
        <v>20</v>
      </c>
      <c r="AJ52" s="680" t="s">
        <v>21</v>
      </c>
      <c r="AK52" s="680" t="s">
        <v>22</v>
      </c>
      <c r="AL52" s="680" t="s">
        <v>23</v>
      </c>
      <c r="AM52" s="679">
        <v>2009</v>
      </c>
      <c r="AN52" s="680" t="s">
        <v>208</v>
      </c>
      <c r="AO52" s="680" t="s">
        <v>209</v>
      </c>
      <c r="AP52" s="680" t="s">
        <v>210</v>
      </c>
      <c r="AQ52" s="680" t="s">
        <v>211</v>
      </c>
      <c r="AR52" s="679">
        <v>2010</v>
      </c>
      <c r="AS52" s="680" t="s">
        <v>212</v>
      </c>
      <c r="AT52" s="680" t="s">
        <v>213</v>
      </c>
      <c r="AU52" s="680" t="s">
        <v>214</v>
      </c>
      <c r="AV52" s="680" t="s">
        <v>215</v>
      </c>
      <c r="AW52" s="679">
        <v>2011</v>
      </c>
      <c r="AX52" s="680" t="s">
        <v>282</v>
      </c>
      <c r="AY52" s="680" t="s">
        <v>283</v>
      </c>
      <c r="AZ52" s="680" t="s">
        <v>284</v>
      </c>
      <c r="BA52" s="680" t="s">
        <v>285</v>
      </c>
      <c r="BB52" s="679">
        <v>2012</v>
      </c>
      <c r="BC52" s="680" t="s">
        <v>308</v>
      </c>
      <c r="BD52" s="680" t="s">
        <v>309</v>
      </c>
      <c r="BE52" s="680" t="s">
        <v>310</v>
      </c>
      <c r="BF52" s="680" t="s">
        <v>311</v>
      </c>
      <c r="BG52" s="679">
        <v>2013</v>
      </c>
      <c r="BH52" s="680" t="s">
        <v>312</v>
      </c>
      <c r="BI52" s="680" t="s">
        <v>313</v>
      </c>
      <c r="BJ52" s="680" t="s">
        <v>314</v>
      </c>
      <c r="BK52" s="680" t="s">
        <v>315</v>
      </c>
      <c r="BL52" s="679">
        <v>2014</v>
      </c>
      <c r="BM52" s="680" t="s">
        <v>382</v>
      </c>
      <c r="BN52" s="680" t="s">
        <v>383</v>
      </c>
      <c r="BO52" s="680" t="s">
        <v>384</v>
      </c>
      <c r="BP52" s="680" t="s">
        <v>385</v>
      </c>
      <c r="BQ52" s="679">
        <v>2015</v>
      </c>
      <c r="BR52" s="680" t="s">
        <v>386</v>
      </c>
      <c r="BS52" s="680" t="s">
        <v>387</v>
      </c>
      <c r="BT52" s="680" t="s">
        <v>388</v>
      </c>
      <c r="BU52" s="680" t="s">
        <v>389</v>
      </c>
      <c r="BV52" s="679">
        <v>2016</v>
      </c>
      <c r="BW52" s="680" t="s">
        <v>390</v>
      </c>
      <c r="BX52" s="680" t="s">
        <v>391</v>
      </c>
      <c r="BY52" s="680" t="s">
        <v>392</v>
      </c>
      <c r="BZ52" s="680" t="s">
        <v>393</v>
      </c>
      <c r="CA52" s="679">
        <v>2017</v>
      </c>
      <c r="CB52" s="680" t="s">
        <v>445</v>
      </c>
      <c r="CC52" s="680" t="s">
        <v>446</v>
      </c>
      <c r="CD52" s="680" t="s">
        <v>447</v>
      </c>
      <c r="CE52" s="680" t="s">
        <v>448</v>
      </c>
      <c r="CF52" s="679">
        <v>2018</v>
      </c>
      <c r="CG52" s="680" t="s">
        <v>459</v>
      </c>
      <c r="CH52" s="680" t="s">
        <v>460</v>
      </c>
      <c r="CI52" s="680" t="s">
        <v>461</v>
      </c>
      <c r="CJ52" s="680" t="s">
        <v>462</v>
      </c>
      <c r="CK52" s="679">
        <v>2019</v>
      </c>
      <c r="CP52" s="12"/>
      <c r="CQ52" s="12"/>
      <c r="CR52" s="12"/>
      <c r="CS52" s="12"/>
    </row>
    <row r="53" spans="2:97" ht="14.25">
      <c r="B53" s="526" t="s">
        <v>168</v>
      </c>
      <c r="C53" s="498">
        <f t="shared" ref="C53:AH53" si="47">C26</f>
        <v>25.704000000000001</v>
      </c>
      <c r="D53" s="498">
        <f t="shared" si="47"/>
        <v>93.78</v>
      </c>
      <c r="E53" s="498">
        <f t="shared" si="47"/>
        <v>133.69999999999999</v>
      </c>
      <c r="F53" s="498">
        <f t="shared" si="47"/>
        <v>33.000000000000014</v>
      </c>
      <c r="G53" s="498">
        <f t="shared" si="47"/>
        <v>35.000000000000014</v>
      </c>
      <c r="H53" s="498">
        <f t="shared" si="47"/>
        <v>65.900000000000006</v>
      </c>
      <c r="I53" s="498">
        <f t="shared" si="47"/>
        <v>46.9</v>
      </c>
      <c r="J53" s="498">
        <f t="shared" si="47"/>
        <v>20.799999999999997</v>
      </c>
      <c r="K53" s="498">
        <f t="shared" si="47"/>
        <v>22</v>
      </c>
      <c r="L53" s="498">
        <f t="shared" si="47"/>
        <v>16.8</v>
      </c>
      <c r="M53" s="498">
        <f t="shared" si="47"/>
        <v>26.299999999999997</v>
      </c>
      <c r="N53" s="498">
        <f t="shared" si="47"/>
        <v>85.899999999999991</v>
      </c>
      <c r="O53" s="498">
        <f t="shared" si="47"/>
        <v>-10.199999999999998</v>
      </c>
      <c r="P53" s="498">
        <f t="shared" si="47"/>
        <v>37.9</v>
      </c>
      <c r="Q53" s="498">
        <f t="shared" si="47"/>
        <v>12.7</v>
      </c>
      <c r="R53" s="498">
        <f t="shared" si="47"/>
        <v>32.099999999999994</v>
      </c>
      <c r="S53" s="498">
        <f t="shared" si="47"/>
        <v>72.5</v>
      </c>
      <c r="T53" s="498">
        <f t="shared" si="47"/>
        <v>-9.6000000000000014</v>
      </c>
      <c r="U53" s="498">
        <f t="shared" si="47"/>
        <v>30.999999999999993</v>
      </c>
      <c r="V53" s="498">
        <f t="shared" si="47"/>
        <v>30.999999999999993</v>
      </c>
      <c r="W53" s="498">
        <f t="shared" si="47"/>
        <v>48.200000000000017</v>
      </c>
      <c r="X53" s="498">
        <f t="shared" si="47"/>
        <v>100.6</v>
      </c>
      <c r="Y53" s="498">
        <f t="shared" si="47"/>
        <v>-10.399999999999995</v>
      </c>
      <c r="Z53" s="498">
        <f t="shared" si="47"/>
        <v>37.399999999999991</v>
      </c>
      <c r="AA53" s="498">
        <f t="shared" si="47"/>
        <v>30.5</v>
      </c>
      <c r="AB53" s="498">
        <f t="shared" si="47"/>
        <v>48.79999999999999</v>
      </c>
      <c r="AC53" s="498">
        <f t="shared" si="47"/>
        <v>106.29999999999998</v>
      </c>
      <c r="AD53" s="498">
        <f t="shared" si="47"/>
        <v>-14.699999999999982</v>
      </c>
      <c r="AE53" s="498">
        <f t="shared" si="47"/>
        <v>9.1999999999999922</v>
      </c>
      <c r="AF53" s="498">
        <f t="shared" si="47"/>
        <v>48.900000000000006</v>
      </c>
      <c r="AG53" s="498">
        <f t="shared" si="47"/>
        <v>55.500000000000007</v>
      </c>
      <c r="AH53" s="498">
        <f t="shared" si="47"/>
        <v>98.900000000000034</v>
      </c>
      <c r="AI53" s="498">
        <f t="shared" ref="AI53:BN53" si="48">AI26</f>
        <v>3.1000000000000014</v>
      </c>
      <c r="AJ53" s="498">
        <f t="shared" si="48"/>
        <v>66.800000000000011</v>
      </c>
      <c r="AK53" s="498">
        <f t="shared" si="48"/>
        <v>70.099999999999994</v>
      </c>
      <c r="AL53" s="498">
        <f t="shared" si="48"/>
        <v>32.799999999999997</v>
      </c>
      <c r="AM53" s="498">
        <f t="shared" si="48"/>
        <v>172.8</v>
      </c>
      <c r="AN53" s="498">
        <f t="shared" si="48"/>
        <v>2.9000000000000021</v>
      </c>
      <c r="AO53" s="498">
        <f t="shared" si="48"/>
        <v>28.800000000000015</v>
      </c>
      <c r="AP53" s="498">
        <f t="shared" si="48"/>
        <v>37.099999999999987</v>
      </c>
      <c r="AQ53" s="498">
        <f t="shared" si="48"/>
        <v>57.700000000000017</v>
      </c>
      <c r="AR53" s="498">
        <f t="shared" si="48"/>
        <v>126.50000000000003</v>
      </c>
      <c r="AS53" s="498">
        <f t="shared" si="48"/>
        <v>16.899999999999991</v>
      </c>
      <c r="AT53" s="498">
        <f t="shared" si="48"/>
        <v>60.399999999999991</v>
      </c>
      <c r="AU53" s="498">
        <f t="shared" si="48"/>
        <v>33.70000000000001</v>
      </c>
      <c r="AV53" s="498">
        <f t="shared" si="48"/>
        <v>59.500000000000014</v>
      </c>
      <c r="AW53" s="498">
        <f t="shared" si="48"/>
        <v>170.5</v>
      </c>
      <c r="AX53" s="498">
        <f t="shared" si="48"/>
        <v>22.199999999999989</v>
      </c>
      <c r="AY53" s="498">
        <f t="shared" si="48"/>
        <v>51.600000000000009</v>
      </c>
      <c r="AZ53" s="498">
        <f t="shared" si="48"/>
        <v>76.7</v>
      </c>
      <c r="BA53" s="498">
        <f t="shared" si="48"/>
        <v>81.900000000000006</v>
      </c>
      <c r="BB53" s="498">
        <f t="shared" si="48"/>
        <v>232.4</v>
      </c>
      <c r="BC53" s="498">
        <f t="shared" si="48"/>
        <v>33.200000000000003</v>
      </c>
      <c r="BD53" s="498">
        <f t="shared" si="48"/>
        <v>75</v>
      </c>
      <c r="BE53" s="498">
        <f t="shared" si="48"/>
        <v>87.700000000000017</v>
      </c>
      <c r="BF53" s="498">
        <f t="shared" si="48"/>
        <v>76.999999999999986</v>
      </c>
      <c r="BG53" s="498">
        <f t="shared" si="48"/>
        <v>272.90000000000003</v>
      </c>
      <c r="BH53" s="498">
        <f t="shared" si="48"/>
        <v>33.4</v>
      </c>
      <c r="BI53" s="498">
        <f t="shared" si="48"/>
        <v>76.899999999999977</v>
      </c>
      <c r="BJ53" s="498">
        <f t="shared" si="48"/>
        <v>81.500000000000028</v>
      </c>
      <c r="BK53" s="498">
        <f t="shared" si="48"/>
        <v>126.20000000000002</v>
      </c>
      <c r="BL53" s="498">
        <f t="shared" si="48"/>
        <v>318</v>
      </c>
      <c r="BM53" s="498">
        <f t="shared" si="48"/>
        <v>-14.599999999999994</v>
      </c>
      <c r="BN53" s="498">
        <f t="shared" si="48"/>
        <v>64.80000000000004</v>
      </c>
      <c r="BO53" s="498">
        <f t="shared" ref="BO53:CS53" si="49">BO26</f>
        <v>114.1</v>
      </c>
      <c r="BP53" s="498">
        <f t="shared" si="49"/>
        <v>136.69999999999999</v>
      </c>
      <c r="BQ53" s="498">
        <f t="shared" si="49"/>
        <v>301</v>
      </c>
      <c r="BR53" s="498">
        <f t="shared" si="49"/>
        <v>10.299999999999983</v>
      </c>
      <c r="BS53" s="498">
        <f t="shared" si="49"/>
        <v>124.6</v>
      </c>
      <c r="BT53" s="498">
        <f t="shared" si="49"/>
        <v>151.89999999999998</v>
      </c>
      <c r="BU53" s="498">
        <f t="shared" si="49"/>
        <v>114.60000000000001</v>
      </c>
      <c r="BV53" s="498">
        <f t="shared" si="49"/>
        <v>401.4</v>
      </c>
      <c r="BW53" s="498">
        <f t="shared" si="49"/>
        <v>54.100000000000016</v>
      </c>
      <c r="BX53" s="498">
        <f t="shared" si="49"/>
        <v>128.30000000000001</v>
      </c>
      <c r="BY53" s="498">
        <f t="shared" si="49"/>
        <v>126.10000000000001</v>
      </c>
      <c r="BZ53" s="498">
        <f t="shared" si="49"/>
        <v>120.19999999999999</v>
      </c>
      <c r="CA53" s="498">
        <f t="shared" si="49"/>
        <v>428.70000000000005</v>
      </c>
      <c r="CB53" s="498">
        <f t="shared" si="49"/>
        <v>62.6</v>
      </c>
      <c r="CC53" s="498">
        <f t="shared" si="49"/>
        <v>94.600000000000009</v>
      </c>
      <c r="CD53" s="498">
        <f t="shared" si="49"/>
        <v>121.19999999999999</v>
      </c>
      <c r="CE53" s="498">
        <f t="shared" si="49"/>
        <v>143.00000000000003</v>
      </c>
      <c r="CF53" s="498">
        <f t="shared" si="49"/>
        <v>421.4</v>
      </c>
      <c r="CG53" s="498">
        <f t="shared" si="49"/>
        <v>45.90000000000002</v>
      </c>
      <c r="CH53" s="498">
        <f t="shared" si="49"/>
        <v>111.29999999999998</v>
      </c>
      <c r="CI53" s="498">
        <f t="shared" si="49"/>
        <v>120.10000000000001</v>
      </c>
      <c r="CJ53" s="498">
        <f t="shared" si="49"/>
        <v>213.8</v>
      </c>
      <c r="CK53" s="498">
        <f t="shared" si="49"/>
        <v>491.1</v>
      </c>
      <c r="CL53" s="2">
        <f t="shared" si="49"/>
        <v>8.6000000000000227</v>
      </c>
      <c r="CM53" s="2">
        <f t="shared" si="49"/>
        <v>-25</v>
      </c>
      <c r="CN53" s="2">
        <f t="shared" si="49"/>
        <v>50</v>
      </c>
      <c r="CO53" s="2">
        <f t="shared" si="49"/>
        <v>150</v>
      </c>
      <c r="CP53" s="2">
        <f t="shared" si="49"/>
        <v>183.60000000000002</v>
      </c>
      <c r="CQ53" s="2">
        <f t="shared" si="49"/>
        <v>300</v>
      </c>
      <c r="CR53" s="2">
        <f t="shared" si="49"/>
        <v>360</v>
      </c>
      <c r="CS53" s="2">
        <f t="shared" si="49"/>
        <v>415</v>
      </c>
    </row>
    <row r="54" spans="2:97" ht="15" thickBot="1">
      <c r="B54" s="526" t="s">
        <v>169</v>
      </c>
      <c r="C54" s="498">
        <f t="shared" ref="C54:AH54" si="50">C27</f>
        <v>-57.369</v>
      </c>
      <c r="D54" s="498">
        <f t="shared" si="50"/>
        <v>-66.53</v>
      </c>
      <c r="E54" s="498">
        <f t="shared" si="50"/>
        <v>-35.6</v>
      </c>
      <c r="F54" s="498">
        <f t="shared" si="50"/>
        <v>-39.6</v>
      </c>
      <c r="G54" s="498">
        <f t="shared" si="50"/>
        <v>-38.799999999999997</v>
      </c>
      <c r="H54" s="498">
        <f t="shared" si="50"/>
        <v>-14.9</v>
      </c>
      <c r="I54" s="498">
        <f t="shared" si="50"/>
        <v>-21.6</v>
      </c>
      <c r="J54" s="498">
        <f t="shared" si="50"/>
        <v>-4.5</v>
      </c>
      <c r="K54" s="498">
        <f t="shared" si="50"/>
        <v>-7.3000000000000007</v>
      </c>
      <c r="L54" s="498">
        <f t="shared" si="50"/>
        <v>-8.5</v>
      </c>
      <c r="M54" s="498">
        <f t="shared" si="50"/>
        <v>-17.8</v>
      </c>
      <c r="N54" s="498">
        <f t="shared" si="50"/>
        <v>-38.1</v>
      </c>
      <c r="O54" s="498">
        <f t="shared" si="50"/>
        <v>-7.5</v>
      </c>
      <c r="P54" s="498">
        <f t="shared" si="50"/>
        <v>-9.1000000000000014</v>
      </c>
      <c r="Q54" s="498">
        <f t="shared" si="50"/>
        <v>-15.799999999999997</v>
      </c>
      <c r="R54" s="498">
        <f t="shared" si="50"/>
        <v>-30.300000000000004</v>
      </c>
      <c r="S54" s="498">
        <f t="shared" si="50"/>
        <v>-62.7</v>
      </c>
      <c r="T54" s="498">
        <f t="shared" si="50"/>
        <v>-24.2</v>
      </c>
      <c r="U54" s="498">
        <f t="shared" si="50"/>
        <v>-26.400000000000002</v>
      </c>
      <c r="V54" s="498">
        <f t="shared" si="50"/>
        <v>-31.699999999999992</v>
      </c>
      <c r="W54" s="498">
        <f t="shared" si="50"/>
        <v>-37.900000000000006</v>
      </c>
      <c r="X54" s="498">
        <f t="shared" si="50"/>
        <v>-120.2</v>
      </c>
      <c r="Y54" s="498">
        <f t="shared" si="50"/>
        <v>-15.6</v>
      </c>
      <c r="Z54" s="498">
        <f t="shared" si="50"/>
        <v>-30.4</v>
      </c>
      <c r="AA54" s="498">
        <f t="shared" si="50"/>
        <v>-25.5</v>
      </c>
      <c r="AB54" s="498">
        <f t="shared" si="50"/>
        <v>-49.099999999999987</v>
      </c>
      <c r="AC54" s="498">
        <f t="shared" si="50"/>
        <v>-120.6</v>
      </c>
      <c r="AD54" s="498">
        <f t="shared" si="50"/>
        <v>-43.9</v>
      </c>
      <c r="AE54" s="498">
        <f t="shared" si="50"/>
        <v>-42.300000000000004</v>
      </c>
      <c r="AF54" s="498">
        <f t="shared" si="50"/>
        <v>-39.6</v>
      </c>
      <c r="AG54" s="498">
        <f t="shared" si="50"/>
        <v>-51.500000000000007</v>
      </c>
      <c r="AH54" s="498">
        <f t="shared" si="50"/>
        <v>-177.3</v>
      </c>
      <c r="AI54" s="498">
        <f t="shared" ref="AI54:BN54" si="51">AI27</f>
        <v>-28.1</v>
      </c>
      <c r="AJ54" s="498">
        <f t="shared" si="51"/>
        <v>-19.799999999999997</v>
      </c>
      <c r="AK54" s="498">
        <f t="shared" si="51"/>
        <v>-34.199999999999996</v>
      </c>
      <c r="AL54" s="498">
        <f t="shared" si="51"/>
        <v>-16.300000000000018</v>
      </c>
      <c r="AM54" s="498">
        <f t="shared" si="51"/>
        <v>-98.4</v>
      </c>
      <c r="AN54" s="498">
        <f t="shared" si="51"/>
        <v>-12.6</v>
      </c>
      <c r="AO54" s="498">
        <f t="shared" si="51"/>
        <v>-7.5000000000000018</v>
      </c>
      <c r="AP54" s="498">
        <f t="shared" si="51"/>
        <v>-11.099999999999996</v>
      </c>
      <c r="AQ54" s="498">
        <f t="shared" si="51"/>
        <v>-17.600000000000001</v>
      </c>
      <c r="AR54" s="498">
        <f t="shared" si="51"/>
        <v>-48.8</v>
      </c>
      <c r="AS54" s="498">
        <f t="shared" si="51"/>
        <v>-35.9</v>
      </c>
      <c r="AT54" s="498">
        <f t="shared" si="51"/>
        <v>-31.9</v>
      </c>
      <c r="AU54" s="498">
        <f t="shared" si="51"/>
        <v>-31.699999999999996</v>
      </c>
      <c r="AV54" s="498">
        <f t="shared" si="51"/>
        <v>-58.500000000000007</v>
      </c>
      <c r="AW54" s="498">
        <f t="shared" si="51"/>
        <v>-158</v>
      </c>
      <c r="AX54" s="498">
        <f t="shared" si="51"/>
        <v>-82.9</v>
      </c>
      <c r="AY54" s="498">
        <f t="shared" si="51"/>
        <v>-61.5</v>
      </c>
      <c r="AZ54" s="498">
        <f t="shared" si="51"/>
        <v>-64.5</v>
      </c>
      <c r="BA54" s="498">
        <f t="shared" si="51"/>
        <v>-54.799999999999983</v>
      </c>
      <c r="BB54" s="498">
        <f t="shared" si="51"/>
        <v>-263.7</v>
      </c>
      <c r="BC54" s="498">
        <f t="shared" si="51"/>
        <v>-48.1</v>
      </c>
      <c r="BD54" s="498">
        <f t="shared" si="51"/>
        <v>-43.9</v>
      </c>
      <c r="BE54" s="498">
        <f t="shared" si="51"/>
        <v>-41.099999999999987</v>
      </c>
      <c r="BF54" s="498">
        <f t="shared" si="51"/>
        <v>-61.800000000000004</v>
      </c>
      <c r="BG54" s="498">
        <f t="shared" si="51"/>
        <v>-194.9</v>
      </c>
      <c r="BH54" s="498">
        <f t="shared" si="51"/>
        <v>-55</v>
      </c>
      <c r="BI54" s="498">
        <f t="shared" si="51"/>
        <v>-64.2</v>
      </c>
      <c r="BJ54" s="498">
        <f t="shared" si="51"/>
        <v>-75.199999999999989</v>
      </c>
      <c r="BK54" s="498">
        <f t="shared" si="51"/>
        <v>-65.700000000000031</v>
      </c>
      <c r="BL54" s="498">
        <f t="shared" si="51"/>
        <v>-260.10000000000002</v>
      </c>
      <c r="BM54" s="498">
        <f t="shared" si="51"/>
        <v>-95</v>
      </c>
      <c r="BN54" s="498">
        <f t="shared" si="51"/>
        <v>-71.300000000000011</v>
      </c>
      <c r="BO54" s="498">
        <f t="shared" ref="BO54:CS54" si="52">BO27</f>
        <v>-83</v>
      </c>
      <c r="BP54" s="498">
        <f t="shared" si="52"/>
        <v>-56</v>
      </c>
      <c r="BQ54" s="498">
        <f t="shared" si="52"/>
        <v>-305.3</v>
      </c>
      <c r="BR54" s="498">
        <f t="shared" si="52"/>
        <v>-85.4</v>
      </c>
      <c r="BS54" s="498">
        <f t="shared" si="52"/>
        <v>-70.599999999999994</v>
      </c>
      <c r="BT54" s="498">
        <f t="shared" si="52"/>
        <v>-75.800000000000011</v>
      </c>
      <c r="BU54" s="498">
        <f t="shared" si="52"/>
        <v>-96.099999999999966</v>
      </c>
      <c r="BV54" s="498">
        <f t="shared" si="52"/>
        <v>-327.9</v>
      </c>
      <c r="BW54" s="498">
        <f t="shared" si="52"/>
        <v>-85.5</v>
      </c>
      <c r="BX54" s="498">
        <f t="shared" si="52"/>
        <v>-83.699999999999989</v>
      </c>
      <c r="BY54" s="498">
        <f t="shared" si="52"/>
        <v>-52.100000000000023</v>
      </c>
      <c r="BZ54" s="498">
        <f t="shared" si="52"/>
        <v>-56.800000000000011</v>
      </c>
      <c r="CA54" s="498">
        <f t="shared" si="52"/>
        <v>-278.10000000000002</v>
      </c>
      <c r="CB54" s="498">
        <f t="shared" si="52"/>
        <v>-59.5</v>
      </c>
      <c r="CC54" s="498">
        <f t="shared" si="52"/>
        <v>-42.400000000000006</v>
      </c>
      <c r="CD54" s="498">
        <f t="shared" si="52"/>
        <v>-48.299999999999983</v>
      </c>
      <c r="CE54" s="498">
        <f t="shared" si="52"/>
        <v>-33.900000000000006</v>
      </c>
      <c r="CF54" s="498">
        <f t="shared" si="52"/>
        <v>-184.1</v>
      </c>
      <c r="CG54" s="498">
        <f t="shared" si="52"/>
        <v>-61.1</v>
      </c>
      <c r="CH54" s="498">
        <f t="shared" si="52"/>
        <v>-38.199999999999996</v>
      </c>
      <c r="CI54" s="498">
        <f t="shared" si="52"/>
        <v>-63.4</v>
      </c>
      <c r="CJ54" s="498">
        <f t="shared" si="52"/>
        <v>-41.4</v>
      </c>
      <c r="CK54" s="498">
        <f t="shared" si="52"/>
        <v>-204.1</v>
      </c>
      <c r="CL54" s="2">
        <f t="shared" si="52"/>
        <v>-27.2</v>
      </c>
      <c r="CM54" s="2">
        <f t="shared" si="52"/>
        <v>-10</v>
      </c>
      <c r="CN54" s="2">
        <f t="shared" si="52"/>
        <v>-10</v>
      </c>
      <c r="CO54" s="2">
        <f t="shared" si="52"/>
        <v>-15</v>
      </c>
      <c r="CP54" s="2">
        <f t="shared" si="52"/>
        <v>-62.2</v>
      </c>
      <c r="CQ54" s="2">
        <f t="shared" si="52"/>
        <v>-100</v>
      </c>
      <c r="CR54" s="2">
        <f t="shared" si="52"/>
        <v>-110</v>
      </c>
      <c r="CS54" s="2">
        <f t="shared" si="52"/>
        <v>-140</v>
      </c>
    </row>
    <row r="55" spans="2:97" ht="14.25">
      <c r="B55" s="603" t="s">
        <v>170</v>
      </c>
      <c r="C55" s="603">
        <f t="shared" ref="C55:AH55" si="53">SUM(C53:C54)</f>
        <v>-31.664999999999999</v>
      </c>
      <c r="D55" s="603">
        <f t="shared" si="53"/>
        <v>27.25</v>
      </c>
      <c r="E55" s="603">
        <f t="shared" si="53"/>
        <v>98.1</v>
      </c>
      <c r="F55" s="603">
        <f t="shared" si="53"/>
        <v>-6.5999999999999872</v>
      </c>
      <c r="G55" s="603">
        <f t="shared" si="53"/>
        <v>-3.7999999999999829</v>
      </c>
      <c r="H55" s="603">
        <f t="shared" si="53"/>
        <v>51.000000000000007</v>
      </c>
      <c r="I55" s="603">
        <f t="shared" si="53"/>
        <v>25.299999999999997</v>
      </c>
      <c r="J55" s="603">
        <f t="shared" si="53"/>
        <v>16.299999999999997</v>
      </c>
      <c r="K55" s="603">
        <f t="shared" si="53"/>
        <v>14.7</v>
      </c>
      <c r="L55" s="603">
        <f t="shared" si="53"/>
        <v>8.3000000000000007</v>
      </c>
      <c r="M55" s="603">
        <f t="shared" si="53"/>
        <v>8.4999999999999964</v>
      </c>
      <c r="N55" s="603">
        <f t="shared" si="53"/>
        <v>47.79999999999999</v>
      </c>
      <c r="O55" s="603">
        <f t="shared" si="53"/>
        <v>-17.699999999999996</v>
      </c>
      <c r="P55" s="603">
        <f t="shared" si="53"/>
        <v>28.799999999999997</v>
      </c>
      <c r="Q55" s="603">
        <f t="shared" si="53"/>
        <v>-3.0999999999999979</v>
      </c>
      <c r="R55" s="603">
        <f t="shared" si="53"/>
        <v>1.7999999999999901</v>
      </c>
      <c r="S55" s="603">
        <f t="shared" si="53"/>
        <v>9.7999999999999972</v>
      </c>
      <c r="T55" s="603">
        <f t="shared" si="53"/>
        <v>-33.799999999999997</v>
      </c>
      <c r="U55" s="603">
        <f t="shared" si="53"/>
        <v>4.5999999999999908</v>
      </c>
      <c r="V55" s="603">
        <f t="shared" si="53"/>
        <v>-0.69999999999999929</v>
      </c>
      <c r="W55" s="603">
        <f t="shared" si="53"/>
        <v>10.300000000000011</v>
      </c>
      <c r="X55" s="603">
        <f t="shared" si="53"/>
        <v>-19.600000000000009</v>
      </c>
      <c r="Y55" s="603">
        <f t="shared" si="53"/>
        <v>-25.999999999999993</v>
      </c>
      <c r="Z55" s="603">
        <f t="shared" si="53"/>
        <v>6.9999999999999929</v>
      </c>
      <c r="AA55" s="603">
        <f t="shared" si="53"/>
        <v>5</v>
      </c>
      <c r="AB55" s="603">
        <f t="shared" si="53"/>
        <v>-0.29999999999999716</v>
      </c>
      <c r="AC55" s="603">
        <f t="shared" si="53"/>
        <v>-14.300000000000011</v>
      </c>
      <c r="AD55" s="603">
        <f t="shared" si="53"/>
        <v>-58.59999999999998</v>
      </c>
      <c r="AE55" s="603">
        <f t="shared" si="53"/>
        <v>-33.100000000000009</v>
      </c>
      <c r="AF55" s="603">
        <f t="shared" si="53"/>
        <v>9.3000000000000043</v>
      </c>
      <c r="AG55" s="603">
        <f t="shared" si="53"/>
        <v>4</v>
      </c>
      <c r="AH55" s="603">
        <f t="shared" si="53"/>
        <v>-78.399999999999977</v>
      </c>
      <c r="AI55" s="603">
        <f t="shared" ref="AI55:BN55" si="54">SUM(AI53:AI54)</f>
        <v>-25</v>
      </c>
      <c r="AJ55" s="603">
        <f t="shared" si="54"/>
        <v>47.000000000000014</v>
      </c>
      <c r="AK55" s="603">
        <f t="shared" si="54"/>
        <v>35.9</v>
      </c>
      <c r="AL55" s="603">
        <f t="shared" si="54"/>
        <v>16.499999999999979</v>
      </c>
      <c r="AM55" s="603">
        <f t="shared" si="54"/>
        <v>74.400000000000006</v>
      </c>
      <c r="AN55" s="603">
        <f t="shared" si="54"/>
        <v>-9.6999999999999975</v>
      </c>
      <c r="AO55" s="603">
        <f t="shared" si="54"/>
        <v>21.300000000000011</v>
      </c>
      <c r="AP55" s="603">
        <f t="shared" si="54"/>
        <v>25.999999999999993</v>
      </c>
      <c r="AQ55" s="603">
        <f t="shared" si="54"/>
        <v>40.100000000000016</v>
      </c>
      <c r="AR55" s="603">
        <f t="shared" si="54"/>
        <v>77.700000000000031</v>
      </c>
      <c r="AS55" s="603">
        <f t="shared" si="54"/>
        <v>-19.000000000000007</v>
      </c>
      <c r="AT55" s="603">
        <f t="shared" si="54"/>
        <v>28.499999999999993</v>
      </c>
      <c r="AU55" s="603">
        <f t="shared" si="54"/>
        <v>2.0000000000000142</v>
      </c>
      <c r="AV55" s="603">
        <f t="shared" si="54"/>
        <v>1.0000000000000071</v>
      </c>
      <c r="AW55" s="603">
        <f t="shared" si="54"/>
        <v>12.5</v>
      </c>
      <c r="AX55" s="603">
        <f t="shared" si="54"/>
        <v>-60.700000000000017</v>
      </c>
      <c r="AY55" s="603">
        <f t="shared" si="54"/>
        <v>-9.8999999999999915</v>
      </c>
      <c r="AZ55" s="603">
        <f t="shared" si="54"/>
        <v>12.200000000000003</v>
      </c>
      <c r="BA55" s="603">
        <f t="shared" si="54"/>
        <v>27.100000000000023</v>
      </c>
      <c r="BB55" s="729">
        <f t="shared" si="54"/>
        <v>-31.299999999999983</v>
      </c>
      <c r="BC55" s="729">
        <f t="shared" si="54"/>
        <v>-14.899999999999999</v>
      </c>
      <c r="BD55" s="729">
        <f t="shared" si="54"/>
        <v>31.1</v>
      </c>
      <c r="BE55" s="729">
        <f t="shared" si="54"/>
        <v>46.60000000000003</v>
      </c>
      <c r="BF55" s="729">
        <f t="shared" si="54"/>
        <v>15.199999999999982</v>
      </c>
      <c r="BG55" s="729">
        <f t="shared" si="54"/>
        <v>78.000000000000028</v>
      </c>
      <c r="BH55" s="729">
        <f t="shared" si="54"/>
        <v>-21.6</v>
      </c>
      <c r="BI55" s="729">
        <f t="shared" si="54"/>
        <v>12.699999999999974</v>
      </c>
      <c r="BJ55" s="729">
        <f t="shared" si="54"/>
        <v>6.3000000000000398</v>
      </c>
      <c r="BK55" s="729">
        <f t="shared" si="54"/>
        <v>60.499999999999986</v>
      </c>
      <c r="BL55" s="729">
        <f t="shared" si="54"/>
        <v>57.899999999999977</v>
      </c>
      <c r="BM55" s="729">
        <f t="shared" si="54"/>
        <v>-109.6</v>
      </c>
      <c r="BN55" s="729">
        <f t="shared" si="54"/>
        <v>-6.4999999999999716</v>
      </c>
      <c r="BO55" s="729">
        <f t="shared" ref="BO55:CS55" si="55">SUM(BO53:BO54)</f>
        <v>31.099999999999994</v>
      </c>
      <c r="BP55" s="729">
        <f t="shared" si="55"/>
        <v>80.699999999999989</v>
      </c>
      <c r="BQ55" s="729">
        <f t="shared" si="55"/>
        <v>-4.3000000000000114</v>
      </c>
      <c r="BR55" s="729">
        <f t="shared" si="55"/>
        <v>-75.100000000000023</v>
      </c>
      <c r="BS55" s="729">
        <f t="shared" si="55"/>
        <v>54</v>
      </c>
      <c r="BT55" s="729">
        <f t="shared" si="55"/>
        <v>76.099999999999966</v>
      </c>
      <c r="BU55" s="729">
        <f t="shared" si="55"/>
        <v>18.500000000000043</v>
      </c>
      <c r="BV55" s="729">
        <f t="shared" si="55"/>
        <v>73.5</v>
      </c>
      <c r="BW55" s="729">
        <f t="shared" si="55"/>
        <v>-31.399999999999984</v>
      </c>
      <c r="BX55" s="729">
        <f t="shared" si="55"/>
        <v>44.600000000000023</v>
      </c>
      <c r="BY55" s="729">
        <f t="shared" si="55"/>
        <v>73.999999999999986</v>
      </c>
      <c r="BZ55" s="729">
        <f t="shared" si="55"/>
        <v>63.399999999999977</v>
      </c>
      <c r="CA55" s="729">
        <f t="shared" si="55"/>
        <v>150.60000000000002</v>
      </c>
      <c r="CB55" s="729">
        <f t="shared" si="55"/>
        <v>3.1000000000000014</v>
      </c>
      <c r="CC55" s="729">
        <f t="shared" si="55"/>
        <v>52.2</v>
      </c>
      <c r="CD55" s="729">
        <f t="shared" si="55"/>
        <v>72.900000000000006</v>
      </c>
      <c r="CE55" s="729">
        <f t="shared" si="55"/>
        <v>109.10000000000002</v>
      </c>
      <c r="CF55" s="729">
        <f t="shared" si="55"/>
        <v>237.29999999999998</v>
      </c>
      <c r="CG55" s="729">
        <f t="shared" si="55"/>
        <v>-15.199999999999982</v>
      </c>
      <c r="CH55" s="729">
        <f t="shared" si="55"/>
        <v>73.099999999999994</v>
      </c>
      <c r="CI55" s="729">
        <f t="shared" si="55"/>
        <v>56.70000000000001</v>
      </c>
      <c r="CJ55" s="729">
        <f t="shared" si="55"/>
        <v>172.4</v>
      </c>
      <c r="CK55" s="729">
        <f t="shared" si="55"/>
        <v>287</v>
      </c>
      <c r="CL55" s="601">
        <f t="shared" si="55"/>
        <v>-18.599999999999977</v>
      </c>
      <c r="CM55" s="601">
        <f t="shared" si="55"/>
        <v>-35</v>
      </c>
      <c r="CN55" s="601">
        <f t="shared" si="55"/>
        <v>40</v>
      </c>
      <c r="CO55" s="601">
        <f t="shared" si="55"/>
        <v>135</v>
      </c>
      <c r="CP55" s="601">
        <f t="shared" si="55"/>
        <v>121.40000000000002</v>
      </c>
      <c r="CQ55" s="601">
        <f t="shared" si="55"/>
        <v>200</v>
      </c>
      <c r="CR55" s="601">
        <f t="shared" si="55"/>
        <v>250</v>
      </c>
      <c r="CS55" s="601">
        <f t="shared" si="55"/>
        <v>275</v>
      </c>
    </row>
    <row r="56" spans="2:97">
      <c r="B56" s="8" t="s">
        <v>171</v>
      </c>
      <c r="C56" s="727">
        <f>C55/'IS (2)'!C20</f>
        <v>-0.43005568382452763</v>
      </c>
      <c r="D56" s="727">
        <f>D55/'IS (2)'!D20</f>
        <v>0.54025654751283581</v>
      </c>
      <c r="E56" s="727">
        <f>E55/'IS (2)'!E20</f>
        <v>-4.2103004291845494</v>
      </c>
      <c r="F56" s="727">
        <f>F55/'IS (2)'!F20</f>
        <v>-0.12177121771217672</v>
      </c>
      <c r="G56" s="727">
        <f>G55/'IS (2)'!G20</f>
        <v>8.7618169241410714E-3</v>
      </c>
      <c r="H56" s="727">
        <f>H55/'IS (2)'!H20</f>
        <v>-3.7499999999999862</v>
      </c>
      <c r="I56" s="727">
        <f>I55/'IS (2)'!I20</f>
        <v>-1.2222222222222219</v>
      </c>
      <c r="J56" s="727">
        <f>J55/'IS (2)'!J20</f>
        <v>3.2599999999999834</v>
      </c>
      <c r="K56" s="727">
        <f>K55/'IS (2)'!K20</f>
        <v>2.5789473684210535</v>
      </c>
      <c r="L56" s="727">
        <f>L55/'IS (2)'!L20</f>
        <v>7.5454545454543167</v>
      </c>
      <c r="M56" s="727">
        <f>M55/'IS (2)'!M20</f>
        <v>-1.0119047619047501</v>
      </c>
      <c r="N56" s="727">
        <f>N55/'IS (2)'!N20</f>
        <v>14.058823529411923</v>
      </c>
      <c r="O56" s="727">
        <f>O55/'IS (2)'!O20</f>
        <v>0.71659919028340091</v>
      </c>
      <c r="P56" s="727">
        <f>P55/'IS (2)'!P20</f>
        <v>1.2050209205020912</v>
      </c>
      <c r="Q56" s="727">
        <f>Q55/'IS (2)'!Q20</f>
        <v>0.28971962616822505</v>
      </c>
      <c r="R56" s="727">
        <f>R55/'IS (2)'!R20</f>
        <v>1.4950166112956732E-2</v>
      </c>
      <c r="S56" s="727">
        <f>S55/'IS (2)'!S20</f>
        <v>8.9990817263544479E-2</v>
      </c>
      <c r="T56" s="727">
        <f>T55/'IS (2)'!T20</f>
        <v>-2.3310344827586222</v>
      </c>
      <c r="U56" s="727">
        <f>U55/'IS (2)'!U20</f>
        <v>0.26136363636363596</v>
      </c>
      <c r="V56" s="727">
        <f>V55/'IS (2)'!V20</f>
        <v>-4.4585987261146376E-2</v>
      </c>
      <c r="W56" s="727">
        <f>W55/'IS (2)'!W20</f>
        <v>0.56906077348066408</v>
      </c>
      <c r="X56" s="727">
        <f>X55/'IS (2)'!X20</f>
        <v>-0.2974203338391504</v>
      </c>
      <c r="Y56" s="727">
        <f>Y55/'IS (2)'!Y20</f>
        <v>-1.1063829787234025</v>
      </c>
      <c r="Z56" s="727">
        <f>Z55/'IS (2)'!Z20</f>
        <v>0.79545454545454397</v>
      </c>
      <c r="AA56" s="727">
        <f>AA55/'IS (2)'!AA20</f>
        <v>0.28901734104046195</v>
      </c>
      <c r="AB56" s="727">
        <f>AB55/'IS (2)'!AB20</f>
        <v>-3.4482758620689967E-2</v>
      </c>
      <c r="AC56" s="727">
        <f>AC55/'IS (2)'!AC20</f>
        <v>-0.24528301886792511</v>
      </c>
      <c r="AD56" s="727">
        <f>AD55/'IS (2)'!AD20</f>
        <v>-2.5258620689655138</v>
      </c>
      <c r="AE56" s="727">
        <f>AE55/'IS (2)'!AE20</f>
        <v>-1.2397003745318342</v>
      </c>
      <c r="AF56" s="727">
        <f>AF55/'IS (2)'!AF20</f>
        <v>0.2818181818181823</v>
      </c>
      <c r="AG56" s="727">
        <f>AG55/'IS (2)'!AG20</f>
        <v>0.14134275618374628</v>
      </c>
      <c r="AH56" s="727">
        <f>AH55/'IS (2)'!AH20</f>
        <v>-0.70503597122302231</v>
      </c>
      <c r="AI56" s="727">
        <f>AI55/'IS (2)'!AI20</f>
        <v>-1.0683760683760679</v>
      </c>
      <c r="AJ56" s="727">
        <f>AJ55/'IS (2)'!AJ20</f>
        <v>2.7976190476190435</v>
      </c>
      <c r="AK56" s="727">
        <f>AK55/'IS (2)'!AK20</f>
        <v>3.4519230769230709</v>
      </c>
      <c r="AL56" s="727">
        <f>AL55/'IS (2)'!AL20</f>
        <v>2.8947368421052544</v>
      </c>
      <c r="AM56" s="727">
        <f>AM55/'IS (2)'!AM20</f>
        <v>1.3214920071047942</v>
      </c>
      <c r="AN56" s="727">
        <f>AN55/'IS (2)'!AN20</f>
        <v>-0.61392405063291144</v>
      </c>
      <c r="AO56" s="727">
        <f>AO55/'IS (2)'!AO20</f>
        <v>0.9220779220779215</v>
      </c>
      <c r="AP56" s="727">
        <f>AP55/'IS (2)'!AP20</f>
        <v>1.6666666666666665</v>
      </c>
      <c r="AQ56" s="727">
        <f>AQ55/'IS (2)'!AQ20</f>
        <v>1.7510917030567759</v>
      </c>
      <c r="AR56" s="727">
        <f>AR55/'IS (2)'!AR20</f>
        <v>1.0038759689922494</v>
      </c>
      <c r="AS56" s="727">
        <f>AS55/'IS (2)'!AS20</f>
        <v>-0.71969696969696917</v>
      </c>
      <c r="AT56" s="727">
        <f>AT55/'IS (2)'!AT20</f>
        <v>0.76203208556149704</v>
      </c>
      <c r="AU56" s="727">
        <f>AU55/'IS (2)'!AU20</f>
        <v>6.2111801242236475E-2</v>
      </c>
      <c r="AV56" s="727">
        <f>AV55/'IS (2)'!AV20</f>
        <v>2.5316455696202698E-2</v>
      </c>
      <c r="AW56" s="727">
        <f>AW55/'IS (2)'!AW20</f>
        <v>9.225092250922505E-2</v>
      </c>
      <c r="AX56" s="727">
        <f>AX55/'IS (2)'!AX20</f>
        <v>-1.5328282828282818</v>
      </c>
      <c r="AY56" s="727">
        <f>AY55/'IS (2)'!AY20</f>
        <v>-0.20624999999999979</v>
      </c>
      <c r="AZ56" s="727">
        <f>AZ55/'IS (2)'!AZ20</f>
        <v>0.30653266331658263</v>
      </c>
      <c r="BA56" s="727">
        <f>BA55/'IS (2)'!BA20</f>
        <v>0.73441734417344184</v>
      </c>
      <c r="BB56" s="727">
        <f>BB55/'IS (2)'!BB20</f>
        <v>-0.19050517346317686</v>
      </c>
      <c r="BC56" s="727">
        <f>BC55/'IS (2)'!BC20</f>
        <v>-0.341743119266055</v>
      </c>
      <c r="BD56" s="727">
        <f>BD55/'IS (2)'!BD20</f>
        <v>0.64123711340206158</v>
      </c>
      <c r="BE56" s="727">
        <f>BE55/'IS (2)'!BE20</f>
        <v>0.95687885010266993</v>
      </c>
      <c r="BF56" s="727">
        <f>BF55/'IS (2)'!BF20</f>
        <v>0.32271762208067883</v>
      </c>
      <c r="BG56" s="727">
        <f>BG55/'IS (2)'!BG20</f>
        <v>0.41511442256519432</v>
      </c>
      <c r="BH56" s="727">
        <f>BH55/'IS (2)'!BH20</f>
        <v>-0.43113772455089822</v>
      </c>
      <c r="BI56" s="727">
        <f>BI55/'IS (2)'!BI20</f>
        <v>0.2509881422924895</v>
      </c>
      <c r="BJ56" s="727">
        <f>BJ55/'IS (2)'!BJ20</f>
        <v>0.11290322580645232</v>
      </c>
      <c r="BK56" s="727">
        <f>BK55/'IS (2)'!BK20</f>
        <v>1.1436672967863888</v>
      </c>
      <c r="BL56" s="727">
        <f>BL55/'IS (2)'!BL20</f>
        <v>0.27650429799426918</v>
      </c>
      <c r="BM56" s="727">
        <f>BM55/'IS (2)'!BM20</f>
        <v>-1.6093979441997064</v>
      </c>
      <c r="BN56" s="727">
        <f>BN55/'IS (2)'!BN20</f>
        <v>-0.10534846029173379</v>
      </c>
      <c r="BO56" s="727">
        <f>BO55/'IS (2)'!BO20</f>
        <v>0.5813084112149528</v>
      </c>
      <c r="BP56" s="727">
        <f>BP55/'IS (2)'!BP20</f>
        <v>1.4972170686456412</v>
      </c>
      <c r="BQ56" s="727">
        <f>BQ55/'IS (2)'!BQ20</f>
        <v>-1.8128161888701571E-2</v>
      </c>
      <c r="BR56" s="727">
        <f>BR55/'IS (2)'!BR20</f>
        <v>-1.3410714285714291</v>
      </c>
      <c r="BS56" s="727">
        <f>BS55/'IS (2)'!BS20</f>
        <v>0.81694402420574874</v>
      </c>
      <c r="BT56" s="727">
        <f>BT55/'IS (2)'!BT20</f>
        <v>1.1158357771260992</v>
      </c>
      <c r="BU56" s="727">
        <f>BU55/'IS (2)'!BU20</f>
        <v>0.31092436974789966</v>
      </c>
      <c r="BV56" s="727">
        <f>BV55/'IS (2)'!BV20</f>
        <v>0.29423538831064849</v>
      </c>
      <c r="BW56" s="727">
        <f>BW55/'IS (2)'!BW20</f>
        <v>-0.48606811145510792</v>
      </c>
      <c r="BX56" s="727">
        <f>BX55/'IS (2)'!BX20</f>
        <v>0.72402597402597391</v>
      </c>
      <c r="BY56" s="727">
        <f>BY55/'IS (2)'!BY20</f>
        <v>1.0616929698708746</v>
      </c>
      <c r="BZ56" s="727">
        <f>BZ55/'IS (2)'!BZ20</f>
        <v>0.7196367763904653</v>
      </c>
      <c r="CA56" s="727">
        <f>CA55/'IS (2)'!CA20</f>
        <v>0.53028169014084503</v>
      </c>
      <c r="CB56" s="727">
        <f>CB55/'IS (2)'!CB20</f>
        <v>5.0324675324675334E-2</v>
      </c>
      <c r="CC56" s="727">
        <f>CC55/'IS (2)'!CC20</f>
        <v>0.75872093023255804</v>
      </c>
      <c r="CD56" s="727">
        <f>CD55/'IS (2)'!CD20</f>
        <v>0.9101123595505618</v>
      </c>
      <c r="CE56" s="727">
        <f>CE55/'IS (2)'!CE20</f>
        <v>1.6505295007564311</v>
      </c>
      <c r="CF56" s="727">
        <f>CF55/'IS (2)'!CF20</f>
        <v>0.85791757049891526</v>
      </c>
      <c r="CG56" s="727">
        <f>CG55/'IS (2)'!CG20</f>
        <v>-0.21052631578947345</v>
      </c>
      <c r="CH56" s="727">
        <f>CH55/'IS (2)'!CH20</f>
        <v>0.9035846724351051</v>
      </c>
      <c r="CI56" s="727">
        <f>CI55/'IS (2)'!CI20</f>
        <v>0.70610211706102155</v>
      </c>
      <c r="CJ56" s="727">
        <f>CJ55/'IS (2)'!CJ20</f>
        <v>2.3551912568306035</v>
      </c>
      <c r="CK56" s="727">
        <f>CK55/'IS (2)'!CK20</f>
        <v>0.93607305936073104</v>
      </c>
      <c r="CL56" s="727">
        <f>CL55/'IS (2)'!CL20</f>
        <v>-0.43867924528301855</v>
      </c>
      <c r="CM56" s="727">
        <f>CM55/'IS (2)'!CM20</f>
        <v>-174.89859903923204</v>
      </c>
      <c r="CN56" s="727">
        <f>CN55/'IS (2)'!CN20</f>
        <v>2.3969684108080185</v>
      </c>
      <c r="CO56" s="727">
        <f>CO55/'IS (2)'!CO20</f>
        <v>4.5053870275927563</v>
      </c>
      <c r="CP56" s="727">
        <f>CP55/'IS (2)'!CP20</f>
        <v>1.3601937405663878</v>
      </c>
      <c r="CQ56" s="727">
        <f>CQ55/'IS (2)'!CQ20</f>
        <v>1.4706942371491718</v>
      </c>
      <c r="CR56" s="727">
        <f>CR55/'IS (2)'!CR20</f>
        <v>1.4617658058958327</v>
      </c>
      <c r="CS56" s="727">
        <f>CS55/'IS (2)'!CS20</f>
        <v>1.3068004250389524</v>
      </c>
    </row>
    <row r="57" spans="2:97" outlineLevel="1">
      <c r="B57" s="8" t="s">
        <v>280</v>
      </c>
      <c r="C57" s="602" t="e">
        <f>1/#REF!*'Cash Flow'!C55</f>
        <v>#REF!</v>
      </c>
      <c r="D57" s="602" t="e">
        <f>1/#REF!*'Cash Flow'!D55</f>
        <v>#REF!</v>
      </c>
      <c r="E57" s="602" t="e">
        <f>1/#REF!*'Cash Flow'!E55</f>
        <v>#REF!</v>
      </c>
      <c r="F57" s="602" t="e">
        <f>1/#REF!*'Cash Flow'!F55</f>
        <v>#REF!</v>
      </c>
      <c r="G57" s="602" t="e">
        <f>1/#REF!*'Cash Flow'!G55</f>
        <v>#REF!</v>
      </c>
      <c r="H57" s="602" t="e">
        <f>1/#REF!*'Cash Flow'!H55</f>
        <v>#REF!</v>
      </c>
      <c r="I57" s="602" t="e">
        <f>1/#REF!*'Cash Flow'!I55</f>
        <v>#REF!</v>
      </c>
      <c r="J57" s="602" t="e">
        <f>1/#REF!*'Cash Flow'!J55</f>
        <v>#REF!</v>
      </c>
      <c r="K57" s="602" t="e">
        <f>1/#REF!*'Cash Flow'!K55</f>
        <v>#REF!</v>
      </c>
      <c r="L57" s="602" t="e">
        <f>1/#REF!*'Cash Flow'!L55</f>
        <v>#REF!</v>
      </c>
      <c r="M57" s="602" t="e">
        <f>1/#REF!*'Cash Flow'!M55</f>
        <v>#REF!</v>
      </c>
      <c r="N57" s="602" t="e">
        <f>1/#REF!*'Cash Flow'!N55</f>
        <v>#REF!</v>
      </c>
      <c r="O57" s="602" t="e">
        <f>1/#REF!*'Cash Flow'!O55</f>
        <v>#REF!</v>
      </c>
      <c r="P57" s="602" t="e">
        <f>1/#REF!*'Cash Flow'!P55</f>
        <v>#REF!</v>
      </c>
      <c r="Q57" s="602" t="e">
        <f>1/#REF!*'Cash Flow'!Q55</f>
        <v>#REF!</v>
      </c>
      <c r="R57" s="602" t="e">
        <f>1/#REF!*'Cash Flow'!R55</f>
        <v>#REF!</v>
      </c>
      <c r="S57" s="602" t="e">
        <f>1/#REF!*'Cash Flow'!S55</f>
        <v>#REF!</v>
      </c>
      <c r="T57" s="602" t="e">
        <f>1/#REF!*'Cash Flow'!T55</f>
        <v>#REF!</v>
      </c>
      <c r="U57" s="602" t="e">
        <f>1/#REF!*'Cash Flow'!U55</f>
        <v>#REF!</v>
      </c>
      <c r="V57" s="602" t="e">
        <f>1/#REF!*'Cash Flow'!V55</f>
        <v>#REF!</v>
      </c>
      <c r="W57" s="602" t="e">
        <f>1/#REF!*'Cash Flow'!W55</f>
        <v>#REF!</v>
      </c>
      <c r="X57" s="602" t="e">
        <f>1/#REF!*'Cash Flow'!X55</f>
        <v>#REF!</v>
      </c>
      <c r="Y57" s="602" t="e">
        <f>1/#REF!*'Cash Flow'!Y55</f>
        <v>#REF!</v>
      </c>
      <c r="Z57" s="602" t="e">
        <f>1/#REF!*'Cash Flow'!Z55</f>
        <v>#REF!</v>
      </c>
      <c r="AA57" s="602" t="e">
        <f>1/#REF!*'Cash Flow'!AA55</f>
        <v>#REF!</v>
      </c>
      <c r="AB57" s="602" t="e">
        <f>1/#REF!*'Cash Flow'!AB55</f>
        <v>#REF!</v>
      </c>
      <c r="AC57" s="602" t="e">
        <f>1/#REF!*'Cash Flow'!AC55</f>
        <v>#REF!</v>
      </c>
      <c r="AD57" s="602" t="e">
        <f>1/#REF!*'Cash Flow'!AD55</f>
        <v>#REF!</v>
      </c>
      <c r="AE57" s="602" t="e">
        <f>1/#REF!*'Cash Flow'!AE55</f>
        <v>#REF!</v>
      </c>
      <c r="AF57" s="602" t="e">
        <f>1/#REF!*'Cash Flow'!AF55</f>
        <v>#REF!</v>
      </c>
      <c r="AG57" s="602" t="e">
        <f>1/#REF!*'Cash Flow'!AG55</f>
        <v>#REF!</v>
      </c>
      <c r="AH57" s="602" t="e">
        <f>1/#REF!*'Cash Flow'!AH55</f>
        <v>#REF!</v>
      </c>
      <c r="AI57" s="602" t="e">
        <f>1/#REF!*'Cash Flow'!AI55</f>
        <v>#REF!</v>
      </c>
      <c r="AJ57" s="602" t="e">
        <f>1/#REF!*'Cash Flow'!AJ55</f>
        <v>#REF!</v>
      </c>
      <c r="AK57" s="602" t="e">
        <f>1/#REF!*'Cash Flow'!AK55</f>
        <v>#REF!</v>
      </c>
      <c r="AL57" s="602" t="e">
        <f>1/#REF!*'Cash Flow'!AL55</f>
        <v>#REF!</v>
      </c>
      <c r="AM57" s="602" t="e">
        <f>1/#REF!*'Cash Flow'!AM55</f>
        <v>#REF!</v>
      </c>
      <c r="AN57" s="602" t="e">
        <f>1/#REF!*'Cash Flow'!AN55</f>
        <v>#REF!</v>
      </c>
      <c r="AO57" s="602" t="e">
        <f>1/#REF!*'Cash Flow'!AO55</f>
        <v>#REF!</v>
      </c>
      <c r="AP57" s="602" t="e">
        <f>1/#REF!*'Cash Flow'!AP55</f>
        <v>#REF!</v>
      </c>
      <c r="AQ57" s="602" t="e">
        <f>1/#REF!*'Cash Flow'!AQ55</f>
        <v>#REF!</v>
      </c>
      <c r="AR57" s="602" t="e">
        <f>1/#REF!*'Cash Flow'!AR55</f>
        <v>#REF!</v>
      </c>
      <c r="AS57" s="602" t="e">
        <f>1/#REF!*'Cash Flow'!AS55</f>
        <v>#REF!</v>
      </c>
      <c r="AT57" s="602" t="e">
        <f>1/#REF!*'Cash Flow'!AT55</f>
        <v>#REF!</v>
      </c>
      <c r="AU57" s="602" t="e">
        <f>1/#REF!*'Cash Flow'!AU55</f>
        <v>#REF!</v>
      </c>
      <c r="AV57" s="602" t="e">
        <f>1/#REF!*'Cash Flow'!AV55</f>
        <v>#REF!</v>
      </c>
      <c r="AW57" s="602" t="e">
        <f>1/#REF!*'Cash Flow'!AW55</f>
        <v>#REF!</v>
      </c>
      <c r="AX57" s="602" t="e">
        <f>1/#REF!*'Cash Flow'!AX55</f>
        <v>#REF!</v>
      </c>
      <c r="AY57" s="602" t="e">
        <f>1/#REF!*'Cash Flow'!AY55</f>
        <v>#REF!</v>
      </c>
      <c r="AZ57" s="602" t="e">
        <f>1/#REF!*'Cash Flow'!AZ55</f>
        <v>#REF!</v>
      </c>
      <c r="BA57" s="602" t="e">
        <f>1/#REF!*'Cash Flow'!BA55</f>
        <v>#REF!</v>
      </c>
      <c r="BB57" s="602" t="e">
        <f>1/#REF!*'Cash Flow'!BB55</f>
        <v>#REF!</v>
      </c>
      <c r="BC57" s="602" t="e">
        <f>1/#REF!*'Cash Flow'!BC55</f>
        <v>#REF!</v>
      </c>
      <c r="BD57" s="602" t="e">
        <f>1/#REF!*'Cash Flow'!BD55</f>
        <v>#REF!</v>
      </c>
      <c r="BE57" s="602" t="e">
        <f>1/#REF!*'Cash Flow'!BE55</f>
        <v>#REF!</v>
      </c>
      <c r="BF57" s="602" t="e">
        <f>1/#REF!*'Cash Flow'!BF55</f>
        <v>#REF!</v>
      </c>
      <c r="BG57" s="602" t="e">
        <f>1/#REF!*'Cash Flow'!BG55</f>
        <v>#REF!</v>
      </c>
      <c r="BH57" s="602" t="e">
        <f>1/#REF!*'Cash Flow'!BH55</f>
        <v>#REF!</v>
      </c>
      <c r="BI57" s="602" t="e">
        <f>1/#REF!*'Cash Flow'!BI55</f>
        <v>#REF!</v>
      </c>
      <c r="BJ57" s="602" t="e">
        <f>1/#REF!*'Cash Flow'!BJ55</f>
        <v>#REF!</v>
      </c>
      <c r="BK57" s="602" t="e">
        <f>1/#REF!*'Cash Flow'!BK55</f>
        <v>#REF!</v>
      </c>
      <c r="BL57" s="602" t="e">
        <f>1/#REF!*'Cash Flow'!BL55</f>
        <v>#REF!</v>
      </c>
      <c r="BM57" s="602" t="e">
        <f>1/#REF!*'Cash Flow'!BM55</f>
        <v>#REF!</v>
      </c>
      <c r="BN57" s="602" t="e">
        <f>1/#REF!*'Cash Flow'!BN55</f>
        <v>#REF!</v>
      </c>
      <c r="BO57" s="602" t="e">
        <f>1/#REF!*'Cash Flow'!BO55</f>
        <v>#REF!</v>
      </c>
      <c r="BP57" s="602" t="e">
        <f>1/#REF!*'Cash Flow'!BP55</f>
        <v>#REF!</v>
      </c>
      <c r="BQ57" s="602" t="e">
        <f>1/#REF!*'Cash Flow'!BQ55</f>
        <v>#REF!</v>
      </c>
      <c r="BR57" s="602" t="e">
        <f>1/#REF!*'Cash Flow'!BR55</f>
        <v>#REF!</v>
      </c>
      <c r="BS57" s="602" t="e">
        <f>1/#REF!*'Cash Flow'!BS55</f>
        <v>#REF!</v>
      </c>
      <c r="BT57" s="602" t="e">
        <f>1/#REF!*'Cash Flow'!BT55</f>
        <v>#REF!</v>
      </c>
      <c r="BU57" s="602" t="e">
        <f>1/#REF!*'Cash Flow'!BU55</f>
        <v>#REF!</v>
      </c>
      <c r="BV57" s="602" t="e">
        <f>1/#REF!*'Cash Flow'!BV55</f>
        <v>#REF!</v>
      </c>
      <c r="BW57" s="602" t="e">
        <f>1/#REF!*'Cash Flow'!BW55</f>
        <v>#REF!</v>
      </c>
      <c r="BX57" s="602" t="e">
        <f>1/#REF!*'Cash Flow'!BX55</f>
        <v>#REF!</v>
      </c>
      <c r="BY57" s="602" t="e">
        <f>1/#REF!*'Cash Flow'!BY55</f>
        <v>#REF!</v>
      </c>
      <c r="BZ57" s="602" t="e">
        <f>1/#REF!*'Cash Flow'!BZ55</f>
        <v>#REF!</v>
      </c>
      <c r="CA57" s="602" t="e">
        <f>1/#REF!*'Cash Flow'!CA55</f>
        <v>#REF!</v>
      </c>
      <c r="CB57" s="602" t="e">
        <f>1/#REF!*'Cash Flow'!CB55</f>
        <v>#REF!</v>
      </c>
      <c r="CC57" s="602" t="e">
        <f>1/#REF!*'Cash Flow'!CC55</f>
        <v>#REF!</v>
      </c>
      <c r="CD57" s="602" t="e">
        <f>1/#REF!*'Cash Flow'!CD55</f>
        <v>#REF!</v>
      </c>
      <c r="CE57" s="602" t="e">
        <f>1/#REF!*'Cash Flow'!CE55</f>
        <v>#REF!</v>
      </c>
      <c r="CF57" s="602" t="e">
        <f>1/#REF!*'Cash Flow'!CF55</f>
        <v>#REF!</v>
      </c>
      <c r="CG57" s="602" t="e">
        <f>1/#REF!*'Cash Flow'!CG55</f>
        <v>#REF!</v>
      </c>
      <c r="CH57" s="602" t="e">
        <f>1/#REF!*'Cash Flow'!CH55</f>
        <v>#REF!</v>
      </c>
      <c r="CI57" s="602" t="e">
        <f>1/#REF!*'Cash Flow'!CI55</f>
        <v>#REF!</v>
      </c>
      <c r="CJ57" s="602" t="e">
        <f>1/#REF!*'Cash Flow'!CJ55</f>
        <v>#REF!</v>
      </c>
      <c r="CK57" s="602" t="e">
        <f>1/#REF!*'Cash Flow'!CK55</f>
        <v>#REF!</v>
      </c>
      <c r="CL57" s="602" t="e">
        <f>1/#REF!*'Cash Flow'!CL55</f>
        <v>#REF!</v>
      </c>
      <c r="CM57" s="602" t="e">
        <f>1/#REF!*'Cash Flow'!CM55</f>
        <v>#REF!</v>
      </c>
      <c r="CN57" s="602" t="e">
        <f>1/#REF!*'Cash Flow'!CN55</f>
        <v>#REF!</v>
      </c>
      <c r="CO57" s="602" t="e">
        <f>1/#REF!*'Cash Flow'!CO55</f>
        <v>#REF!</v>
      </c>
      <c r="CP57" s="602" t="e">
        <f>1/#REF!*'Cash Flow'!CP55</f>
        <v>#REF!</v>
      </c>
      <c r="CQ57" s="602" t="e">
        <f>1/#REF!*'Cash Flow'!CQ55</f>
        <v>#REF!</v>
      </c>
      <c r="CR57" s="602" t="e">
        <f>1/#REF!*'Cash Flow'!CR55</f>
        <v>#REF!</v>
      </c>
      <c r="CS57" s="602" t="e">
        <f>1/#REF!*'Cash Flow'!CS55</f>
        <v>#REF!</v>
      </c>
    </row>
    <row r="58" spans="2:97" ht="6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</row>
    <row r="59" spans="2:9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728">
        <f>BB55/'IS (2)'!BB48</f>
        <v>-0.10228758169934631</v>
      </c>
      <c r="BC59" s="728">
        <f>BC55/'IS (2)'!BC48</f>
        <v>-0.1927554980595084</v>
      </c>
      <c r="BD59" s="728">
        <f>BD55/'IS (2)'!BD48</f>
        <v>0.36289381563593925</v>
      </c>
      <c r="BE59" s="728">
        <f>BE55/'IS (2)'!BE48</f>
        <v>0.55675029868578285</v>
      </c>
      <c r="BF59" s="728">
        <f>BF55/'IS (2)'!BF48</f>
        <v>0.18203592814371233</v>
      </c>
      <c r="BG59" s="728">
        <f>BG55/'IS (2)'!BG48</f>
        <v>0.23622047244094493</v>
      </c>
      <c r="BH59" s="728">
        <f>BH55/'IS (2)'!BH48</f>
        <v>-0.23555070883315163</v>
      </c>
      <c r="BI59" s="728">
        <f>BI55/'IS (2)'!BI48</f>
        <v>0.13685344827586177</v>
      </c>
      <c r="BJ59" s="728">
        <f>BJ55/'IS (2)'!BJ48</f>
        <v>6.5082644628099581E-2</v>
      </c>
      <c r="BK59" s="728">
        <f>BK55/'IS (2)'!BK48</f>
        <v>0.63218390804597679</v>
      </c>
      <c r="BL59" s="728">
        <f>BL55/'IS (2)'!BL48</f>
        <v>0.15358090185676387</v>
      </c>
      <c r="BM59" s="728">
        <f>BM55/'IS (2)'!BM48</f>
        <v>-1.0862239841427155</v>
      </c>
      <c r="BN59" s="728">
        <f>BN55/'IS (2)'!BN48</f>
        <v>-5.936073059360706E-2</v>
      </c>
      <c r="BO59" s="728">
        <f>BO55/'IS (2)'!BO48</f>
        <v>0.31963001027749216</v>
      </c>
      <c r="BP59" s="728">
        <f>BP55/'IS (2)'!BP48</f>
        <v>0.79821958456973308</v>
      </c>
      <c r="BQ59" s="728">
        <f>BQ55/'IS (2)'!BQ48</f>
        <v>-1.0518590998043082E-2</v>
      </c>
      <c r="BR59" s="728">
        <f>BR55/'IS (2)'!BR48</f>
        <v>-0.70782280867106528</v>
      </c>
      <c r="BS59" s="728">
        <f>BS55/'IS (2)'!BS48</f>
        <v>0.43760129659643426</v>
      </c>
      <c r="BT59" s="728">
        <f>BT55/'IS (2)'!BT48</f>
        <v>0.67584369449378301</v>
      </c>
      <c r="BU59" s="728">
        <f>BU55/'IS (2)'!BU48</f>
        <v>0.16621743036837411</v>
      </c>
      <c r="BV59" s="728">
        <f>BV55/'IS (2)'!BV48</f>
        <v>0.16210851345390381</v>
      </c>
      <c r="BW59" s="728">
        <f>BW55/'IS (2)'!BW48</f>
        <v>-0.3048543689320386</v>
      </c>
      <c r="BX59" s="728">
        <f>BX55/'IS (2)'!BX48</f>
        <v>0.38850174216027883</v>
      </c>
      <c r="BY59" s="728">
        <f>BY55/'IS (2)'!BY48</f>
        <v>0.63848144952545272</v>
      </c>
      <c r="BZ59" s="728">
        <f>BZ55/'IS (2)'!BZ48</f>
        <v>0.5222405271828664</v>
      </c>
      <c r="CA59" s="728">
        <f>CA55/'IS (2)'!CA48</f>
        <v>0.33091628213579433</v>
      </c>
      <c r="CB59" s="728">
        <f>CB55/'IS (2)'!CB48</f>
        <v>2.762923351158646E-2</v>
      </c>
      <c r="CC59" s="728">
        <f>CC55/'IS (2)'!CC48</f>
        <v>0.41330166270783847</v>
      </c>
      <c r="CD59" s="728">
        <f>CD55/'IS (2)'!CD48</f>
        <v>0.57086922474549728</v>
      </c>
      <c r="CE59" s="728">
        <f>CE55/'IS (2)'!CE48</f>
        <v>0.85167837626854059</v>
      </c>
      <c r="CF59" s="728">
        <f>CF55/'IS (2)'!CF48</f>
        <v>0.48007283026502123</v>
      </c>
      <c r="CG59" s="728">
        <f>CG55/'IS (2)'!CG48</f>
        <v>-0.10742049469964651</v>
      </c>
      <c r="CH59" s="728">
        <f>CH55/'IS (2)'!CH48</f>
        <v>0.49027498323272961</v>
      </c>
      <c r="CI59" s="728">
        <f>CI55/'IS (2)'!CI48</f>
        <v>0.39293139293139312</v>
      </c>
      <c r="CJ59" s="728">
        <f>CJ55/'IS (2)'!CJ48</f>
        <v>1.3060606060606066</v>
      </c>
      <c r="CK59" s="728">
        <f>CK55/'IS (2)'!CK48</f>
        <v>0.50626212735932274</v>
      </c>
      <c r="CL59" s="728">
        <f>CL55/'IS (2)'!CL48</f>
        <v>-0.18379446640316188</v>
      </c>
      <c r="CM59" s="728">
        <f>CM55/'IS (2)'!CM48</f>
        <v>-0.69292639669293388</v>
      </c>
      <c r="CN59" s="728">
        <f>CN55/'IS (2)'!CN48</f>
        <v>0.56614626662246825</v>
      </c>
      <c r="CO59" s="728">
        <f>CO55/'IS (2)'!CO48</f>
        <v>1.514859489006116</v>
      </c>
      <c r="CP59" s="728">
        <f>CP55/'IS (2)'!CP48</f>
        <v>0.3897512611047359</v>
      </c>
      <c r="CQ59" s="728">
        <f>CQ55/'IS (2)'!CQ48</f>
        <v>0.54500629485108676</v>
      </c>
      <c r="CR59" s="728">
        <f>CR55/'IS (2)'!CR48</f>
        <v>0.62000651834898723</v>
      </c>
      <c r="CS59" s="728">
        <f>CS55/'IS (2)'!CS48</f>
        <v>0.61217517371588848</v>
      </c>
    </row>
  </sheetData>
  <pageMargins left="0.8" right="0.3" top="0.7" bottom="0.7" header="0.5" footer="0.5"/>
  <pageSetup scale="17" orientation="landscape" r:id="rId1"/>
  <headerFooter alignWithMargins="0"/>
  <customProperties>
    <customPr name="Qube.Worksheet.Visibility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D442-7CC4-104C-8FC5-418D6793BC85}">
  <sheetPr>
    <pageSetUpPr fitToPage="1"/>
  </sheetPr>
  <dimension ref="B1:CU56"/>
  <sheetViews>
    <sheetView showGridLines="0" zoomScaleNormal="100" workbookViewId="0">
      <pane xSplit="2" ySplit="4" topLeftCell="CF30" activePane="bottomRight" state="frozen"/>
      <selection activeCell="CT39" sqref="CT39:CT40"/>
      <selection pane="topRight" activeCell="CT39" sqref="CT39:CT40"/>
      <selection pane="bottomLeft" activeCell="CT39" sqref="CT39:CT40"/>
      <selection pane="bottomRight" activeCell="CX71" sqref="CX71"/>
    </sheetView>
  </sheetViews>
  <sheetFormatPr defaultColWidth="9.85546875" defaultRowHeight="12" outlineLevelCol="1"/>
  <cols>
    <col min="1" max="1" width="1.85546875" style="1" customWidth="1"/>
    <col min="2" max="2" width="41.85546875" style="1" customWidth="1"/>
    <col min="3" max="9" width="9.85546875" style="1" hidden="1" customWidth="1"/>
    <col min="10" max="13" width="9.85546875" style="1" hidden="1" customWidth="1" outlineLevel="1"/>
    <col min="14" max="14" width="9.85546875" style="1" hidden="1" customWidth="1" collapsed="1"/>
    <col min="15" max="18" width="9.85546875" style="1" hidden="1" customWidth="1" outlineLevel="1"/>
    <col min="19" max="19" width="9.85546875" style="1" hidden="1" customWidth="1" collapsed="1"/>
    <col min="20" max="23" width="9.85546875" style="1" hidden="1" customWidth="1" outlineLevel="1"/>
    <col min="24" max="24" width="9.85546875" style="1" hidden="1" customWidth="1" collapsed="1"/>
    <col min="25" max="28" width="9.85546875" style="1" hidden="1" customWidth="1" outlineLevel="1"/>
    <col min="29" max="29" width="9.85546875" style="1" hidden="1" customWidth="1" collapsed="1"/>
    <col min="30" max="33" width="9.85546875" style="1" hidden="1" customWidth="1" outlineLevel="1"/>
    <col min="34" max="34" width="9.85546875" style="1" hidden="1" customWidth="1" collapsed="1"/>
    <col min="35" max="38" width="9.85546875" style="1" hidden="1" customWidth="1" outlineLevel="1"/>
    <col min="39" max="39" width="9.85546875" style="1" hidden="1" customWidth="1" collapsed="1"/>
    <col min="40" max="43" width="9.85546875" style="1" hidden="1" customWidth="1" outlineLevel="1"/>
    <col min="44" max="44" width="9.85546875" style="1" hidden="1" customWidth="1" collapsed="1"/>
    <col min="45" max="48" width="9.85546875" style="1" hidden="1" customWidth="1" outlineLevel="1"/>
    <col min="49" max="49" width="9.85546875" style="1" hidden="1" customWidth="1" collapsed="1"/>
    <col min="50" max="53" width="9.85546875" style="1" hidden="1" customWidth="1" outlineLevel="1"/>
    <col min="54" max="54" width="9.85546875" style="1" collapsed="1"/>
    <col min="55" max="58" width="9.85546875" style="1" hidden="1" customWidth="1" outlineLevel="1"/>
    <col min="59" max="59" width="9.85546875" style="1" collapsed="1"/>
    <col min="60" max="63" width="9.85546875" style="1" hidden="1" customWidth="1" outlineLevel="1"/>
    <col min="64" max="64" width="9.85546875" style="1" collapsed="1"/>
    <col min="65" max="68" width="9.85546875" style="1" hidden="1" customWidth="1" outlineLevel="1"/>
    <col min="69" max="69" width="9.85546875" style="1" collapsed="1"/>
    <col min="70" max="73" width="9.85546875" style="1" hidden="1" customWidth="1" outlineLevel="1"/>
    <col min="74" max="74" width="9.85546875" style="1" collapsed="1"/>
    <col min="75" max="78" width="9.85546875" style="1" hidden="1" customWidth="1" outlineLevel="1"/>
    <col min="79" max="79" width="9.85546875" style="1" collapsed="1"/>
    <col min="80" max="83" width="9.85546875" style="1" hidden="1" customWidth="1" outlineLevel="1"/>
    <col min="84" max="84" width="9.85546875" style="1" collapsed="1"/>
    <col min="85" max="88" width="9.85546875" style="1" hidden="1" customWidth="1" outlineLevel="1"/>
    <col min="89" max="89" width="9.85546875" style="1" collapsed="1"/>
    <col min="90" max="93" width="9.85546875" style="1" customWidth="1" outlineLevel="1"/>
    <col min="94" max="16384" width="9.85546875" style="1"/>
  </cols>
  <sheetData>
    <row r="1" spans="2:99" ht="12" customHeight="1" thickBot="1">
      <c r="CG1" s="6"/>
      <c r="CH1" s="6"/>
      <c r="CI1" s="6"/>
      <c r="CJ1" s="6"/>
      <c r="CL1" s="6"/>
      <c r="CM1" s="6"/>
      <c r="CN1" s="6"/>
      <c r="CO1" s="6"/>
    </row>
    <row r="2" spans="2:99" ht="6" customHeight="1">
      <c r="C2" s="45"/>
      <c r="D2" s="45"/>
      <c r="E2" s="45"/>
      <c r="F2" s="45"/>
      <c r="G2" s="45"/>
      <c r="H2" s="45"/>
      <c r="I2" s="45"/>
      <c r="N2" s="45"/>
      <c r="S2" s="45"/>
      <c r="X2" s="45"/>
      <c r="AC2" s="45"/>
      <c r="AH2" s="45"/>
      <c r="AM2" s="45"/>
      <c r="AR2" s="45"/>
      <c r="AW2" s="45"/>
      <c r="BB2" s="45"/>
      <c r="BG2" s="45"/>
      <c r="BL2" s="45"/>
      <c r="BQ2" s="45"/>
      <c r="BV2" s="45"/>
      <c r="CA2" s="45"/>
      <c r="CF2" s="45"/>
      <c r="CK2" s="45"/>
      <c r="CP2" s="45"/>
      <c r="CQ2" s="45"/>
      <c r="CR2" s="45"/>
      <c r="CS2" s="45"/>
    </row>
    <row r="3" spans="2:99" ht="15.75">
      <c r="B3" s="44" t="s">
        <v>274</v>
      </c>
      <c r="C3" s="42">
        <v>1997</v>
      </c>
      <c r="D3" s="42">
        <v>1998</v>
      </c>
      <c r="E3" s="42">
        <v>1999</v>
      </c>
      <c r="F3" s="42">
        <v>2000</v>
      </c>
      <c r="G3" s="42">
        <v>2001</v>
      </c>
      <c r="H3" s="42">
        <v>2002</v>
      </c>
      <c r="I3" s="42">
        <v>2003</v>
      </c>
      <c r="J3" s="43" t="s">
        <v>0</v>
      </c>
      <c r="K3" s="43" t="s">
        <v>1</v>
      </c>
      <c r="L3" s="43" t="s">
        <v>2</v>
      </c>
      <c r="M3" s="43" t="s">
        <v>3</v>
      </c>
      <c r="N3" s="42">
        <v>2004</v>
      </c>
      <c r="O3" s="43" t="s">
        <v>4</v>
      </c>
      <c r="P3" s="43" t="s">
        <v>5</v>
      </c>
      <c r="Q3" s="43" t="s">
        <v>6</v>
      </c>
      <c r="R3" s="43" t="s">
        <v>7</v>
      </c>
      <c r="S3" s="42">
        <v>2005</v>
      </c>
      <c r="T3" s="43" t="s">
        <v>8</v>
      </c>
      <c r="U3" s="43" t="s">
        <v>9</v>
      </c>
      <c r="V3" s="43" t="s">
        <v>10</v>
      </c>
      <c r="W3" s="43" t="s">
        <v>11</v>
      </c>
      <c r="X3" s="42">
        <v>2006</v>
      </c>
      <c r="Y3" s="43" t="s">
        <v>12</v>
      </c>
      <c r="Z3" s="43" t="s">
        <v>13</v>
      </c>
      <c r="AA3" s="43" t="s">
        <v>14</v>
      </c>
      <c r="AB3" s="43" t="s">
        <v>15</v>
      </c>
      <c r="AC3" s="42">
        <v>2007</v>
      </c>
      <c r="AD3" s="43" t="s">
        <v>16</v>
      </c>
      <c r="AE3" s="43" t="s">
        <v>17</v>
      </c>
      <c r="AF3" s="43" t="s">
        <v>18</v>
      </c>
      <c r="AG3" s="43" t="s">
        <v>19</v>
      </c>
      <c r="AH3" s="42">
        <v>2008</v>
      </c>
      <c r="AI3" s="43" t="s">
        <v>20</v>
      </c>
      <c r="AJ3" s="43" t="s">
        <v>21</v>
      </c>
      <c r="AK3" s="43" t="s">
        <v>22</v>
      </c>
      <c r="AL3" s="43" t="s">
        <v>23</v>
      </c>
      <c r="AM3" s="42">
        <v>2009</v>
      </c>
      <c r="AN3" s="43" t="s">
        <v>208</v>
      </c>
      <c r="AO3" s="43" t="s">
        <v>209</v>
      </c>
      <c r="AP3" s="43" t="s">
        <v>210</v>
      </c>
      <c r="AQ3" s="43" t="s">
        <v>211</v>
      </c>
      <c r="AR3" s="42">
        <v>2010</v>
      </c>
      <c r="AS3" s="43" t="s">
        <v>212</v>
      </c>
      <c r="AT3" s="43" t="s">
        <v>213</v>
      </c>
      <c r="AU3" s="43" t="s">
        <v>214</v>
      </c>
      <c r="AV3" s="43" t="s">
        <v>215</v>
      </c>
      <c r="AW3" s="42">
        <v>2011</v>
      </c>
      <c r="AX3" s="43" t="s">
        <v>282</v>
      </c>
      <c r="AY3" s="43" t="s">
        <v>283</v>
      </c>
      <c r="AZ3" s="43" t="s">
        <v>284</v>
      </c>
      <c r="BA3" s="43" t="s">
        <v>285</v>
      </c>
      <c r="BB3" s="42">
        <v>2012</v>
      </c>
      <c r="BC3" s="43" t="s">
        <v>308</v>
      </c>
      <c r="BD3" s="43" t="s">
        <v>309</v>
      </c>
      <c r="BE3" s="43" t="s">
        <v>310</v>
      </c>
      <c r="BF3" s="43" t="s">
        <v>311</v>
      </c>
      <c r="BG3" s="42">
        <v>2013</v>
      </c>
      <c r="BH3" s="43" t="s">
        <v>312</v>
      </c>
      <c r="BI3" s="43" t="s">
        <v>313</v>
      </c>
      <c r="BJ3" s="43" t="s">
        <v>314</v>
      </c>
      <c r="BK3" s="43" t="s">
        <v>315</v>
      </c>
      <c r="BL3" s="42">
        <v>2014</v>
      </c>
      <c r="BM3" s="43" t="s">
        <v>382</v>
      </c>
      <c r="BN3" s="43" t="s">
        <v>383</v>
      </c>
      <c r="BO3" s="43" t="s">
        <v>384</v>
      </c>
      <c r="BP3" s="43" t="s">
        <v>385</v>
      </c>
      <c r="BQ3" s="42">
        <v>2015</v>
      </c>
      <c r="BR3" s="43" t="s">
        <v>386</v>
      </c>
      <c r="BS3" s="43" t="s">
        <v>387</v>
      </c>
      <c r="BT3" s="43" t="s">
        <v>388</v>
      </c>
      <c r="BU3" s="43" t="s">
        <v>389</v>
      </c>
      <c r="BV3" s="42">
        <v>2016</v>
      </c>
      <c r="BW3" s="43" t="s">
        <v>390</v>
      </c>
      <c r="BX3" s="43" t="s">
        <v>391</v>
      </c>
      <c r="BY3" s="43" t="s">
        <v>392</v>
      </c>
      <c r="BZ3" s="43" t="s">
        <v>393</v>
      </c>
      <c r="CA3" s="42">
        <v>2017</v>
      </c>
      <c r="CB3" s="43" t="s">
        <v>445</v>
      </c>
      <c r="CC3" s="43" t="s">
        <v>446</v>
      </c>
      <c r="CD3" s="43" t="s">
        <v>447</v>
      </c>
      <c r="CE3" s="43" t="s">
        <v>448</v>
      </c>
      <c r="CF3" s="42">
        <v>2018</v>
      </c>
      <c r="CG3" s="43" t="s">
        <v>459</v>
      </c>
      <c r="CH3" s="43" t="s">
        <v>460</v>
      </c>
      <c r="CI3" s="43" t="s">
        <v>461</v>
      </c>
      <c r="CJ3" s="43" t="s">
        <v>462</v>
      </c>
      <c r="CK3" s="42">
        <v>2019</v>
      </c>
      <c r="CL3" s="43" t="s">
        <v>466</v>
      </c>
      <c r="CM3" s="43" t="s">
        <v>470</v>
      </c>
      <c r="CN3" s="43" t="s">
        <v>471</v>
      </c>
      <c r="CO3" s="43" t="s">
        <v>472</v>
      </c>
      <c r="CP3" s="42" t="s">
        <v>216</v>
      </c>
      <c r="CQ3" s="42" t="s">
        <v>316</v>
      </c>
      <c r="CR3" s="42" t="s">
        <v>317</v>
      </c>
      <c r="CS3" s="42" t="s">
        <v>520</v>
      </c>
    </row>
    <row r="4" spans="2:99" ht="12.75">
      <c r="B4" s="41" t="s">
        <v>111</v>
      </c>
      <c r="C4" s="40">
        <v>35795</v>
      </c>
      <c r="D4" s="40">
        <v>36160</v>
      </c>
      <c r="E4" s="40">
        <v>36525</v>
      </c>
      <c r="F4" s="40">
        <v>36891</v>
      </c>
      <c r="G4" s="40">
        <v>37256</v>
      </c>
      <c r="H4" s="40">
        <v>37621</v>
      </c>
      <c r="I4" s="40">
        <v>37986</v>
      </c>
      <c r="J4" s="39">
        <v>38077</v>
      </c>
      <c r="K4" s="39">
        <v>38168</v>
      </c>
      <c r="L4" s="39">
        <v>38260</v>
      </c>
      <c r="M4" s="39">
        <v>38352</v>
      </c>
      <c r="N4" s="40">
        <v>38352</v>
      </c>
      <c r="O4" s="39">
        <v>38442</v>
      </c>
      <c r="P4" s="39">
        <v>38533</v>
      </c>
      <c r="Q4" s="39">
        <v>38625</v>
      </c>
      <c r="R4" s="39">
        <v>38717</v>
      </c>
      <c r="S4" s="40">
        <v>38717</v>
      </c>
      <c r="T4" s="39">
        <v>38807</v>
      </c>
      <c r="U4" s="39">
        <v>38898</v>
      </c>
      <c r="V4" s="39">
        <v>38990</v>
      </c>
      <c r="W4" s="39">
        <v>39082</v>
      </c>
      <c r="X4" s="40">
        <v>39082</v>
      </c>
      <c r="Y4" s="39">
        <v>39172</v>
      </c>
      <c r="Z4" s="39">
        <v>39263</v>
      </c>
      <c r="AA4" s="39">
        <v>39355</v>
      </c>
      <c r="AB4" s="39">
        <v>39447</v>
      </c>
      <c r="AC4" s="40">
        <v>39447</v>
      </c>
      <c r="AD4" s="39">
        <v>39538</v>
      </c>
      <c r="AE4" s="39">
        <v>39629</v>
      </c>
      <c r="AF4" s="39">
        <v>39721</v>
      </c>
      <c r="AG4" s="39">
        <v>39813</v>
      </c>
      <c r="AH4" s="40">
        <v>39813</v>
      </c>
      <c r="AI4" s="39">
        <v>39903</v>
      </c>
      <c r="AJ4" s="39">
        <v>39994</v>
      </c>
      <c r="AK4" s="39">
        <v>40086</v>
      </c>
      <c r="AL4" s="38">
        <v>40178</v>
      </c>
      <c r="AM4" s="37">
        <v>40178</v>
      </c>
      <c r="AN4" s="39">
        <v>40268</v>
      </c>
      <c r="AO4" s="39">
        <v>40359</v>
      </c>
      <c r="AP4" s="39">
        <v>40451</v>
      </c>
      <c r="AQ4" s="38">
        <v>40543</v>
      </c>
      <c r="AR4" s="37">
        <v>40543</v>
      </c>
      <c r="AS4" s="39">
        <v>40633</v>
      </c>
      <c r="AT4" s="39">
        <v>40724</v>
      </c>
      <c r="AU4" s="39">
        <v>40816</v>
      </c>
      <c r="AV4" s="38">
        <v>40908</v>
      </c>
      <c r="AW4" s="37">
        <v>40908</v>
      </c>
      <c r="AX4" s="39">
        <v>40999</v>
      </c>
      <c r="AY4" s="39">
        <v>41090</v>
      </c>
      <c r="AZ4" s="39">
        <v>41182</v>
      </c>
      <c r="BA4" s="38">
        <v>41274</v>
      </c>
      <c r="BB4" s="37">
        <v>41274</v>
      </c>
      <c r="BC4" s="39">
        <v>41364</v>
      </c>
      <c r="BD4" s="39">
        <v>41455</v>
      </c>
      <c r="BE4" s="39">
        <v>41547</v>
      </c>
      <c r="BF4" s="38">
        <v>41639</v>
      </c>
      <c r="BG4" s="37">
        <v>41639</v>
      </c>
      <c r="BH4" s="39">
        <v>41729</v>
      </c>
      <c r="BI4" s="39">
        <v>41820</v>
      </c>
      <c r="BJ4" s="39">
        <v>41912</v>
      </c>
      <c r="BK4" s="38">
        <v>42004</v>
      </c>
      <c r="BL4" s="37">
        <v>42004</v>
      </c>
      <c r="BM4" s="39">
        <v>42094</v>
      </c>
      <c r="BN4" s="39">
        <v>42185</v>
      </c>
      <c r="BO4" s="39">
        <v>42277</v>
      </c>
      <c r="BP4" s="38">
        <v>42369</v>
      </c>
      <c r="BQ4" s="37">
        <v>42369</v>
      </c>
      <c r="BR4" s="39">
        <v>42460</v>
      </c>
      <c r="BS4" s="39">
        <v>42551</v>
      </c>
      <c r="BT4" s="39">
        <v>42643</v>
      </c>
      <c r="BU4" s="38">
        <v>42735</v>
      </c>
      <c r="BV4" s="37">
        <v>42735</v>
      </c>
      <c r="BW4" s="39">
        <v>42825</v>
      </c>
      <c r="BX4" s="39">
        <v>42916</v>
      </c>
      <c r="BY4" s="39">
        <v>43008</v>
      </c>
      <c r="BZ4" s="38">
        <v>43100</v>
      </c>
      <c r="CA4" s="37">
        <v>43100</v>
      </c>
      <c r="CB4" s="39">
        <v>43190</v>
      </c>
      <c r="CC4" s="39">
        <v>43281</v>
      </c>
      <c r="CD4" s="39">
        <v>43373</v>
      </c>
      <c r="CE4" s="38">
        <v>43465</v>
      </c>
      <c r="CF4" s="37">
        <v>43465</v>
      </c>
      <c r="CG4" s="39">
        <v>43554</v>
      </c>
      <c r="CH4" s="39">
        <v>43646</v>
      </c>
      <c r="CI4" s="39">
        <v>43738</v>
      </c>
      <c r="CJ4" s="38">
        <v>43830</v>
      </c>
      <c r="CK4" s="37">
        <v>43830</v>
      </c>
      <c r="CL4" s="39">
        <v>43920</v>
      </c>
      <c r="CM4" s="39">
        <v>44012</v>
      </c>
      <c r="CN4" s="39">
        <v>44104</v>
      </c>
      <c r="CO4" s="38">
        <v>44196</v>
      </c>
      <c r="CP4" s="37">
        <v>44196</v>
      </c>
      <c r="CQ4" s="37">
        <v>44561</v>
      </c>
      <c r="CR4" s="37">
        <v>44926</v>
      </c>
      <c r="CS4" s="37">
        <v>45291</v>
      </c>
    </row>
    <row r="5" spans="2:99" s="14" customFormat="1" ht="12.75">
      <c r="B5" s="36"/>
      <c r="C5" s="35"/>
      <c r="D5" s="35"/>
      <c r="E5" s="35"/>
      <c r="F5" s="35"/>
      <c r="G5" s="35"/>
      <c r="H5" s="35"/>
      <c r="I5" s="35"/>
      <c r="J5" s="34"/>
      <c r="K5" s="34"/>
      <c r="L5" s="34"/>
      <c r="M5" s="34"/>
      <c r="N5" s="35"/>
      <c r="O5" s="34"/>
      <c r="P5" s="34"/>
      <c r="Q5" s="34"/>
      <c r="R5" s="34"/>
      <c r="S5" s="35"/>
      <c r="T5" s="34"/>
      <c r="U5" s="34"/>
      <c r="V5" s="34"/>
      <c r="W5" s="34"/>
      <c r="X5" s="35"/>
      <c r="Y5" s="34"/>
      <c r="Z5" s="34"/>
      <c r="AA5" s="34"/>
      <c r="AB5" s="34"/>
      <c r="AC5" s="35"/>
      <c r="AD5" s="34"/>
      <c r="AE5" s="34"/>
      <c r="AF5" s="34"/>
      <c r="AG5" s="34"/>
      <c r="AH5" s="35"/>
      <c r="AI5" s="34"/>
      <c r="AJ5" s="34"/>
      <c r="AK5" s="34"/>
      <c r="AL5" s="33"/>
      <c r="AM5" s="32"/>
      <c r="AN5" s="34"/>
      <c r="AO5" s="34"/>
      <c r="AP5" s="34"/>
      <c r="AQ5" s="33"/>
      <c r="AR5" s="32"/>
      <c r="AS5" s="34"/>
      <c r="AT5" s="34"/>
      <c r="AU5" s="34"/>
      <c r="AV5" s="33"/>
      <c r="AW5" s="32"/>
      <c r="AX5" s="34"/>
      <c r="AY5" s="34"/>
      <c r="AZ5" s="34"/>
      <c r="BA5" s="33"/>
      <c r="BB5" s="32"/>
      <c r="BC5" s="34"/>
      <c r="BD5" s="34"/>
      <c r="BE5" s="34"/>
      <c r="BF5" s="33"/>
      <c r="BG5" s="32"/>
      <c r="BH5" s="34"/>
      <c r="BI5" s="34"/>
      <c r="BJ5" s="34"/>
      <c r="BK5" s="33"/>
      <c r="BL5" s="32"/>
      <c r="BM5" s="34"/>
      <c r="BN5" s="34"/>
      <c r="BO5" s="34"/>
      <c r="BP5" s="33"/>
      <c r="BQ5" s="32"/>
      <c r="BR5" s="34"/>
      <c r="BS5" s="33"/>
      <c r="BT5" s="33"/>
      <c r="BU5" s="33"/>
      <c r="BV5" s="32"/>
      <c r="BW5" s="34"/>
      <c r="BX5" s="33"/>
      <c r="BY5" s="33"/>
      <c r="BZ5" s="33"/>
      <c r="CA5" s="32"/>
      <c r="CB5" s="34"/>
      <c r="CC5" s="33"/>
      <c r="CD5" s="33"/>
      <c r="CE5" s="33"/>
      <c r="CF5" s="32"/>
      <c r="CG5" s="33"/>
      <c r="CH5" s="33"/>
      <c r="CI5" s="33"/>
      <c r="CJ5" s="33"/>
      <c r="CK5" s="32"/>
      <c r="CL5" s="33"/>
      <c r="CM5" s="33"/>
      <c r="CN5" s="33"/>
      <c r="CO5" s="33"/>
      <c r="CP5" s="32"/>
      <c r="CQ5" s="32"/>
      <c r="CR5" s="32"/>
      <c r="CS5" s="32"/>
    </row>
    <row r="6" spans="2:99" s="14" customFormat="1" ht="12.75">
      <c r="B6" s="15" t="s">
        <v>275</v>
      </c>
      <c r="C6" s="35"/>
      <c r="D6" s="35"/>
      <c r="E6" s="35"/>
      <c r="F6" s="35"/>
      <c r="G6" s="35"/>
      <c r="H6" s="35"/>
      <c r="I6" s="35"/>
      <c r="J6" s="34"/>
      <c r="K6" s="34"/>
      <c r="L6" s="34"/>
      <c r="M6" s="34"/>
      <c r="N6" s="35"/>
      <c r="O6" s="34"/>
      <c r="P6" s="34"/>
      <c r="Q6" s="34"/>
      <c r="R6" s="34"/>
      <c r="S6" s="35"/>
      <c r="T6" s="34"/>
      <c r="U6" s="34"/>
      <c r="V6" s="34"/>
      <c r="W6" s="34"/>
      <c r="X6" s="35"/>
      <c r="Y6" s="34"/>
      <c r="Z6" s="34"/>
      <c r="AA6" s="34"/>
      <c r="AB6" s="34"/>
      <c r="AC6" s="35"/>
      <c r="AD6" s="34"/>
      <c r="AE6" s="34"/>
      <c r="AF6" s="34"/>
      <c r="AG6" s="34"/>
      <c r="AH6" s="35"/>
      <c r="AI6" s="34"/>
      <c r="AJ6" s="34"/>
      <c r="AK6" s="34"/>
      <c r="AL6" s="33"/>
      <c r="AM6" s="32"/>
      <c r="AN6" s="34"/>
      <c r="AO6" s="34"/>
      <c r="AP6" s="34"/>
      <c r="AQ6" s="33"/>
      <c r="AR6" s="32"/>
      <c r="AS6" s="34"/>
      <c r="AT6" s="34"/>
      <c r="AU6" s="34"/>
      <c r="AV6" s="33"/>
      <c r="AW6" s="32"/>
      <c r="AX6" s="34"/>
      <c r="AY6" s="34"/>
      <c r="AZ6" s="34"/>
      <c r="BA6" s="33"/>
      <c r="BB6" s="32"/>
      <c r="BC6" s="34"/>
      <c r="BD6" s="34"/>
      <c r="BE6" s="34"/>
      <c r="BF6" s="33"/>
      <c r="BG6" s="32"/>
      <c r="BH6" s="34"/>
      <c r="BI6" s="34"/>
      <c r="BJ6" s="34"/>
      <c r="BK6" s="33"/>
      <c r="BL6" s="32"/>
      <c r="BM6" s="34"/>
      <c r="BN6" s="34"/>
      <c r="BO6" s="34"/>
      <c r="BP6" s="33"/>
      <c r="BQ6" s="32"/>
      <c r="BR6" s="34"/>
      <c r="BS6" s="33"/>
      <c r="BT6" s="33"/>
      <c r="BU6" s="33"/>
      <c r="BV6" s="32"/>
      <c r="BW6" s="34"/>
      <c r="BX6" s="33"/>
      <c r="BY6" s="33"/>
      <c r="BZ6" s="33"/>
      <c r="CA6" s="32"/>
      <c r="CB6" s="34"/>
      <c r="CC6" s="33"/>
      <c r="CD6" s="33"/>
      <c r="CE6" s="33"/>
      <c r="CF6" s="32"/>
      <c r="CG6" s="33"/>
      <c r="CH6" s="33"/>
      <c r="CI6" s="33"/>
      <c r="CJ6" s="33"/>
      <c r="CK6" s="32"/>
      <c r="CL6" s="33"/>
      <c r="CM6" s="33"/>
      <c r="CN6" s="33"/>
      <c r="CO6" s="33"/>
      <c r="CP6" s="32"/>
      <c r="CQ6" s="32"/>
      <c r="CR6" s="32"/>
      <c r="CS6" s="32"/>
    </row>
    <row r="7" spans="2:99" s="14" customFormat="1">
      <c r="B7" s="1" t="s">
        <v>90</v>
      </c>
      <c r="C7" s="28"/>
      <c r="D7" s="28"/>
      <c r="E7" s="28"/>
      <c r="F7" s="28"/>
      <c r="G7" s="28"/>
      <c r="H7" s="28"/>
      <c r="I7" s="28"/>
      <c r="N7" s="28"/>
      <c r="S7" s="28"/>
      <c r="X7" s="28"/>
      <c r="Y7" s="14">
        <f>'Data (2)'!Y132</f>
        <v>240</v>
      </c>
      <c r="Z7" s="14">
        <f>'Data (2)'!Z132</f>
        <v>240.3</v>
      </c>
      <c r="AA7" s="14">
        <f>'Data (2)'!AA132</f>
        <v>231.6</v>
      </c>
      <c r="AB7" s="14">
        <f>'Data (2)'!AB132</f>
        <v>264</v>
      </c>
      <c r="AC7" s="28">
        <f>SUM(Y7:AB7)</f>
        <v>975.9</v>
      </c>
      <c r="AD7" s="14">
        <f>'Data (2)'!AD132</f>
        <v>288.89999999999998</v>
      </c>
      <c r="AE7" s="14">
        <f>'Data (2)'!AE132</f>
        <v>303.3</v>
      </c>
      <c r="AF7" s="14">
        <f>'Data (2)'!AF132</f>
        <v>277.8</v>
      </c>
      <c r="AG7" s="14">
        <f>'Data (2)'!AG132</f>
        <v>245.40000000000009</v>
      </c>
      <c r="AH7" s="28">
        <f>SUM(AD7:AG7)</f>
        <v>1115.4000000000001</v>
      </c>
      <c r="AI7" s="14">
        <f>'Data (2)'!AI132</f>
        <v>253.5</v>
      </c>
      <c r="AJ7" s="14">
        <f>'Data (2)'!AJ132</f>
        <v>220.2</v>
      </c>
      <c r="AK7" s="14">
        <f>'Data (2)'!AK132</f>
        <v>202</v>
      </c>
      <c r="AL7" s="14">
        <f>'Data (2)'!AL132</f>
        <v>208.1</v>
      </c>
      <c r="AM7" s="28">
        <f>SUM(AI7:AL7)</f>
        <v>883.80000000000007</v>
      </c>
      <c r="AN7" s="14">
        <f>'Data (2)'!AN132</f>
        <v>209.3</v>
      </c>
      <c r="AO7" s="14">
        <f>'Data (2)'!AO132</f>
        <v>250.4</v>
      </c>
      <c r="AP7" s="14">
        <f>'Data (2)'!AP132</f>
        <v>234.4</v>
      </c>
      <c r="AQ7" s="14">
        <f>'Data (2)'!AQ132</f>
        <v>249.10000000000002</v>
      </c>
      <c r="AR7" s="28">
        <f>SUM(AN7:AQ7)</f>
        <v>943.2</v>
      </c>
      <c r="AS7" s="14">
        <f>'Data (2)'!AS132</f>
        <v>270.2</v>
      </c>
      <c r="AT7" s="14">
        <f>'Data (2)'!AT132</f>
        <v>290.7</v>
      </c>
      <c r="AU7" s="14">
        <f>'Data (2)'!AU132</f>
        <v>277</v>
      </c>
      <c r="AV7" s="14">
        <f>'Data (2)'!AV132</f>
        <v>290.39999999999998</v>
      </c>
      <c r="AW7" s="7">
        <f>SUM(AS7:AV7)</f>
        <v>1128.3</v>
      </c>
      <c r="AX7" s="14">
        <f>'Data (2)'!AX132</f>
        <v>332.1</v>
      </c>
      <c r="AY7" s="14">
        <f>'Data (2)'!AY132</f>
        <v>331.6</v>
      </c>
      <c r="AZ7" s="14">
        <f>'Data (2)'!AZ132</f>
        <v>313.89999999999998</v>
      </c>
      <c r="BA7" s="6">
        <f>'Data (2)'!BA132</f>
        <v>310.10000000000002</v>
      </c>
      <c r="BB7" s="7">
        <f>SUM(AX7:BA7)</f>
        <v>1287.7</v>
      </c>
      <c r="BC7" s="6">
        <f>'Data (2)'!BC132</f>
        <v>341.5</v>
      </c>
      <c r="BD7" s="6">
        <f>'Data (2)'!BD132</f>
        <v>342.7</v>
      </c>
      <c r="BE7" s="6">
        <f>'Data (2)'!BE132</f>
        <v>329.7</v>
      </c>
      <c r="BF7" s="6">
        <f>'Data (2)'!BF132</f>
        <v>341</v>
      </c>
      <c r="BG7" s="7">
        <f>SUM(BC7:BF7)</f>
        <v>1354.9</v>
      </c>
      <c r="BH7" s="6">
        <f>'Data (2)'!BH132</f>
        <v>374.8</v>
      </c>
      <c r="BI7" s="6">
        <f>'Data (2)'!BI132</f>
        <v>379.8</v>
      </c>
      <c r="BJ7" s="6">
        <f>'Data (2)'!BJ132</f>
        <v>359.3</v>
      </c>
      <c r="BK7" s="6">
        <f>'Data (2)'!BK132</f>
        <v>373.7</v>
      </c>
      <c r="BL7" s="7">
        <f>SUM(BH7:BK7)</f>
        <v>1487.6000000000001</v>
      </c>
      <c r="BM7" s="6">
        <f>'Data (2)'!BM132</f>
        <v>387.79999999999995</v>
      </c>
      <c r="BN7" s="6">
        <f>'Data (2)'!BN132</f>
        <v>393.4</v>
      </c>
      <c r="BO7" s="6">
        <f>'Data (2)'!BO132</f>
        <v>363.29999999999995</v>
      </c>
      <c r="BP7" s="6">
        <f>'Data (2)'!BP132</f>
        <v>384.6</v>
      </c>
      <c r="BQ7" s="7">
        <f>SUM(BM7:BP7)</f>
        <v>1529.1</v>
      </c>
      <c r="BR7" s="6">
        <f>'Data (2)'!BR132</f>
        <v>413.9</v>
      </c>
      <c r="BS7" s="6">
        <f>'Data (2)'!BS132</f>
        <v>444.2</v>
      </c>
      <c r="BT7" s="6">
        <f>'Data (2)'!BT132</f>
        <v>414.4</v>
      </c>
      <c r="BU7" s="6">
        <f>'Data (2)'!BU132</f>
        <v>405.1</v>
      </c>
      <c r="BV7" s="7">
        <f>SUM(BR7:BU7)</f>
        <v>1677.6</v>
      </c>
      <c r="BW7" s="6">
        <f>'Data (2)'!BW132</f>
        <v>404.6</v>
      </c>
      <c r="BX7" s="6">
        <f>'Data (2)'!BX132</f>
        <v>412.4</v>
      </c>
      <c r="BY7" s="6">
        <f>'Data (2)'!BY132</f>
        <v>415.3</v>
      </c>
      <c r="BZ7" s="6">
        <f>'Data (2)'!BZ132</f>
        <v>428.4</v>
      </c>
      <c r="CA7" s="7">
        <f>SUM(BW7:BZ7)</f>
        <v>1660.6999999999998</v>
      </c>
      <c r="CB7" s="6">
        <f>'Data (2)'!CB132</f>
        <v>463.8</v>
      </c>
      <c r="CC7" s="6">
        <f>'Data (2)'!CC132</f>
        <v>466.1</v>
      </c>
      <c r="CD7" s="6">
        <f>'Data (2)'!CD132</f>
        <v>450</v>
      </c>
      <c r="CE7" s="6">
        <f>'Data (2)'!CE132</f>
        <v>465.2</v>
      </c>
      <c r="CF7" s="7">
        <f>SUM(CB7:CE7)</f>
        <v>1845.1000000000001</v>
      </c>
      <c r="CG7" s="6">
        <f>'Data (2)'!CG132</f>
        <v>506.9</v>
      </c>
      <c r="CH7" s="6">
        <f>'Data (2)'!CH132</f>
        <v>505.5</v>
      </c>
      <c r="CI7" s="6">
        <f>'Data (2)'!CI132</f>
        <v>471.3</v>
      </c>
      <c r="CJ7" s="6">
        <f>'Data (2)'!CJ132</f>
        <v>462.8</v>
      </c>
      <c r="CK7" s="7">
        <f>SUM(CG7:CJ7)</f>
        <v>1946.5</v>
      </c>
      <c r="CL7" s="6">
        <f>'Data (2)'!CL132</f>
        <v>463.3</v>
      </c>
      <c r="CM7" s="14">
        <f t="shared" ref="CM7:CO8" si="0">CM13+CM16+CM19-CM26</f>
        <v>266.69438000000002</v>
      </c>
      <c r="CN7" s="14">
        <f t="shared" si="0"/>
        <v>306.05914000000001</v>
      </c>
      <c r="CO7" s="14">
        <f t="shared" si="0"/>
        <v>358.43166000000002</v>
      </c>
      <c r="CP7" s="7">
        <f>SUM(CL7:CO7)</f>
        <v>1394.4851800000001</v>
      </c>
      <c r="CQ7" s="28">
        <f t="shared" ref="CQ7:CS8" si="1">CQ13+CQ16+CQ19-CQ26</f>
        <v>1505.5979365999999</v>
      </c>
      <c r="CR7" s="28">
        <f t="shared" si="1"/>
        <v>1634.234342556</v>
      </c>
      <c r="CS7" s="28">
        <f t="shared" si="1"/>
        <v>1795.5622460085999</v>
      </c>
    </row>
    <row r="8" spans="2:99" s="14" customFormat="1">
      <c r="B8" s="13" t="s">
        <v>91</v>
      </c>
      <c r="C8" s="28"/>
      <c r="D8" s="28"/>
      <c r="E8" s="28"/>
      <c r="F8" s="28"/>
      <c r="G8" s="28"/>
      <c r="H8" s="28"/>
      <c r="I8" s="28"/>
      <c r="N8" s="28"/>
      <c r="S8" s="28"/>
      <c r="X8" s="28"/>
      <c r="Y8" s="14">
        <f>'Data (2)'!Y133</f>
        <v>53.2</v>
      </c>
      <c r="Z8" s="14">
        <f>'Data (2)'!Z133</f>
        <v>58.8</v>
      </c>
      <c r="AA8" s="14">
        <f>'Data (2)'!AA133</f>
        <v>57.5</v>
      </c>
      <c r="AB8" s="14">
        <f>'Data (2)'!AB133</f>
        <v>62.199999999999989</v>
      </c>
      <c r="AC8" s="28">
        <f>SUM(Y8:AB8)</f>
        <v>231.7</v>
      </c>
      <c r="AD8" s="14">
        <f>'Data (2)'!AD133</f>
        <v>66.900000000000006</v>
      </c>
      <c r="AE8" s="14">
        <f>'Data (2)'!AE133</f>
        <v>67</v>
      </c>
      <c r="AF8" s="14">
        <f>'Data (2)'!AF133</f>
        <v>62.8</v>
      </c>
      <c r="AG8" s="14">
        <f>'Data (2)'!AG133</f>
        <v>53.300000000000011</v>
      </c>
      <c r="AH8" s="28">
        <f>SUM(AD8:AG8)</f>
        <v>250</v>
      </c>
      <c r="AI8" s="14">
        <f>'Data (2)'!AI133</f>
        <v>62.9</v>
      </c>
      <c r="AJ8" s="14">
        <f>'Data (2)'!AJ133</f>
        <v>63.5</v>
      </c>
      <c r="AK8" s="14">
        <f>'Data (2)'!AK133</f>
        <v>61.4</v>
      </c>
      <c r="AL8" s="14">
        <f>'Data (2)'!AL133</f>
        <v>64</v>
      </c>
      <c r="AM8" s="28">
        <f>SUM(AI8:AL8)</f>
        <v>251.8</v>
      </c>
      <c r="AN8" s="14">
        <f>'Data (2)'!AN133</f>
        <v>62.6</v>
      </c>
      <c r="AO8" s="14">
        <f>'Data (2)'!AO133</f>
        <v>66.5</v>
      </c>
      <c r="AP8" s="14">
        <f>'Data (2)'!AP133</f>
        <v>69.900000000000006</v>
      </c>
      <c r="AQ8" s="14">
        <f>'Data (2)'!AQ133</f>
        <v>70.699999999999989</v>
      </c>
      <c r="AR8" s="28">
        <f>SUM(AN8:AQ8)</f>
        <v>269.7</v>
      </c>
      <c r="AS8" s="14">
        <f>'Data (2)'!AS133</f>
        <v>75.599999999999994</v>
      </c>
      <c r="AT8" s="14">
        <f>'Data (2)'!AT133</f>
        <v>77.100000000000009</v>
      </c>
      <c r="AU8" s="14">
        <f>'Data (2)'!AU133</f>
        <v>89.7</v>
      </c>
      <c r="AV8" s="14">
        <f>'Data (2)'!AV133</f>
        <v>77.099999999999994</v>
      </c>
      <c r="AW8" s="28">
        <f>SUM(AS8:AV8)</f>
        <v>319.5</v>
      </c>
      <c r="AX8" s="14">
        <f>'Data (2)'!AX133</f>
        <v>84</v>
      </c>
      <c r="AY8" s="14">
        <f>'Data (2)'!AY133</f>
        <v>82.7</v>
      </c>
      <c r="AZ8" s="14">
        <f>'Data (2)'!AZ133</f>
        <v>92.6</v>
      </c>
      <c r="BA8" s="6">
        <f>'Data (2)'!BA133</f>
        <v>90</v>
      </c>
      <c r="BB8" s="7">
        <f>SUM(AX8:BA8)</f>
        <v>349.29999999999995</v>
      </c>
      <c r="BC8" s="6">
        <f>'Data (2)'!BC133</f>
        <v>92.3</v>
      </c>
      <c r="BD8" s="6">
        <f>'Data (2)'!BD133</f>
        <v>98.4</v>
      </c>
      <c r="BE8" s="6">
        <f>'Data (2)'!BE133</f>
        <v>99.8</v>
      </c>
      <c r="BF8" s="6">
        <f>'Data (2)'!BF133</f>
        <v>102.6</v>
      </c>
      <c r="BG8" s="7">
        <f>SUM(BC8:BF8)</f>
        <v>393.1</v>
      </c>
      <c r="BH8" s="6">
        <f>'Data (2)'!BH133</f>
        <v>105.5</v>
      </c>
      <c r="BI8" s="6">
        <f>'Data (2)'!BI133</f>
        <v>109</v>
      </c>
      <c r="BJ8" s="6">
        <f>'Data (2)'!BJ133</f>
        <v>109.4</v>
      </c>
      <c r="BK8" s="6">
        <f>'Data (2)'!BK133</f>
        <v>112.5</v>
      </c>
      <c r="BL8" s="7">
        <f>SUM(BH8:BK8)</f>
        <v>436.4</v>
      </c>
      <c r="BM8" s="6">
        <f>'Data (2)'!BM133</f>
        <v>104.5</v>
      </c>
      <c r="BN8" s="6">
        <f>'Data (2)'!BN133</f>
        <v>102.2</v>
      </c>
      <c r="BO8" s="6">
        <f>'Data (2)'!BO133</f>
        <v>101.4</v>
      </c>
      <c r="BP8" s="6">
        <f>'Data (2)'!BP133</f>
        <v>102.9</v>
      </c>
      <c r="BQ8" s="7">
        <f>SUM(BM8:BP8)</f>
        <v>411</v>
      </c>
      <c r="BR8" s="6">
        <f>'Data (2)'!BR133</f>
        <v>101.9</v>
      </c>
      <c r="BS8" s="6">
        <f>'Data (2)'!BS133</f>
        <v>97.3</v>
      </c>
      <c r="BT8" s="6">
        <f>'Data (2)'!BT133</f>
        <v>102.3</v>
      </c>
      <c r="BU8" s="6">
        <f>'Data (2)'!BU133</f>
        <v>92.9</v>
      </c>
      <c r="BV8" s="7">
        <f>SUM(BR8:BU8)</f>
        <v>394.4</v>
      </c>
      <c r="BW8" s="6">
        <f>'Data (2)'!BW133</f>
        <v>91.3</v>
      </c>
      <c r="BX8" s="6">
        <f>'Data (2)'!BX133</f>
        <v>94</v>
      </c>
      <c r="BY8" s="6">
        <f>'Data (2)'!BY133</f>
        <v>92.6</v>
      </c>
      <c r="BZ8" s="6">
        <f>'Data (2)'!BZ133</f>
        <v>98.7</v>
      </c>
      <c r="CA8" s="7">
        <f>SUM(BW8:BZ8)</f>
        <v>376.59999999999997</v>
      </c>
      <c r="CB8" s="6">
        <f>'Data (2)'!CB133</f>
        <v>95.5</v>
      </c>
      <c r="CC8" s="6">
        <f>'Data (2)'!CC133</f>
        <v>101.7</v>
      </c>
      <c r="CD8" s="6">
        <f>'Data (2)'!CD133</f>
        <v>107.7</v>
      </c>
      <c r="CE8" s="6">
        <f>'Data (2)'!CE133</f>
        <v>113.8</v>
      </c>
      <c r="CF8" s="7">
        <f>SUM(CB8:CE8)</f>
        <v>418.7</v>
      </c>
      <c r="CG8" s="6">
        <f>'Data (2)'!CG133</f>
        <v>122.3</v>
      </c>
      <c r="CH8" s="6">
        <f>'Data (2)'!CH133</f>
        <v>125</v>
      </c>
      <c r="CI8" s="6">
        <f>'Data (2)'!CI133</f>
        <v>124.5</v>
      </c>
      <c r="CJ8" s="6">
        <f>'Data (2)'!CJ133</f>
        <v>121.6</v>
      </c>
      <c r="CK8" s="7">
        <f>SUM(CG8:CJ8)</f>
        <v>493.4</v>
      </c>
      <c r="CL8" s="6">
        <f>'Data (2)'!CL133</f>
        <v>103</v>
      </c>
      <c r="CM8" s="14">
        <f t="shared" si="0"/>
        <v>54.37162</v>
      </c>
      <c r="CN8" s="14">
        <f t="shared" si="0"/>
        <v>64.423859999999991</v>
      </c>
      <c r="CO8" s="14">
        <f t="shared" si="0"/>
        <v>79.405339999999995</v>
      </c>
      <c r="CP8" s="7">
        <f>SUM(CL8:CO8)</f>
        <v>301.20082000000002</v>
      </c>
      <c r="CQ8" s="28">
        <f t="shared" si="1"/>
        <v>336.00558339999992</v>
      </c>
      <c r="CR8" s="28">
        <f t="shared" si="1"/>
        <v>369.32214964399998</v>
      </c>
      <c r="CS8" s="28">
        <f t="shared" si="1"/>
        <v>412.44975272139993</v>
      </c>
    </row>
    <row r="9" spans="2:99" s="14" customFormat="1">
      <c r="B9" s="13" t="s">
        <v>92</v>
      </c>
      <c r="C9" s="28"/>
      <c r="D9" s="28"/>
      <c r="E9" s="28"/>
      <c r="F9" s="28"/>
      <c r="G9" s="28"/>
      <c r="H9" s="28"/>
      <c r="I9" s="28"/>
      <c r="N9" s="28"/>
      <c r="S9" s="28"/>
      <c r="X9" s="28"/>
      <c r="Y9" s="14">
        <f>'Data (2)'!Y137</f>
        <v>-10.6</v>
      </c>
      <c r="Z9" s="14">
        <f>'Data (2)'!Z137</f>
        <v>-9.3000000000000007</v>
      </c>
      <c r="AA9" s="14">
        <f>'Data (2)'!AA137</f>
        <v>-8</v>
      </c>
      <c r="AB9" s="14">
        <f>'Data (2)'!AB137</f>
        <v>-8.6000000000000014</v>
      </c>
      <c r="AC9" s="28">
        <f>SUM(Y9:AB9)</f>
        <v>-36.5</v>
      </c>
      <c r="AD9" s="14">
        <f>'Data (2)'!AD137</f>
        <v>-11.3</v>
      </c>
      <c r="AE9" s="14">
        <f>'Data (2)'!AE137</f>
        <v>-10.8</v>
      </c>
      <c r="AF9" s="14">
        <f>'Data (2)'!AF137</f>
        <v>-9.1999999999999993</v>
      </c>
      <c r="AG9" s="14">
        <f>'Data (2)'!AG137</f>
        <v>-9.1999999999999993</v>
      </c>
      <c r="AH9" s="28">
        <f>SUM(AD9:AG9)</f>
        <v>-40.5</v>
      </c>
      <c r="AI9" s="14">
        <f>'Data (2)'!AI137</f>
        <v>-9.1</v>
      </c>
      <c r="AJ9" s="14">
        <f>'Data (2)'!AJ137</f>
        <v>-6.4</v>
      </c>
      <c r="AK9" s="14">
        <f>'Data (2)'!AK137</f>
        <v>-6.3</v>
      </c>
      <c r="AL9" s="14">
        <f>'Data (2)'!AL137</f>
        <v>-5.5</v>
      </c>
      <c r="AM9" s="28">
        <f>SUM(AI9:AL9)</f>
        <v>-27.3</v>
      </c>
      <c r="AN9" s="14">
        <f>'Data (2)'!AN137</f>
        <v>-8.9</v>
      </c>
      <c r="AO9" s="14">
        <f>'Data (2)'!AO137</f>
        <v>-11.8</v>
      </c>
      <c r="AP9" s="14">
        <f>'Data (2)'!AP137</f>
        <v>-9.8000000000000007</v>
      </c>
      <c r="AQ9" s="14">
        <f>'Data (2)'!AQ137</f>
        <v>-8.7999999999999936</v>
      </c>
      <c r="AR9" s="28">
        <f>SUM(AN9:AQ9)</f>
        <v>-39.299999999999997</v>
      </c>
      <c r="AS9" s="14">
        <f>'Data (2)'!AS137</f>
        <v>-14.2</v>
      </c>
      <c r="AT9" s="14">
        <f>'Data (2)'!AT137</f>
        <v>-14.1</v>
      </c>
      <c r="AU9" s="14">
        <f>'Data (2)'!AU137</f>
        <v>-14.9</v>
      </c>
      <c r="AV9" s="14">
        <f>'Data (2)'!AV137</f>
        <v>-12.2</v>
      </c>
      <c r="AW9" s="28">
        <f>SUM(AS9:AV9)</f>
        <v>-55.399999999999991</v>
      </c>
      <c r="AX9" s="14">
        <f>'Data (2)'!AX137</f>
        <v>-16</v>
      </c>
      <c r="AY9" s="14">
        <f>'Data (2)'!AY137</f>
        <v>-15.1</v>
      </c>
      <c r="AZ9" s="14">
        <f>'Data (2)'!AZ137</f>
        <v>-14.9</v>
      </c>
      <c r="BA9" s="6">
        <f>'Data (2)'!BA137</f>
        <v>-12.8</v>
      </c>
      <c r="BB9" s="7">
        <f>SUM(AX9:BA9)</f>
        <v>-58.8</v>
      </c>
      <c r="BC9" s="6">
        <f>'Data (2)'!BC137</f>
        <v>-17.3</v>
      </c>
      <c r="BD9" s="6">
        <f>'Data (2)'!BD137</f>
        <v>-18.5</v>
      </c>
      <c r="BE9" s="6">
        <f>'Data (2)'!BE137</f>
        <v>-17.2</v>
      </c>
      <c r="BF9" s="6">
        <f>'Data (2)'!BF137</f>
        <v>-16.8</v>
      </c>
      <c r="BG9" s="7">
        <f>SUM(BC9:BF9)</f>
        <v>-69.8</v>
      </c>
      <c r="BH9" s="6">
        <f>'Data (2)'!BH137</f>
        <v>-18.600000000000001</v>
      </c>
      <c r="BI9" s="6">
        <f>'Data (2)'!BI137</f>
        <v>-18.7</v>
      </c>
      <c r="BJ9" s="6">
        <f>'Data (2)'!BJ137</f>
        <v>-16.8</v>
      </c>
      <c r="BK9" s="6">
        <f>'Data (2)'!BK137</f>
        <v>-14.4</v>
      </c>
      <c r="BL9" s="7">
        <f>SUM(BH9:BK9)</f>
        <v>-68.5</v>
      </c>
      <c r="BM9" s="6">
        <f>'Data (2)'!BM137</f>
        <v>-20.5</v>
      </c>
      <c r="BN9" s="6">
        <f>'Data (2)'!BN137</f>
        <v>-19.899999999999999</v>
      </c>
      <c r="BO9" s="6">
        <f>'Data (2)'!BO137</f>
        <v>-15.9</v>
      </c>
      <c r="BP9" s="6">
        <f>'Data (2)'!BP137</f>
        <v>-22.6</v>
      </c>
      <c r="BQ9" s="7">
        <f>SUM(BM9:BP9)</f>
        <v>-78.900000000000006</v>
      </c>
      <c r="BR9" s="6">
        <f>'Data (2)'!BR137</f>
        <v>-18.100000000000001</v>
      </c>
      <c r="BS9" s="6">
        <f>'Data (2)'!BS137</f>
        <v>-18.899999999999999</v>
      </c>
      <c r="BT9" s="6">
        <f>'Data (2)'!BT137</f>
        <v>-16.2</v>
      </c>
      <c r="BU9" s="6">
        <f>'Data (2)'!BU137</f>
        <v>-14.5</v>
      </c>
      <c r="BV9" s="7">
        <f>SUM(BR9:BU9)</f>
        <v>-67.7</v>
      </c>
      <c r="BW9" s="6">
        <f>'Data (2)'!BW137</f>
        <v>-17.100000000000001</v>
      </c>
      <c r="BX9" s="6">
        <f>'Data (2)'!BX137</f>
        <v>-15.1</v>
      </c>
      <c r="BY9" s="6">
        <f>'Data (2)'!BY137</f>
        <v>-16.399999999999999</v>
      </c>
      <c r="BZ9" s="6">
        <f>'Data (2)'!BZ137</f>
        <v>-15.4</v>
      </c>
      <c r="CA9" s="7">
        <f>SUM(BW9:BZ9)</f>
        <v>-64</v>
      </c>
      <c r="CB9" s="6">
        <f>'Data (2)'!CB137</f>
        <v>-19.2</v>
      </c>
      <c r="CC9" s="6">
        <f>'Data (2)'!CC137</f>
        <v>-20.3</v>
      </c>
      <c r="CD9" s="6">
        <f>'Data (2)'!CD137</f>
        <v>-17.2</v>
      </c>
      <c r="CE9" s="6">
        <f>'Data (2)'!CE137</f>
        <v>-18</v>
      </c>
      <c r="CF9" s="7">
        <f>SUM(CB9:CE9)</f>
        <v>-74.7</v>
      </c>
      <c r="CG9" s="6">
        <f>'Data (2)'!CG137</f>
        <v>-19.3</v>
      </c>
      <c r="CH9" s="6">
        <f>'Data (2)'!CH137</f>
        <v>-21.5</v>
      </c>
      <c r="CI9" s="6">
        <f>'Data (2)'!CI137</f>
        <v>-23.3</v>
      </c>
      <c r="CJ9" s="6">
        <f>'Data (2)'!CJ137</f>
        <v>-20.100000000000001</v>
      </c>
      <c r="CK9" s="7">
        <f>SUM(CG9:CJ9)</f>
        <v>-84.199999999999989</v>
      </c>
      <c r="CL9" s="6">
        <f>'Data (2)'!CL137</f>
        <v>-25.3</v>
      </c>
      <c r="CM9" s="14">
        <f>CM28</f>
        <v>-20</v>
      </c>
      <c r="CN9" s="14">
        <f>CN28</f>
        <v>-19</v>
      </c>
      <c r="CO9" s="14">
        <f>CO28</f>
        <v>-22</v>
      </c>
      <c r="CP9" s="7">
        <f>SUM(CL9:CO9)</f>
        <v>-86.3</v>
      </c>
      <c r="CQ9" s="28">
        <f>CQ28</f>
        <v>-81</v>
      </c>
      <c r="CR9" s="28">
        <f>CR28</f>
        <v>-82</v>
      </c>
      <c r="CS9" s="28">
        <f>CS28</f>
        <v>-83</v>
      </c>
    </row>
    <row r="10" spans="2:99" s="14" customFormat="1">
      <c r="B10" s="137" t="s">
        <v>93</v>
      </c>
      <c r="C10" s="136"/>
      <c r="D10" s="136"/>
      <c r="E10" s="136"/>
      <c r="F10" s="136"/>
      <c r="G10" s="136"/>
      <c r="H10" s="136"/>
      <c r="I10" s="136"/>
      <c r="J10" s="137"/>
      <c r="K10" s="137"/>
      <c r="L10" s="137"/>
      <c r="M10" s="137"/>
      <c r="N10" s="136"/>
      <c r="O10" s="137"/>
      <c r="P10" s="137"/>
      <c r="Q10" s="137"/>
      <c r="R10" s="137"/>
      <c r="S10" s="136"/>
      <c r="T10" s="137"/>
      <c r="U10" s="137"/>
      <c r="V10" s="137"/>
      <c r="W10" s="137"/>
      <c r="X10" s="136"/>
      <c r="Y10" s="137">
        <f t="shared" ref="Y10:BD10" si="2">SUM(Y7:Y9)</f>
        <v>282.59999999999997</v>
      </c>
      <c r="Z10" s="137">
        <f t="shared" si="2"/>
        <v>289.8</v>
      </c>
      <c r="AA10" s="137">
        <f t="shared" si="2"/>
        <v>281.10000000000002</v>
      </c>
      <c r="AB10" s="137">
        <f t="shared" si="2"/>
        <v>317.59999999999997</v>
      </c>
      <c r="AC10" s="136">
        <f t="shared" si="2"/>
        <v>1171.0999999999999</v>
      </c>
      <c r="AD10" s="137">
        <f t="shared" si="2"/>
        <v>344.49999999999994</v>
      </c>
      <c r="AE10" s="137">
        <f t="shared" si="2"/>
        <v>359.5</v>
      </c>
      <c r="AF10" s="137">
        <f t="shared" si="2"/>
        <v>331.40000000000003</v>
      </c>
      <c r="AG10" s="137">
        <f t="shared" si="2"/>
        <v>289.50000000000011</v>
      </c>
      <c r="AH10" s="136">
        <f t="shared" si="2"/>
        <v>1324.9</v>
      </c>
      <c r="AI10" s="137">
        <f t="shared" si="2"/>
        <v>307.29999999999995</v>
      </c>
      <c r="AJ10" s="137">
        <f t="shared" si="2"/>
        <v>277.3</v>
      </c>
      <c r="AK10" s="137">
        <f t="shared" si="2"/>
        <v>257.09999999999997</v>
      </c>
      <c r="AL10" s="137">
        <f t="shared" si="2"/>
        <v>266.60000000000002</v>
      </c>
      <c r="AM10" s="136">
        <f t="shared" si="2"/>
        <v>1108.3000000000002</v>
      </c>
      <c r="AN10" s="137">
        <f t="shared" si="2"/>
        <v>263.00000000000006</v>
      </c>
      <c r="AO10" s="137">
        <f t="shared" si="2"/>
        <v>305.09999999999997</v>
      </c>
      <c r="AP10" s="137">
        <f t="shared" si="2"/>
        <v>294.5</v>
      </c>
      <c r="AQ10" s="137">
        <f t="shared" si="2"/>
        <v>311</v>
      </c>
      <c r="AR10" s="136">
        <f t="shared" si="2"/>
        <v>1173.6000000000001</v>
      </c>
      <c r="AS10" s="137">
        <f t="shared" si="2"/>
        <v>331.59999999999997</v>
      </c>
      <c r="AT10" s="137">
        <f t="shared" si="2"/>
        <v>353.7</v>
      </c>
      <c r="AU10" s="137">
        <f t="shared" si="2"/>
        <v>351.8</v>
      </c>
      <c r="AV10" s="137">
        <f t="shared" si="2"/>
        <v>355.3</v>
      </c>
      <c r="AW10" s="136">
        <f t="shared" si="2"/>
        <v>1392.3999999999999</v>
      </c>
      <c r="AX10" s="137">
        <f t="shared" si="2"/>
        <v>400.1</v>
      </c>
      <c r="AY10" s="137">
        <f t="shared" si="2"/>
        <v>399.2</v>
      </c>
      <c r="AZ10" s="137">
        <f t="shared" si="2"/>
        <v>391.6</v>
      </c>
      <c r="BA10" s="137">
        <f t="shared" si="2"/>
        <v>387.3</v>
      </c>
      <c r="BB10" s="136">
        <f t="shared" si="2"/>
        <v>1578.2</v>
      </c>
      <c r="BC10" s="137">
        <f t="shared" si="2"/>
        <v>416.5</v>
      </c>
      <c r="BD10" s="137">
        <f t="shared" si="2"/>
        <v>422.6</v>
      </c>
      <c r="BE10" s="137">
        <f t="shared" ref="BE10:CJ10" si="3">SUM(BE7:BE9)</f>
        <v>412.3</v>
      </c>
      <c r="BF10" s="137">
        <f t="shared" si="3"/>
        <v>426.8</v>
      </c>
      <c r="BG10" s="136">
        <f t="shared" si="3"/>
        <v>1678.2</v>
      </c>
      <c r="BH10" s="137">
        <f t="shared" si="3"/>
        <v>461.7</v>
      </c>
      <c r="BI10" s="137">
        <f t="shared" si="3"/>
        <v>470.1</v>
      </c>
      <c r="BJ10" s="137">
        <f t="shared" si="3"/>
        <v>451.90000000000003</v>
      </c>
      <c r="BK10" s="137">
        <f t="shared" si="3"/>
        <v>471.8</v>
      </c>
      <c r="BL10" s="136">
        <f t="shared" si="3"/>
        <v>1855.5</v>
      </c>
      <c r="BM10" s="137">
        <f t="shared" si="3"/>
        <v>471.79999999999995</v>
      </c>
      <c r="BN10" s="137">
        <f t="shared" si="3"/>
        <v>475.7</v>
      </c>
      <c r="BO10" s="137">
        <f t="shared" si="3"/>
        <v>448.79999999999995</v>
      </c>
      <c r="BP10" s="137">
        <f t="shared" si="3"/>
        <v>464.9</v>
      </c>
      <c r="BQ10" s="136">
        <f t="shared" si="3"/>
        <v>1861.1999999999998</v>
      </c>
      <c r="BR10" s="137">
        <f t="shared" si="3"/>
        <v>497.69999999999993</v>
      </c>
      <c r="BS10" s="137">
        <f t="shared" si="3"/>
        <v>522.6</v>
      </c>
      <c r="BT10" s="137">
        <f t="shared" si="3"/>
        <v>500.49999999999994</v>
      </c>
      <c r="BU10" s="137">
        <f t="shared" si="3"/>
        <v>483.5</v>
      </c>
      <c r="BV10" s="136">
        <f t="shared" si="3"/>
        <v>2004.3</v>
      </c>
      <c r="BW10" s="137">
        <f t="shared" si="3"/>
        <v>478.8</v>
      </c>
      <c r="BX10" s="137">
        <f t="shared" si="3"/>
        <v>491.29999999999995</v>
      </c>
      <c r="BY10" s="137">
        <f t="shared" si="3"/>
        <v>491.5</v>
      </c>
      <c r="BZ10" s="137">
        <f t="shared" si="3"/>
        <v>511.70000000000005</v>
      </c>
      <c r="CA10" s="136">
        <f t="shared" si="3"/>
        <v>1973.2999999999997</v>
      </c>
      <c r="CB10" s="137">
        <f t="shared" si="3"/>
        <v>540.09999999999991</v>
      </c>
      <c r="CC10" s="137">
        <f t="shared" si="3"/>
        <v>547.50000000000011</v>
      </c>
      <c r="CD10" s="137">
        <f t="shared" si="3"/>
        <v>540.5</v>
      </c>
      <c r="CE10" s="137">
        <f t="shared" si="3"/>
        <v>561</v>
      </c>
      <c r="CF10" s="136">
        <f t="shared" si="3"/>
        <v>2189.1000000000004</v>
      </c>
      <c r="CG10" s="137">
        <f t="shared" si="3"/>
        <v>609.9</v>
      </c>
      <c r="CH10" s="137">
        <f t="shared" si="3"/>
        <v>609</v>
      </c>
      <c r="CI10" s="137">
        <f t="shared" si="3"/>
        <v>572.5</v>
      </c>
      <c r="CJ10" s="137">
        <f t="shared" si="3"/>
        <v>564.29999999999995</v>
      </c>
      <c r="CK10" s="136">
        <f t="shared" ref="CK10:CS10" si="4">SUM(CK7:CK9)</f>
        <v>2355.7000000000003</v>
      </c>
      <c r="CL10" s="137">
        <f t="shared" si="4"/>
        <v>541</v>
      </c>
      <c r="CM10" s="137">
        <f t="shared" si="4"/>
        <v>301.06600000000003</v>
      </c>
      <c r="CN10" s="137">
        <f t="shared" si="4"/>
        <v>351.483</v>
      </c>
      <c r="CO10" s="137">
        <f t="shared" si="4"/>
        <v>415.83699999999999</v>
      </c>
      <c r="CP10" s="136">
        <f t="shared" si="4"/>
        <v>1609.3860000000002</v>
      </c>
      <c r="CQ10" s="136">
        <f t="shared" si="4"/>
        <v>1760.6035199999999</v>
      </c>
      <c r="CR10" s="136">
        <f t="shared" si="4"/>
        <v>1921.5564921999999</v>
      </c>
      <c r="CS10" s="136">
        <f t="shared" si="4"/>
        <v>2125.01199873</v>
      </c>
    </row>
    <row r="11" spans="2:99" s="14" customFormat="1">
      <c r="B11" s="13"/>
      <c r="C11" s="28"/>
      <c r="D11" s="28"/>
      <c r="E11" s="28"/>
      <c r="F11" s="28"/>
      <c r="G11" s="28"/>
      <c r="H11" s="28"/>
      <c r="I11" s="28"/>
      <c r="N11" s="28"/>
      <c r="S11" s="28"/>
      <c r="X11" s="28"/>
      <c r="AC11" s="28"/>
      <c r="AH11" s="28"/>
      <c r="AM11" s="28"/>
      <c r="AR11" s="28"/>
      <c r="AW11" s="28"/>
      <c r="BA11" s="6"/>
      <c r="BB11" s="7"/>
      <c r="BC11" s="6"/>
      <c r="BG11" s="28"/>
      <c r="BL11" s="28"/>
      <c r="BQ11" s="28"/>
      <c r="BV11" s="28"/>
      <c r="CA11" s="28"/>
      <c r="CF11" s="28"/>
      <c r="CK11" s="28"/>
      <c r="CP11" s="28"/>
      <c r="CQ11" s="28"/>
      <c r="CR11" s="28"/>
      <c r="CS11" s="28"/>
    </row>
    <row r="12" spans="2:99" s="14" customFormat="1">
      <c r="B12" s="15" t="s">
        <v>276</v>
      </c>
      <c r="C12" s="28"/>
      <c r="D12" s="28"/>
      <c r="E12" s="28"/>
      <c r="F12" s="28"/>
      <c r="G12" s="28"/>
      <c r="H12" s="28"/>
      <c r="I12" s="28"/>
      <c r="N12" s="28"/>
      <c r="S12" s="28"/>
      <c r="X12" s="28"/>
      <c r="AC12" s="28"/>
      <c r="AH12" s="28"/>
      <c r="AM12" s="28"/>
      <c r="AR12" s="28"/>
      <c r="AW12" s="28"/>
      <c r="AX12" s="106"/>
      <c r="BA12" s="6"/>
      <c r="BB12" s="7"/>
      <c r="BC12" s="106"/>
      <c r="BG12" s="28"/>
      <c r="BH12" s="106"/>
      <c r="BL12" s="28"/>
      <c r="BM12" s="106"/>
      <c r="BQ12" s="28"/>
      <c r="BV12" s="28"/>
      <c r="CA12" s="28"/>
      <c r="CF12" s="28"/>
      <c r="CK12" s="28"/>
      <c r="CP12" s="28"/>
      <c r="CQ12" s="28"/>
      <c r="CR12" s="28"/>
      <c r="CS12" s="28"/>
    </row>
    <row r="13" spans="2:99" s="14" customFormat="1">
      <c r="B13" s="108" t="s">
        <v>90</v>
      </c>
      <c r="C13" s="28"/>
      <c r="D13" s="28"/>
      <c r="E13" s="28"/>
      <c r="F13" s="28"/>
      <c r="G13" s="28"/>
      <c r="H13" s="28"/>
      <c r="I13" s="28"/>
      <c r="N13" s="28"/>
      <c r="S13" s="28"/>
      <c r="X13" s="28"/>
      <c r="Y13" s="14">
        <f>'Data (2)'!Y152</f>
        <v>104.1</v>
      </c>
      <c r="Z13" s="14">
        <f>'Data (2)'!Z152</f>
        <v>110.7</v>
      </c>
      <c r="AA13" s="14">
        <f>'Data (2)'!AA152</f>
        <v>110</v>
      </c>
      <c r="AB13" s="14">
        <f>'Data (2)'!AB152</f>
        <v>130.4</v>
      </c>
      <c r="AC13" s="28">
        <f>SUM(Y13:AB13)</f>
        <v>455.20000000000005</v>
      </c>
      <c r="AD13" s="14">
        <f>'Data (2)'!AD152</f>
        <v>143.60000000000002</v>
      </c>
      <c r="AE13" s="14">
        <f>'Data (2)'!AE152</f>
        <v>148.1</v>
      </c>
      <c r="AF13" s="14">
        <f>'Data (2)'!AF152</f>
        <v>131.9</v>
      </c>
      <c r="AG13" s="14">
        <f>'Data (2)'!AG152</f>
        <v>107.1</v>
      </c>
      <c r="AH13" s="28">
        <f>SUM(AD13:AG13)</f>
        <v>530.70000000000005</v>
      </c>
      <c r="AI13" s="14">
        <f>'Data (2)'!AI152</f>
        <v>109.3</v>
      </c>
      <c r="AJ13" s="14">
        <f>'Data (2)'!AJ152</f>
        <v>94.1</v>
      </c>
      <c r="AK13" s="14">
        <f>'Data (2)'!AK152</f>
        <v>86.4</v>
      </c>
      <c r="AL13" s="14">
        <f>'Data (2)'!AL152</f>
        <v>94.9</v>
      </c>
      <c r="AM13" s="28">
        <f>SUM(AI13:AL13)</f>
        <v>384.69999999999993</v>
      </c>
      <c r="AN13" s="14">
        <f>'Data (2)'!AN152</f>
        <v>109.3</v>
      </c>
      <c r="AO13" s="14">
        <f>'Data (2)'!AO152</f>
        <v>113.9</v>
      </c>
      <c r="AP13" s="14">
        <f>'Data (2)'!AP152</f>
        <v>110.3</v>
      </c>
      <c r="AQ13" s="6">
        <f>'Data (2)'!AQ152</f>
        <v>125.9</v>
      </c>
      <c r="AR13" s="28">
        <f>SUM(AN13:AQ13)</f>
        <v>459.4</v>
      </c>
      <c r="AS13" s="14">
        <f>'Data (2)'!AS152</f>
        <v>143.19999999999999</v>
      </c>
      <c r="AT13" s="11">
        <f>'Data (2)'!AT152</f>
        <v>150.9</v>
      </c>
      <c r="AU13" s="11">
        <f>'Data (2)'!AU152</f>
        <v>138.4</v>
      </c>
      <c r="AV13" s="11">
        <f>'Data (2)'!AV152</f>
        <v>153.6</v>
      </c>
      <c r="AW13" s="28">
        <f>SUM(AS13:AV13)</f>
        <v>586.1</v>
      </c>
      <c r="AX13" s="11">
        <f>'Data (2)'!AX152</f>
        <v>179.5</v>
      </c>
      <c r="AY13" s="11">
        <f>'Data (2)'!AY152</f>
        <v>172.4</v>
      </c>
      <c r="AZ13" s="11">
        <f>'Data (2)'!AZ152</f>
        <v>164.3</v>
      </c>
      <c r="BA13" s="6">
        <f>'Data (2)'!BA152</f>
        <v>169.5</v>
      </c>
      <c r="BB13" s="7">
        <f>SUM(AX13:BA13)</f>
        <v>685.7</v>
      </c>
      <c r="BC13" s="6">
        <f>'Data (2)'!BC152</f>
        <v>201.7</v>
      </c>
      <c r="BD13" s="6">
        <f>'Data (2)'!BD152</f>
        <v>200.7</v>
      </c>
      <c r="BE13" s="6">
        <f>'Data (2)'!BE152</f>
        <v>191.2</v>
      </c>
      <c r="BF13" s="6">
        <f>'Data (2)'!BF152</f>
        <v>210.7</v>
      </c>
      <c r="BG13" s="7">
        <f>SUM(BC13:BF13)</f>
        <v>804.3</v>
      </c>
      <c r="BH13" s="6">
        <f>'Data (2)'!BH152</f>
        <v>224.8</v>
      </c>
      <c r="BI13" s="6">
        <f>'Data (2)'!BI152</f>
        <v>225.5</v>
      </c>
      <c r="BJ13" s="6">
        <f>'Data (2)'!BJ152</f>
        <v>212.3</v>
      </c>
      <c r="BK13" s="6">
        <f>'Data (2)'!BK152</f>
        <v>225</v>
      </c>
      <c r="BL13" s="7">
        <f>SUM(BH13:BK13)</f>
        <v>887.6</v>
      </c>
      <c r="BM13" s="6">
        <f>'Data (2)'!BM152</f>
        <v>237.8</v>
      </c>
      <c r="BN13" s="6">
        <f>'Data (2)'!BN152</f>
        <v>244</v>
      </c>
      <c r="BO13" s="6">
        <f>'Data (2)'!BO152</f>
        <v>230.7</v>
      </c>
      <c r="BP13" s="6">
        <f>'Data (2)'!BP152</f>
        <v>247.2</v>
      </c>
      <c r="BQ13" s="7">
        <f>SUM(BM13:BP13)</f>
        <v>959.7</v>
      </c>
      <c r="BR13" s="6">
        <f>'Data (2)'!BR152</f>
        <v>264.3</v>
      </c>
      <c r="BS13" s="6">
        <f>'Data (2)'!BS152</f>
        <v>288</v>
      </c>
      <c r="BT13" s="6">
        <f>'Data (2)'!BT152</f>
        <v>276</v>
      </c>
      <c r="BU13" s="6">
        <f>'Data (2)'!BU152</f>
        <v>272.2</v>
      </c>
      <c r="BV13" s="7">
        <f>SUM(BR13:BU13)</f>
        <v>1100.5</v>
      </c>
      <c r="BW13" s="6">
        <f>'Data (2)'!BW152</f>
        <v>269.5</v>
      </c>
      <c r="BX13" s="6">
        <f>'Data (2)'!BX152</f>
        <v>273.8</v>
      </c>
      <c r="BY13" s="6">
        <f>'Data (2)'!BY152</f>
        <v>277.10000000000002</v>
      </c>
      <c r="BZ13" s="6">
        <f>'Data (2)'!BZ152</f>
        <v>280.7</v>
      </c>
      <c r="CA13" s="7">
        <f>SUM(BW13:BZ13)</f>
        <v>1101.0999999999999</v>
      </c>
      <c r="CB13" s="6">
        <f>'Data (2)'!CB152</f>
        <v>303.2</v>
      </c>
      <c r="CC13" s="6">
        <f>'Data (2)'!CC152</f>
        <v>300.60000000000002</v>
      </c>
      <c r="CD13" s="6">
        <f>'Data (2)'!CD152</f>
        <v>285.7</v>
      </c>
      <c r="CE13" s="6">
        <f>'Data (2)'!CE152</f>
        <v>293.5</v>
      </c>
      <c r="CF13" s="7">
        <f>SUM(CB13:CE13)</f>
        <v>1183</v>
      </c>
      <c r="CG13" s="6">
        <f>'Data (2)'!CG152</f>
        <v>323.39999999999998</v>
      </c>
      <c r="CH13" s="6">
        <f>'Data (2)'!CH152</f>
        <v>323.7</v>
      </c>
      <c r="CI13" s="6">
        <f>'Data (2)'!CI152</f>
        <v>294.5</v>
      </c>
      <c r="CJ13" s="6">
        <f>'Data (2)'!CJ152</f>
        <v>293</v>
      </c>
      <c r="CK13" s="7">
        <f>SUM(CG13:CJ13)</f>
        <v>1234.5999999999999</v>
      </c>
      <c r="CL13" s="6">
        <f>'Data (2)'!CL152</f>
        <v>300.2</v>
      </c>
      <c r="CM13" s="14">
        <f>CM15*CM44</f>
        <v>97.461000000000013</v>
      </c>
      <c r="CN13" s="14">
        <f>CN15*CN44</f>
        <v>135.45089999999999</v>
      </c>
      <c r="CO13" s="14">
        <f>CO15*CO44</f>
        <v>177.74640000000002</v>
      </c>
      <c r="CP13" s="7">
        <f>SUM(CL13:CO13)</f>
        <v>710.85829999999999</v>
      </c>
      <c r="CQ13" s="28">
        <f>CQ15*CQ44</f>
        <v>783.90393899999992</v>
      </c>
      <c r="CR13" s="28">
        <f>CR15*CR44</f>
        <v>877.97241168000005</v>
      </c>
      <c r="CS13" s="28">
        <f>CS15*CS44</f>
        <v>1009.668273432</v>
      </c>
    </row>
    <row r="14" spans="2:99" s="14" customFormat="1">
      <c r="B14" s="108" t="s">
        <v>91</v>
      </c>
      <c r="C14" s="28"/>
      <c r="D14" s="28"/>
      <c r="E14" s="28"/>
      <c r="F14" s="28"/>
      <c r="G14" s="28"/>
      <c r="H14" s="28"/>
      <c r="I14" s="28"/>
      <c r="N14" s="28"/>
      <c r="S14" s="28"/>
      <c r="X14" s="28"/>
      <c r="Y14" s="14">
        <f>'Data (2)'!Y153</f>
        <v>39.9</v>
      </c>
      <c r="Z14" s="14">
        <f>'Data (2)'!Z153</f>
        <v>44</v>
      </c>
      <c r="AA14" s="14">
        <f>'Data (2)'!AA153</f>
        <v>42.8</v>
      </c>
      <c r="AB14" s="14">
        <f>'Data (2)'!AB153</f>
        <v>39.9</v>
      </c>
      <c r="AC14" s="28">
        <f>SUM(Y14:AB14)</f>
        <v>166.6</v>
      </c>
      <c r="AD14" s="14">
        <f>'Data (2)'!AD153</f>
        <v>48.3</v>
      </c>
      <c r="AE14" s="14">
        <f>'Data (2)'!AE153</f>
        <v>50.6</v>
      </c>
      <c r="AF14" s="14">
        <f>'Data (2)'!AF153</f>
        <v>44.6</v>
      </c>
      <c r="AG14" s="14">
        <f>'Data (2)'!AG153</f>
        <v>36.1</v>
      </c>
      <c r="AH14" s="28">
        <f>SUM(AD14:AG14)</f>
        <v>179.6</v>
      </c>
      <c r="AI14" s="14">
        <f>'Data (2)'!AI153</f>
        <v>44.5</v>
      </c>
      <c r="AJ14" s="14">
        <f>'Data (2)'!AJ153</f>
        <v>43.7</v>
      </c>
      <c r="AK14" s="14">
        <f>'Data (2)'!AK153</f>
        <v>41.1</v>
      </c>
      <c r="AL14" s="14">
        <f>'Data (2)'!AL153</f>
        <v>42.2</v>
      </c>
      <c r="AM14" s="28">
        <f>SUM(AI14:AL14)</f>
        <v>171.5</v>
      </c>
      <c r="AN14" s="14">
        <f>'Data (2)'!AN153</f>
        <v>42.7</v>
      </c>
      <c r="AO14" s="14">
        <f>'Data (2)'!AO153</f>
        <v>47.1</v>
      </c>
      <c r="AP14" s="14">
        <f>'Data (2)'!AP153</f>
        <v>47.3</v>
      </c>
      <c r="AQ14" s="6">
        <f>'Data (2)'!AQ153</f>
        <v>48.2</v>
      </c>
      <c r="AR14" s="28">
        <f>SUM(AN14:AQ14)</f>
        <v>185.3</v>
      </c>
      <c r="AS14" s="14">
        <f>'Data (2)'!AS153</f>
        <v>54.4</v>
      </c>
      <c r="AT14" s="11">
        <f>'Data (2)'!AT153</f>
        <v>56.9</v>
      </c>
      <c r="AU14" s="11">
        <f>'Data (2)'!AU153</f>
        <v>69</v>
      </c>
      <c r="AV14" s="11">
        <f>'Data (2)'!AV153</f>
        <v>57.1</v>
      </c>
      <c r="AW14" s="28">
        <f>SUM(AS14:AV14)</f>
        <v>237.4</v>
      </c>
      <c r="AX14" s="11">
        <f>'Data (2)'!AX153</f>
        <v>62.8</v>
      </c>
      <c r="AY14" s="11">
        <f>'Data (2)'!AY153</f>
        <v>61.1</v>
      </c>
      <c r="AZ14" s="11">
        <f>'Data (2)'!AZ153</f>
        <v>69.8</v>
      </c>
      <c r="BA14" s="6">
        <f>'Data (2)'!BA153</f>
        <v>64.7</v>
      </c>
      <c r="BB14" s="7">
        <f>SUM(AX14:BA14)</f>
        <v>258.39999999999998</v>
      </c>
      <c r="BC14" s="6">
        <f>'Data (2)'!BC153</f>
        <v>67.2</v>
      </c>
      <c r="BD14" s="6">
        <f>'Data (2)'!BD153</f>
        <v>69.3</v>
      </c>
      <c r="BE14" s="6">
        <f>'Data (2)'!BE153</f>
        <v>70.8</v>
      </c>
      <c r="BF14" s="6">
        <f>'Data (2)'!BF153</f>
        <v>72.900000000000006</v>
      </c>
      <c r="BG14" s="7">
        <f>SUM(BC14:BF14)</f>
        <v>280.20000000000005</v>
      </c>
      <c r="BH14" s="6">
        <f>'Data (2)'!BH153</f>
        <v>78.400000000000006</v>
      </c>
      <c r="BI14" s="6">
        <f>'Data (2)'!BI153</f>
        <v>82.7</v>
      </c>
      <c r="BJ14" s="6">
        <f>'Data (2)'!BJ153</f>
        <v>84.2</v>
      </c>
      <c r="BK14" s="6">
        <f>'Data (2)'!BK153</f>
        <v>82.4</v>
      </c>
      <c r="BL14" s="7">
        <f>SUM(BH14:BK14)</f>
        <v>327.70000000000005</v>
      </c>
      <c r="BM14" s="6">
        <f>'Data (2)'!BM153</f>
        <v>82.5</v>
      </c>
      <c r="BN14" s="6">
        <f>'Data (2)'!BN153</f>
        <v>80.7</v>
      </c>
      <c r="BO14" s="6">
        <f>'Data (2)'!BO153</f>
        <v>83.8</v>
      </c>
      <c r="BP14" s="6">
        <f>'Data (2)'!BP153</f>
        <v>79.2</v>
      </c>
      <c r="BQ14" s="7">
        <f>SUM(BM14:BP14)</f>
        <v>326.2</v>
      </c>
      <c r="BR14" s="6">
        <f>'Data (2)'!BR153</f>
        <v>86</v>
      </c>
      <c r="BS14" s="6">
        <f>'Data (2)'!BS153</f>
        <v>80.5</v>
      </c>
      <c r="BT14" s="6">
        <f>'Data (2)'!BT153</f>
        <v>84.6</v>
      </c>
      <c r="BU14" s="6">
        <f>'Data (2)'!BU153</f>
        <v>77.7</v>
      </c>
      <c r="BV14" s="7">
        <f>SUM(BR14:BU14)</f>
        <v>328.8</v>
      </c>
      <c r="BW14" s="6">
        <f>'Data (2)'!BW153</f>
        <v>77.7</v>
      </c>
      <c r="BX14" s="6">
        <f>'Data (2)'!BX153</f>
        <v>75.2</v>
      </c>
      <c r="BY14" s="6">
        <f>'Data (2)'!BY153</f>
        <v>75.5</v>
      </c>
      <c r="BZ14" s="6">
        <f>'Data (2)'!BZ153</f>
        <v>80.400000000000006</v>
      </c>
      <c r="CA14" s="7">
        <f>SUM(BW14:BZ14)</f>
        <v>308.8</v>
      </c>
      <c r="CB14" s="6">
        <f>'Data (2)'!CB153</f>
        <v>79.5</v>
      </c>
      <c r="CC14" s="6">
        <f>'Data (2)'!CC153</f>
        <v>83.2</v>
      </c>
      <c r="CD14" s="6">
        <f>'Data (2)'!CD153</f>
        <v>87.4</v>
      </c>
      <c r="CE14" s="6">
        <f>'Data (2)'!CE153</f>
        <v>91.9</v>
      </c>
      <c r="CF14" s="7">
        <f>SUM(CB14:CE14)</f>
        <v>342</v>
      </c>
      <c r="CG14" s="6">
        <f>'Data (2)'!CG153</f>
        <v>92.1</v>
      </c>
      <c r="CH14" s="6">
        <f>'Data (2)'!CH153</f>
        <v>92.8</v>
      </c>
      <c r="CI14" s="6">
        <f>'Data (2)'!CI153</f>
        <v>91.4</v>
      </c>
      <c r="CJ14" s="6">
        <f>'Data (2)'!CJ153</f>
        <v>86.800000000000068</v>
      </c>
      <c r="CK14" s="7">
        <f>SUM(CG14:CJ14)</f>
        <v>363.1</v>
      </c>
      <c r="CL14" s="6">
        <f>'Data (2)'!CL153</f>
        <v>62.7</v>
      </c>
      <c r="CM14" s="14">
        <f>CM15*CM45</f>
        <v>27.489000000000001</v>
      </c>
      <c r="CN14" s="14">
        <f>CN15*CN45</f>
        <v>38.20409999999999</v>
      </c>
      <c r="CO14" s="14">
        <f>CO15*CO45</f>
        <v>50.133600000000001</v>
      </c>
      <c r="CP14" s="7">
        <f>SUM(CL14:CO14)</f>
        <v>178.52670000000001</v>
      </c>
      <c r="CQ14" s="28">
        <f>CQ15*CQ45</f>
        <v>221.10111099999995</v>
      </c>
      <c r="CR14" s="28">
        <f>CR15*CR45</f>
        <v>247.63324431999996</v>
      </c>
      <c r="CS14" s="28">
        <f>CS15*CS45</f>
        <v>284.77823096799995</v>
      </c>
    </row>
    <row r="15" spans="2:99" s="14" customFormat="1">
      <c r="B15" s="132" t="s">
        <v>94</v>
      </c>
      <c r="C15" s="130">
        <f>'Data (2)'!C154</f>
        <v>597.4</v>
      </c>
      <c r="D15" s="130">
        <f>'Data (2)'!D154</f>
        <v>670.1</v>
      </c>
      <c r="E15" s="130">
        <f>'Data (2)'!E154</f>
        <v>641.6</v>
      </c>
      <c r="F15" s="130">
        <f>'Data (2)'!F154</f>
        <v>528.79999999999995</v>
      </c>
      <c r="G15" s="130">
        <f>'Data (2)'!G154</f>
        <v>538.9</v>
      </c>
      <c r="H15" s="130">
        <f>'Data (2)'!H154</f>
        <v>391.1</v>
      </c>
      <c r="I15" s="130">
        <f>'Data (2)'!I154</f>
        <v>389.9</v>
      </c>
      <c r="J15" s="132">
        <f>'Data (2)'!J154</f>
        <v>110.5</v>
      </c>
      <c r="K15" s="132">
        <f>'Data (2)'!K154</f>
        <v>114.6</v>
      </c>
      <c r="L15" s="132">
        <f>'Data (2)'!L154</f>
        <v>116.5</v>
      </c>
      <c r="M15" s="132">
        <f>'Data (2)'!M154</f>
        <v>120.435</v>
      </c>
      <c r="N15" s="130">
        <f>'Data (2)'!N154</f>
        <v>462.03500000000003</v>
      </c>
      <c r="O15" s="132">
        <f>'Data (2)'!O154</f>
        <v>131.19999999999999</v>
      </c>
      <c r="P15" s="132">
        <f>'Data (2)'!P154</f>
        <v>143.9</v>
      </c>
      <c r="Q15" s="132">
        <f>'Data (2)'!Q154</f>
        <v>124.8</v>
      </c>
      <c r="R15" s="132">
        <f>'Data (2)'!R154</f>
        <v>129.49999999999994</v>
      </c>
      <c r="S15" s="130">
        <f>'Data (2)'!S154</f>
        <v>529.4</v>
      </c>
      <c r="T15" s="132">
        <f>'Data (2)'!T154</f>
        <v>153.19999999999999</v>
      </c>
      <c r="U15" s="132">
        <f>'Data (2)'!U154</f>
        <v>160.19999999999999</v>
      </c>
      <c r="V15" s="132">
        <f>'Data (2)'!V154</f>
        <v>149.9</v>
      </c>
      <c r="W15" s="132">
        <f>'Data (2)'!W154</f>
        <v>154.70000000000005</v>
      </c>
      <c r="X15" s="130">
        <f>'Data (2)'!X154</f>
        <v>618</v>
      </c>
      <c r="Y15" s="132">
        <f t="shared" ref="Y15:BD15" si="5">SUM(Y13:Y14)</f>
        <v>144</v>
      </c>
      <c r="Z15" s="132">
        <f t="shared" si="5"/>
        <v>154.69999999999999</v>
      </c>
      <c r="AA15" s="132">
        <f t="shared" si="5"/>
        <v>152.80000000000001</v>
      </c>
      <c r="AB15" s="132">
        <f t="shared" si="5"/>
        <v>170.3</v>
      </c>
      <c r="AC15" s="130">
        <f t="shared" si="5"/>
        <v>621.80000000000007</v>
      </c>
      <c r="AD15" s="132">
        <f t="shared" si="5"/>
        <v>191.90000000000003</v>
      </c>
      <c r="AE15" s="132">
        <f t="shared" si="5"/>
        <v>198.7</v>
      </c>
      <c r="AF15" s="132">
        <f t="shared" si="5"/>
        <v>176.5</v>
      </c>
      <c r="AG15" s="132">
        <f t="shared" si="5"/>
        <v>143.19999999999999</v>
      </c>
      <c r="AH15" s="130">
        <f t="shared" si="5"/>
        <v>710.30000000000007</v>
      </c>
      <c r="AI15" s="132">
        <f t="shared" si="5"/>
        <v>153.80000000000001</v>
      </c>
      <c r="AJ15" s="132">
        <f t="shared" si="5"/>
        <v>137.80000000000001</v>
      </c>
      <c r="AK15" s="132">
        <f t="shared" si="5"/>
        <v>127.5</v>
      </c>
      <c r="AL15" s="132">
        <f t="shared" si="5"/>
        <v>137.10000000000002</v>
      </c>
      <c r="AM15" s="130">
        <f t="shared" si="5"/>
        <v>556.19999999999993</v>
      </c>
      <c r="AN15" s="132">
        <f t="shared" si="5"/>
        <v>152</v>
      </c>
      <c r="AO15" s="132">
        <f t="shared" si="5"/>
        <v>161</v>
      </c>
      <c r="AP15" s="132">
        <f t="shared" si="5"/>
        <v>157.6</v>
      </c>
      <c r="AQ15" s="132">
        <f t="shared" si="5"/>
        <v>174.10000000000002</v>
      </c>
      <c r="AR15" s="130">
        <f t="shared" si="5"/>
        <v>644.70000000000005</v>
      </c>
      <c r="AS15" s="132">
        <f t="shared" si="5"/>
        <v>197.6</v>
      </c>
      <c r="AT15" s="132">
        <f t="shared" si="5"/>
        <v>207.8</v>
      </c>
      <c r="AU15" s="133">
        <f t="shared" si="5"/>
        <v>207.4</v>
      </c>
      <c r="AV15" s="132">
        <f t="shared" si="5"/>
        <v>210.7</v>
      </c>
      <c r="AW15" s="130">
        <f t="shared" si="5"/>
        <v>823.5</v>
      </c>
      <c r="AX15" s="132">
        <f t="shared" si="5"/>
        <v>242.3</v>
      </c>
      <c r="AY15" s="132">
        <f t="shared" si="5"/>
        <v>233.5</v>
      </c>
      <c r="AZ15" s="132">
        <f t="shared" si="5"/>
        <v>234.10000000000002</v>
      </c>
      <c r="BA15" s="132">
        <f t="shared" si="5"/>
        <v>234.2</v>
      </c>
      <c r="BB15" s="130">
        <f t="shared" si="5"/>
        <v>944.1</v>
      </c>
      <c r="BC15" s="132">
        <f t="shared" si="5"/>
        <v>268.89999999999998</v>
      </c>
      <c r="BD15" s="132">
        <f t="shared" si="5"/>
        <v>270</v>
      </c>
      <c r="BE15" s="132">
        <f t="shared" ref="BE15:CJ15" si="6">SUM(BE13:BE14)</f>
        <v>262</v>
      </c>
      <c r="BF15" s="132">
        <f t="shared" si="6"/>
        <v>283.60000000000002</v>
      </c>
      <c r="BG15" s="130">
        <f t="shared" si="6"/>
        <v>1084.5</v>
      </c>
      <c r="BH15" s="132">
        <f t="shared" si="6"/>
        <v>303.20000000000005</v>
      </c>
      <c r="BI15" s="132">
        <f t="shared" si="6"/>
        <v>308.2</v>
      </c>
      <c r="BJ15" s="132">
        <f t="shared" si="6"/>
        <v>296.5</v>
      </c>
      <c r="BK15" s="132">
        <f t="shared" si="6"/>
        <v>307.39999999999998</v>
      </c>
      <c r="BL15" s="130">
        <f t="shared" si="6"/>
        <v>1215.3000000000002</v>
      </c>
      <c r="BM15" s="132">
        <f t="shared" si="6"/>
        <v>320.3</v>
      </c>
      <c r="BN15" s="132">
        <f t="shared" si="6"/>
        <v>324.7</v>
      </c>
      <c r="BO15" s="132">
        <f t="shared" si="6"/>
        <v>314.5</v>
      </c>
      <c r="BP15" s="132">
        <f t="shared" si="6"/>
        <v>326.39999999999998</v>
      </c>
      <c r="BQ15" s="130">
        <f t="shared" si="6"/>
        <v>1285.9000000000001</v>
      </c>
      <c r="BR15" s="132">
        <f t="shared" si="6"/>
        <v>350.3</v>
      </c>
      <c r="BS15" s="132">
        <f t="shared" si="6"/>
        <v>368.5</v>
      </c>
      <c r="BT15" s="132">
        <f t="shared" si="6"/>
        <v>360.6</v>
      </c>
      <c r="BU15" s="132">
        <f t="shared" si="6"/>
        <v>349.9</v>
      </c>
      <c r="BV15" s="130">
        <f t="shared" si="6"/>
        <v>1429.3</v>
      </c>
      <c r="BW15" s="132">
        <f t="shared" si="6"/>
        <v>347.2</v>
      </c>
      <c r="BX15" s="132">
        <f t="shared" si="6"/>
        <v>349</v>
      </c>
      <c r="BY15" s="132">
        <f t="shared" si="6"/>
        <v>352.6</v>
      </c>
      <c r="BZ15" s="132">
        <f t="shared" si="6"/>
        <v>361.1</v>
      </c>
      <c r="CA15" s="130">
        <f t="shared" si="6"/>
        <v>1409.8999999999999</v>
      </c>
      <c r="CB15" s="132">
        <f t="shared" si="6"/>
        <v>382.7</v>
      </c>
      <c r="CC15" s="132">
        <f t="shared" si="6"/>
        <v>383.8</v>
      </c>
      <c r="CD15" s="132">
        <f t="shared" si="6"/>
        <v>373.1</v>
      </c>
      <c r="CE15" s="132">
        <f t="shared" si="6"/>
        <v>385.4</v>
      </c>
      <c r="CF15" s="130">
        <f t="shared" si="6"/>
        <v>1525</v>
      </c>
      <c r="CG15" s="132">
        <f t="shared" si="6"/>
        <v>415.5</v>
      </c>
      <c r="CH15" s="132">
        <f t="shared" si="6"/>
        <v>416.5</v>
      </c>
      <c r="CI15" s="132">
        <f t="shared" si="6"/>
        <v>385.9</v>
      </c>
      <c r="CJ15" s="132">
        <f t="shared" si="6"/>
        <v>379.80000000000007</v>
      </c>
      <c r="CK15" s="130">
        <f t="shared" ref="CK15:CL15" si="7">SUM(CK13:CK14)</f>
        <v>1597.6999999999998</v>
      </c>
      <c r="CL15" s="132">
        <f t="shared" si="7"/>
        <v>362.9</v>
      </c>
      <c r="CM15" s="131">
        <f>CH15*(1+CM31)</f>
        <v>124.95000000000002</v>
      </c>
      <c r="CN15" s="131">
        <f>CI15*(1+CN31)</f>
        <v>173.65499999999997</v>
      </c>
      <c r="CO15" s="131">
        <f>CJ15*(1+CO31)</f>
        <v>227.88000000000002</v>
      </c>
      <c r="CP15" s="130">
        <f>SUM(CP13:CP14)</f>
        <v>889.38499999999999</v>
      </c>
      <c r="CQ15" s="129">
        <f>CP15*(1+CQ31)</f>
        <v>1005.0050499999999</v>
      </c>
      <c r="CR15" s="129">
        <f>CQ15*(1+CR31)</f>
        <v>1125.605656</v>
      </c>
      <c r="CS15" s="129">
        <f>CR15*(1+CS31)</f>
        <v>1294.4465043999999</v>
      </c>
      <c r="CU15" s="135"/>
    </row>
    <row r="16" spans="2:99" s="14" customFormat="1">
      <c r="B16" s="108" t="s">
        <v>90</v>
      </c>
      <c r="C16" s="28"/>
      <c r="D16" s="28"/>
      <c r="E16" s="28"/>
      <c r="F16" s="28"/>
      <c r="G16" s="28"/>
      <c r="H16" s="28"/>
      <c r="I16" s="28"/>
      <c r="N16" s="28"/>
      <c r="S16" s="28"/>
      <c r="X16" s="28"/>
      <c r="Y16" s="14">
        <f>'Data (2)'!Y156</f>
        <v>73.7</v>
      </c>
      <c r="Z16" s="14">
        <f>'Data (2)'!Z156</f>
        <v>75.599999999999994</v>
      </c>
      <c r="AA16" s="14">
        <f>'Data (2)'!AA156</f>
        <v>67.599999999999994</v>
      </c>
      <c r="AB16" s="14">
        <f>'Data (2)'!AB156</f>
        <v>75.400000000000006</v>
      </c>
      <c r="AC16" s="28">
        <f>SUM(Y16:AB16)</f>
        <v>292.3</v>
      </c>
      <c r="AD16" s="14">
        <f>'Data (2)'!AD156</f>
        <v>77.099999999999994</v>
      </c>
      <c r="AE16" s="14">
        <f>'Data (2)'!AE156</f>
        <v>84.7</v>
      </c>
      <c r="AF16" s="14">
        <f>'Data (2)'!AF156</f>
        <v>78.2</v>
      </c>
      <c r="AG16" s="14">
        <f>'Data (2)'!AG156</f>
        <v>68.7</v>
      </c>
      <c r="AH16" s="28">
        <f>SUM(AD16:AG16)</f>
        <v>308.7</v>
      </c>
      <c r="AI16" s="14">
        <f>'Data (2)'!AI156</f>
        <v>75.7</v>
      </c>
      <c r="AJ16" s="14">
        <f>'Data (2)'!AJ156</f>
        <v>64.400000000000006</v>
      </c>
      <c r="AK16" s="14">
        <f>'Data (2)'!AK156</f>
        <v>54.9</v>
      </c>
      <c r="AL16" s="14">
        <f>'Data (2)'!AL156</f>
        <v>56.3</v>
      </c>
      <c r="AM16" s="28">
        <f>SUM(AI16:AL16)</f>
        <v>251.3</v>
      </c>
      <c r="AN16" s="14">
        <f>'Data (2)'!AN156</f>
        <v>38</v>
      </c>
      <c r="AO16" s="14">
        <f>'Data (2)'!AO156</f>
        <v>64.3</v>
      </c>
      <c r="AP16" s="14">
        <f>'Data (2)'!AP156</f>
        <v>61.7</v>
      </c>
      <c r="AQ16" s="6">
        <f>'Data (2)'!AQ156</f>
        <v>51.8</v>
      </c>
      <c r="AR16" s="28">
        <f>SUM(AN16:AQ16)</f>
        <v>215.8</v>
      </c>
      <c r="AS16" s="14">
        <f>'Data (2)'!AS156</f>
        <v>53.2</v>
      </c>
      <c r="AT16" s="14">
        <f>'Data (2)'!AT156</f>
        <v>63.4</v>
      </c>
      <c r="AU16" s="14">
        <f>'Data (2)'!AU156</f>
        <v>63.3</v>
      </c>
      <c r="AV16" s="107">
        <f>'Data (2)'!AV156</f>
        <v>67.2</v>
      </c>
      <c r="AW16" s="28">
        <f>SUM(AS16:AV16)</f>
        <v>247.09999999999997</v>
      </c>
      <c r="AX16" s="14">
        <f>'Data (2)'!AX156</f>
        <v>72.8</v>
      </c>
      <c r="AY16" s="14">
        <f>'Data (2)'!AY156</f>
        <v>77.099999999999994</v>
      </c>
      <c r="AZ16" s="14">
        <f>'Data (2)'!AZ156</f>
        <v>66.900000000000006</v>
      </c>
      <c r="BA16" s="6">
        <f>'Data (2)'!BA156</f>
        <v>59.7</v>
      </c>
      <c r="BB16" s="7">
        <f>SUM(AX16:BA16)</f>
        <v>276.5</v>
      </c>
      <c r="BC16" s="6">
        <f>'Data (2)'!BC156</f>
        <v>50.3</v>
      </c>
      <c r="BD16" s="6">
        <f>'Data (2)'!BD156</f>
        <v>53.7</v>
      </c>
      <c r="BE16" s="6">
        <f>'Data (2)'!BE156</f>
        <v>53.8</v>
      </c>
      <c r="BF16" s="6">
        <f>'Data (2)'!BF156</f>
        <v>52.9</v>
      </c>
      <c r="BG16" s="7">
        <f>SUM(BC16:BF16)</f>
        <v>210.70000000000002</v>
      </c>
      <c r="BH16" s="6">
        <f>'Data (2)'!BH156</f>
        <v>62.9</v>
      </c>
      <c r="BI16" s="6">
        <f>'Data (2)'!BI156</f>
        <v>69.3</v>
      </c>
      <c r="BJ16" s="6">
        <f>'Data (2)'!BJ156</f>
        <v>66.5</v>
      </c>
      <c r="BK16" s="6">
        <f>'Data (2)'!BK156</f>
        <v>63</v>
      </c>
      <c r="BL16" s="7">
        <f>SUM(BH16:BK16)</f>
        <v>261.7</v>
      </c>
      <c r="BM16" s="6">
        <f>'Data (2)'!BM156</f>
        <v>59.9</v>
      </c>
      <c r="BN16" s="6">
        <f>'Data (2)'!BN156</f>
        <v>62.1</v>
      </c>
      <c r="BO16" s="6">
        <f>'Data (2)'!BO156</f>
        <v>57</v>
      </c>
      <c r="BP16" s="6">
        <f>'Data (2)'!BP156</f>
        <v>55.4</v>
      </c>
      <c r="BQ16" s="7">
        <f>SUM(BM16:BP16)</f>
        <v>234.4</v>
      </c>
      <c r="BR16" s="6">
        <f>'Data (2)'!BR156</f>
        <v>68.099999999999994</v>
      </c>
      <c r="BS16" s="6">
        <f>'Data (2)'!BS156</f>
        <v>72.3</v>
      </c>
      <c r="BT16" s="6">
        <f>'Data (2)'!BT156</f>
        <v>58.4</v>
      </c>
      <c r="BU16" s="6">
        <f>'Data (2)'!BU156</f>
        <v>54.3</v>
      </c>
      <c r="BV16" s="7">
        <f>SUM(BR16:BU16)</f>
        <v>253.09999999999997</v>
      </c>
      <c r="BW16" s="6">
        <f>'Data (2)'!BW156</f>
        <v>54.8</v>
      </c>
      <c r="BX16" s="6">
        <f>'Data (2)'!BX156</f>
        <v>54.5</v>
      </c>
      <c r="BY16" s="6">
        <f>'Data (2)'!BY156</f>
        <v>56.2</v>
      </c>
      <c r="BZ16" s="6">
        <f>'Data (2)'!BZ156</f>
        <v>54.1</v>
      </c>
      <c r="CA16" s="7">
        <f>SUM(BW16:BZ16)</f>
        <v>219.6</v>
      </c>
      <c r="CB16" s="6">
        <f>'Data (2)'!CB156</f>
        <v>67.3</v>
      </c>
      <c r="CC16" s="6">
        <f>'Data (2)'!CC156</f>
        <v>72</v>
      </c>
      <c r="CD16" s="6">
        <f>'Data (2)'!CD156</f>
        <v>77</v>
      </c>
      <c r="CE16" s="6">
        <f>'Data (2)'!CE156</f>
        <v>77.900000000000006</v>
      </c>
      <c r="CF16" s="7">
        <f>SUM(CB16:CE16)</f>
        <v>294.20000000000005</v>
      </c>
      <c r="CG16" s="6">
        <f>'Data (2)'!CG156</f>
        <v>86.6</v>
      </c>
      <c r="CH16" s="6">
        <f>'Data (2)'!CH156</f>
        <v>80.7</v>
      </c>
      <c r="CI16" s="6">
        <f>'Data (2)'!CI156</f>
        <v>74.599999999999994</v>
      </c>
      <c r="CJ16" s="6">
        <f>'Data (2)'!CJ156</f>
        <v>68.499999999999972</v>
      </c>
      <c r="CK16" s="7">
        <f>SUM(CG16:CJ16)</f>
        <v>310.39999999999998</v>
      </c>
      <c r="CL16" s="6">
        <f>'Data (2)'!CL156</f>
        <v>65.099999999999994</v>
      </c>
      <c r="CM16" s="14">
        <f>CM18*CM48</f>
        <v>55.925099999999993</v>
      </c>
      <c r="CN16" s="14">
        <f>CN18*CN48</f>
        <v>60.825599999999994</v>
      </c>
      <c r="CO16" s="14">
        <f>CO18*CO48</f>
        <v>61.657199999999982</v>
      </c>
      <c r="CP16" s="7">
        <f>SUM(CL16:CO16)</f>
        <v>243.50789999999995</v>
      </c>
      <c r="CQ16" s="28">
        <f>CQ18*CQ48</f>
        <v>246.68532899999994</v>
      </c>
      <c r="CR16" s="28">
        <f>CR18*CR48</f>
        <v>256.55274215999992</v>
      </c>
      <c r="CS16" s="28">
        <f>CS18*CS48</f>
        <v>264.24932442479991</v>
      </c>
    </row>
    <row r="17" spans="2:97" s="14" customFormat="1">
      <c r="B17" s="108" t="s">
        <v>91</v>
      </c>
      <c r="C17" s="28"/>
      <c r="D17" s="28"/>
      <c r="E17" s="28"/>
      <c r="F17" s="28"/>
      <c r="G17" s="28"/>
      <c r="H17" s="28"/>
      <c r="I17" s="28"/>
      <c r="N17" s="28"/>
      <c r="S17" s="28"/>
      <c r="X17" s="28"/>
      <c r="Y17" s="14">
        <f>'Data (2)'!Y157</f>
        <v>0.4</v>
      </c>
      <c r="Z17" s="14">
        <f>'Data (2)'!Z157</f>
        <v>0.3</v>
      </c>
      <c r="AA17" s="14">
        <f>'Data (2)'!AA157</f>
        <v>0.3</v>
      </c>
      <c r="AB17" s="14">
        <f>'Data (2)'!AB157</f>
        <v>0.3</v>
      </c>
      <c r="AC17" s="28">
        <f>SUM(Y17:AB17)</f>
        <v>1.3</v>
      </c>
      <c r="AD17" s="14">
        <f>'Data (2)'!AD157</f>
        <v>1.2999999999999998</v>
      </c>
      <c r="AE17" s="14">
        <f>'Data (2)'!AE157</f>
        <v>1.1000000000000001</v>
      </c>
      <c r="AF17" s="14">
        <f>'Data (2)'!AF157</f>
        <v>1.1000000000000001</v>
      </c>
      <c r="AG17" s="14">
        <f>'Data (2)'!AG157</f>
        <v>0.5</v>
      </c>
      <c r="AH17" s="28">
        <f>SUM(AD17:AG17)</f>
        <v>4</v>
      </c>
      <c r="AI17" s="14">
        <f>'Data (2)'!AI157</f>
        <v>0.5</v>
      </c>
      <c r="AJ17" s="14">
        <f>'Data (2)'!AJ157</f>
        <v>0.4</v>
      </c>
      <c r="AK17" s="14">
        <f>'Data (2)'!AK157</f>
        <v>0.2</v>
      </c>
      <c r="AL17" s="14">
        <f>'Data (2)'!AL157</f>
        <v>0.2</v>
      </c>
      <c r="AM17" s="28">
        <f>SUM(AI17:AL17)</f>
        <v>1.3</v>
      </c>
      <c r="AN17" s="14">
        <f>'Data (2)'!AN157</f>
        <v>0.5</v>
      </c>
      <c r="AO17" s="14">
        <f>'Data (2)'!AO157</f>
        <v>0.4</v>
      </c>
      <c r="AP17" s="14">
        <f>'Data (2)'!AP157</f>
        <v>0.8</v>
      </c>
      <c r="AQ17" s="6">
        <f>'Data (2)'!AQ157</f>
        <v>0.9</v>
      </c>
      <c r="AR17" s="28">
        <f>SUM(AN17:AQ17)</f>
        <v>2.6</v>
      </c>
      <c r="AS17" s="14">
        <f>'Data (2)'!AS157</f>
        <v>1.1000000000000001</v>
      </c>
      <c r="AT17" s="14">
        <f>'Data (2)'!AT157</f>
        <v>0.8</v>
      </c>
      <c r="AU17" s="14">
        <f>'Data (2)'!AU157</f>
        <v>0.2</v>
      </c>
      <c r="AV17" s="134">
        <f>'Data (2)'!AV157</f>
        <v>0.3</v>
      </c>
      <c r="AW17" s="28">
        <f>SUM(AS17:AV17)</f>
        <v>2.4</v>
      </c>
      <c r="AX17" s="14">
        <f>'Data (2)'!AX157</f>
        <v>0.1</v>
      </c>
      <c r="AY17" s="14">
        <f>'Data (2)'!AY157</f>
        <v>0.5</v>
      </c>
      <c r="AZ17" s="14">
        <f>'Data (2)'!AZ157</f>
        <v>0</v>
      </c>
      <c r="BA17" s="6">
        <f>'Data (2)'!BA157</f>
        <v>0</v>
      </c>
      <c r="BB17" s="7">
        <f>SUM(AX17:BA17)</f>
        <v>0.6</v>
      </c>
      <c r="BC17" s="6">
        <f>'Data (2)'!BC157</f>
        <v>1.3</v>
      </c>
      <c r="BD17" s="6">
        <f>'Data (2)'!BD157</f>
        <v>2.2000000000000002</v>
      </c>
      <c r="BE17" s="6">
        <f>'Data (2)'!BE157</f>
        <v>2.1</v>
      </c>
      <c r="BF17" s="6">
        <f>'Data (2)'!BF157</f>
        <v>1.5</v>
      </c>
      <c r="BG17" s="7">
        <f>SUM(BC17:BF17)</f>
        <v>7.1</v>
      </c>
      <c r="BH17" s="6">
        <f>'Data (2)'!BH157</f>
        <v>0</v>
      </c>
      <c r="BI17" s="6">
        <f>'Data (2)'!BI157</f>
        <v>0.5</v>
      </c>
      <c r="BJ17" s="6">
        <f>'Data (2)'!BJ157</f>
        <v>0.4</v>
      </c>
      <c r="BK17" s="6">
        <f>'Data (2)'!BK157</f>
        <v>1.8</v>
      </c>
      <c r="BL17" s="7">
        <f>SUM(BH17:BK17)</f>
        <v>2.7</v>
      </c>
      <c r="BM17" s="6">
        <f>'Data (2)'!BM157</f>
        <v>2.7</v>
      </c>
      <c r="BN17" s="6">
        <f>'Data (2)'!BN157</f>
        <v>0.9</v>
      </c>
      <c r="BO17" s="6">
        <f>'Data (2)'!BO157</f>
        <v>0</v>
      </c>
      <c r="BP17" s="6">
        <f>'Data (2)'!BP157</f>
        <v>0</v>
      </c>
      <c r="BQ17" s="7">
        <f>SUM(BM17:BP17)</f>
        <v>3.6</v>
      </c>
      <c r="BR17" s="6">
        <f>'Data (2)'!BR157</f>
        <v>0</v>
      </c>
      <c r="BS17" s="6">
        <f>'Data (2)'!BS157</f>
        <v>0</v>
      </c>
      <c r="BT17" s="6">
        <f>'Data (2)'!BT157</f>
        <v>0</v>
      </c>
      <c r="BU17" s="6">
        <f>'Data (2)'!BU157</f>
        <v>0.2</v>
      </c>
      <c r="BV17" s="7">
        <f>SUM(BR17:BU17)</f>
        <v>0.2</v>
      </c>
      <c r="BW17" s="6">
        <f>'Data (2)'!BW157</f>
        <v>0.1</v>
      </c>
      <c r="BX17" s="6">
        <f>'Data (2)'!BX157</f>
        <v>0</v>
      </c>
      <c r="BY17" s="6">
        <f>'Data (2)'!BY157</f>
        <v>0</v>
      </c>
      <c r="BZ17" s="6">
        <f>'Data (2)'!BZ157</f>
        <v>0.1</v>
      </c>
      <c r="CA17" s="7">
        <f>SUM(BW17:BZ17)</f>
        <v>0.2</v>
      </c>
      <c r="CB17" s="6">
        <f>'Data (2)'!CB157</f>
        <v>0</v>
      </c>
      <c r="CC17" s="6">
        <f>'Data (2)'!CC157</f>
        <v>0</v>
      </c>
      <c r="CD17" s="6">
        <f>'Data (2)'!CD157</f>
        <v>0</v>
      </c>
      <c r="CE17" s="6">
        <f>'Data (2)'!CE157</f>
        <v>0</v>
      </c>
      <c r="CF17" s="7">
        <f>SUM(CB17:CE17)</f>
        <v>0</v>
      </c>
      <c r="CG17" s="6">
        <f>'Data (2)'!CG157</f>
        <v>0</v>
      </c>
      <c r="CH17" s="6">
        <f>'Data (2)'!CH157</f>
        <v>0</v>
      </c>
      <c r="CI17" s="6">
        <f>'Data (2)'!CI157</f>
        <v>2.2000000000000002</v>
      </c>
      <c r="CJ17" s="6">
        <f>'Data (2)'!CJ157</f>
        <v>0.69999999999999973</v>
      </c>
      <c r="CK17" s="7">
        <f>SUM(CG17:CJ17)</f>
        <v>2.9</v>
      </c>
      <c r="CL17" s="6">
        <f>'Data (2)'!CL157</f>
        <v>1.4</v>
      </c>
      <c r="CM17" s="14">
        <f>CM18*CM49</f>
        <v>0.5649000000000004</v>
      </c>
      <c r="CN17" s="14">
        <f>CN18*CN49</f>
        <v>0.6144000000000005</v>
      </c>
      <c r="CO17" s="14">
        <f>CO18*CO49</f>
        <v>0.62280000000000035</v>
      </c>
      <c r="CP17" s="7">
        <f>SUM(CL17:CO17)</f>
        <v>3.2021000000000011</v>
      </c>
      <c r="CQ17" s="28">
        <f>CQ18*CQ49</f>
        <v>2.4917710000000017</v>
      </c>
      <c r="CR17" s="28">
        <f>CR18*CR49</f>
        <v>2.5914418400000017</v>
      </c>
      <c r="CS17" s="28">
        <f>CS18*CS49</f>
        <v>2.6691850952000018</v>
      </c>
    </row>
    <row r="18" spans="2:97" s="14" customFormat="1">
      <c r="B18" s="132" t="s">
        <v>307</v>
      </c>
      <c r="C18" s="130">
        <f>'Data (2)'!C158</f>
        <v>184.8</v>
      </c>
      <c r="D18" s="130">
        <f>'Data (2)'!D158</f>
        <v>192.1</v>
      </c>
      <c r="E18" s="130">
        <f>'Data (2)'!E158</f>
        <v>211.3</v>
      </c>
      <c r="F18" s="130">
        <f>'Data (2)'!F158</f>
        <v>227.5</v>
      </c>
      <c r="G18" s="130">
        <f>'Data (2)'!G158</f>
        <v>250.2</v>
      </c>
      <c r="H18" s="130">
        <f>'Data (2)'!H158</f>
        <v>253.9</v>
      </c>
      <c r="I18" s="130">
        <f>'Data (2)'!I158</f>
        <v>274.89999999999998</v>
      </c>
      <c r="J18" s="132">
        <f>'Data (2)'!J158</f>
        <v>84.9</v>
      </c>
      <c r="K18" s="132">
        <f>'Data (2)'!K158</f>
        <v>92.6</v>
      </c>
      <c r="L18" s="132">
        <f>'Data (2)'!L158</f>
        <v>88.3</v>
      </c>
      <c r="M18" s="132">
        <f>'Data (2)'!M158</f>
        <v>88.784999999999968</v>
      </c>
      <c r="N18" s="130">
        <f>'Data (2)'!N158</f>
        <v>354.58499999999998</v>
      </c>
      <c r="O18" s="132">
        <f>'Data (2)'!O158</f>
        <v>93.4</v>
      </c>
      <c r="P18" s="132">
        <f>'Data (2)'!P158</f>
        <v>98.2</v>
      </c>
      <c r="Q18" s="132">
        <f>'Data (2)'!Q158</f>
        <v>88.7</v>
      </c>
      <c r="R18" s="132">
        <f>'Data (2)'!R158</f>
        <v>85.5</v>
      </c>
      <c r="S18" s="130">
        <f>'Data (2)'!S158</f>
        <v>365.8</v>
      </c>
      <c r="T18" s="132">
        <f>'Data (2)'!T158</f>
        <v>87.7</v>
      </c>
      <c r="U18" s="132">
        <f>'Data (2)'!U158</f>
        <v>88.6</v>
      </c>
      <c r="V18" s="132">
        <f>'Data (2)'!V158</f>
        <v>76.5</v>
      </c>
      <c r="W18" s="132">
        <f>'Data (2)'!W158</f>
        <v>59.300000000000011</v>
      </c>
      <c r="X18" s="130">
        <f>'Data (2)'!X158</f>
        <v>312.10000000000002</v>
      </c>
      <c r="Y18" s="132">
        <f t="shared" ref="Y18:BD18" si="8">SUM(Y16:Y17)</f>
        <v>74.100000000000009</v>
      </c>
      <c r="Z18" s="132">
        <f t="shared" si="8"/>
        <v>75.899999999999991</v>
      </c>
      <c r="AA18" s="132">
        <f t="shared" si="8"/>
        <v>67.899999999999991</v>
      </c>
      <c r="AB18" s="132">
        <f t="shared" si="8"/>
        <v>75.7</v>
      </c>
      <c r="AC18" s="130">
        <f t="shared" si="8"/>
        <v>293.60000000000002</v>
      </c>
      <c r="AD18" s="132">
        <f t="shared" si="8"/>
        <v>78.399999999999991</v>
      </c>
      <c r="AE18" s="132">
        <f t="shared" si="8"/>
        <v>85.8</v>
      </c>
      <c r="AF18" s="132">
        <f t="shared" si="8"/>
        <v>79.3</v>
      </c>
      <c r="AG18" s="132">
        <f t="shared" si="8"/>
        <v>69.2</v>
      </c>
      <c r="AH18" s="130">
        <f t="shared" si="8"/>
        <v>312.7</v>
      </c>
      <c r="AI18" s="132">
        <f t="shared" si="8"/>
        <v>76.2</v>
      </c>
      <c r="AJ18" s="132">
        <f t="shared" si="8"/>
        <v>64.800000000000011</v>
      </c>
      <c r="AK18" s="132">
        <f t="shared" si="8"/>
        <v>55.1</v>
      </c>
      <c r="AL18" s="132">
        <f t="shared" si="8"/>
        <v>56.5</v>
      </c>
      <c r="AM18" s="130">
        <f t="shared" si="8"/>
        <v>252.60000000000002</v>
      </c>
      <c r="AN18" s="132">
        <f t="shared" si="8"/>
        <v>38.5</v>
      </c>
      <c r="AO18" s="132">
        <f t="shared" si="8"/>
        <v>64.7</v>
      </c>
      <c r="AP18" s="132">
        <f t="shared" si="8"/>
        <v>62.5</v>
      </c>
      <c r="AQ18" s="132">
        <f t="shared" si="8"/>
        <v>52.699999999999996</v>
      </c>
      <c r="AR18" s="130">
        <f t="shared" si="8"/>
        <v>218.4</v>
      </c>
      <c r="AS18" s="132">
        <f t="shared" si="8"/>
        <v>54.300000000000004</v>
      </c>
      <c r="AT18" s="132">
        <f t="shared" si="8"/>
        <v>64.2</v>
      </c>
      <c r="AU18" s="133">
        <f t="shared" si="8"/>
        <v>63.5</v>
      </c>
      <c r="AV18" s="132">
        <f t="shared" si="8"/>
        <v>67.5</v>
      </c>
      <c r="AW18" s="130">
        <f t="shared" si="8"/>
        <v>249.49999999999997</v>
      </c>
      <c r="AX18" s="133">
        <f t="shared" si="8"/>
        <v>72.899999999999991</v>
      </c>
      <c r="AY18" s="133">
        <f t="shared" si="8"/>
        <v>77.599999999999994</v>
      </c>
      <c r="AZ18" s="133">
        <f t="shared" si="8"/>
        <v>66.900000000000006</v>
      </c>
      <c r="BA18" s="132">
        <f t="shared" si="8"/>
        <v>59.7</v>
      </c>
      <c r="BB18" s="130">
        <f t="shared" si="8"/>
        <v>277.10000000000002</v>
      </c>
      <c r="BC18" s="132">
        <f t="shared" si="8"/>
        <v>51.599999999999994</v>
      </c>
      <c r="BD18" s="132">
        <f t="shared" si="8"/>
        <v>55.900000000000006</v>
      </c>
      <c r="BE18" s="132">
        <f t="shared" ref="BE18:CJ18" si="9">SUM(BE16:BE17)</f>
        <v>55.9</v>
      </c>
      <c r="BF18" s="132">
        <f t="shared" si="9"/>
        <v>54.4</v>
      </c>
      <c r="BG18" s="130">
        <f t="shared" si="9"/>
        <v>217.8</v>
      </c>
      <c r="BH18" s="132">
        <f t="shared" si="9"/>
        <v>62.9</v>
      </c>
      <c r="BI18" s="132">
        <f t="shared" si="9"/>
        <v>69.8</v>
      </c>
      <c r="BJ18" s="132">
        <f t="shared" si="9"/>
        <v>66.900000000000006</v>
      </c>
      <c r="BK18" s="132">
        <f t="shared" si="9"/>
        <v>64.8</v>
      </c>
      <c r="BL18" s="130">
        <f t="shared" si="9"/>
        <v>264.39999999999998</v>
      </c>
      <c r="BM18" s="132">
        <f t="shared" si="9"/>
        <v>62.6</v>
      </c>
      <c r="BN18" s="132">
        <f t="shared" si="9"/>
        <v>63</v>
      </c>
      <c r="BO18" s="132">
        <f t="shared" si="9"/>
        <v>57</v>
      </c>
      <c r="BP18" s="132">
        <f t="shared" si="9"/>
        <v>55.4</v>
      </c>
      <c r="BQ18" s="130">
        <f t="shared" si="9"/>
        <v>238</v>
      </c>
      <c r="BR18" s="132">
        <f t="shared" si="9"/>
        <v>68.099999999999994</v>
      </c>
      <c r="BS18" s="132">
        <f t="shared" si="9"/>
        <v>72.3</v>
      </c>
      <c r="BT18" s="132">
        <f t="shared" si="9"/>
        <v>58.4</v>
      </c>
      <c r="BU18" s="132">
        <f t="shared" si="9"/>
        <v>54.5</v>
      </c>
      <c r="BV18" s="130">
        <f t="shared" si="9"/>
        <v>253.29999999999995</v>
      </c>
      <c r="BW18" s="132">
        <f t="shared" si="9"/>
        <v>54.9</v>
      </c>
      <c r="BX18" s="132">
        <f t="shared" si="9"/>
        <v>54.5</v>
      </c>
      <c r="BY18" s="132">
        <f t="shared" si="9"/>
        <v>56.2</v>
      </c>
      <c r="BZ18" s="132">
        <f t="shared" si="9"/>
        <v>54.2</v>
      </c>
      <c r="CA18" s="130">
        <f t="shared" si="9"/>
        <v>219.79999999999998</v>
      </c>
      <c r="CB18" s="132">
        <f t="shared" si="9"/>
        <v>67.3</v>
      </c>
      <c r="CC18" s="132">
        <f t="shared" si="9"/>
        <v>72</v>
      </c>
      <c r="CD18" s="132">
        <f t="shared" si="9"/>
        <v>77</v>
      </c>
      <c r="CE18" s="132">
        <f t="shared" si="9"/>
        <v>77.900000000000006</v>
      </c>
      <c r="CF18" s="130">
        <f t="shared" si="9"/>
        <v>294.20000000000005</v>
      </c>
      <c r="CG18" s="132">
        <f t="shared" si="9"/>
        <v>86.6</v>
      </c>
      <c r="CH18" s="132">
        <f t="shared" si="9"/>
        <v>80.7</v>
      </c>
      <c r="CI18" s="132">
        <f t="shared" si="9"/>
        <v>76.8</v>
      </c>
      <c r="CJ18" s="132">
        <f t="shared" si="9"/>
        <v>69.199999999999974</v>
      </c>
      <c r="CK18" s="130">
        <f t="shared" ref="CK18:CL18" si="10">SUM(CK16:CK17)</f>
        <v>313.29999999999995</v>
      </c>
      <c r="CL18" s="132">
        <f t="shared" si="10"/>
        <v>66.5</v>
      </c>
      <c r="CM18" s="131">
        <f>CH18*(1+CM32)</f>
        <v>56.489999999999995</v>
      </c>
      <c r="CN18" s="131">
        <f>CI18*(1+CN32)</f>
        <v>61.44</v>
      </c>
      <c r="CO18" s="131">
        <f>CJ18*(1+CO32)</f>
        <v>62.27999999999998</v>
      </c>
      <c r="CP18" s="130">
        <f>SUM(CP16:CP17)</f>
        <v>246.70999999999995</v>
      </c>
      <c r="CQ18" s="129">
        <f>CP18*(1+CQ32)</f>
        <v>249.17709999999994</v>
      </c>
      <c r="CR18" s="129">
        <f>CQ18*(1+CR32)</f>
        <v>259.14418399999994</v>
      </c>
      <c r="CS18" s="129">
        <f>CR18*(1+CS32)</f>
        <v>266.91850951999993</v>
      </c>
    </row>
    <row r="19" spans="2:97" s="14" customFormat="1">
      <c r="B19" s="108" t="s">
        <v>90</v>
      </c>
      <c r="C19" s="28"/>
      <c r="D19" s="28"/>
      <c r="E19" s="28"/>
      <c r="F19" s="28"/>
      <c r="G19" s="28"/>
      <c r="H19" s="28"/>
      <c r="I19" s="28"/>
      <c r="N19" s="28"/>
      <c r="S19" s="28"/>
      <c r="X19" s="28"/>
      <c r="Y19" s="14">
        <f>'Data (2)'!Y160</f>
        <v>52.3</v>
      </c>
      <c r="Z19" s="14">
        <f>'Data (2)'!Z160</f>
        <v>45.6</v>
      </c>
      <c r="AA19" s="14">
        <f>'Data (2)'!AA160</f>
        <v>46.4</v>
      </c>
      <c r="AB19" s="14">
        <f>'Data (2)'!AB160</f>
        <v>50</v>
      </c>
      <c r="AC19" s="28">
        <f>SUM(Y19:AB19)</f>
        <v>194.3</v>
      </c>
      <c r="AD19" s="14">
        <f>'Data (2)'!AD160</f>
        <v>57.2</v>
      </c>
      <c r="AE19" s="14">
        <f>'Data (2)'!AE160</f>
        <v>59.7</v>
      </c>
      <c r="AF19" s="14">
        <f>'Data (2)'!AF160</f>
        <v>58.5</v>
      </c>
      <c r="AG19" s="14">
        <f>'Data (2)'!AG160</f>
        <v>60.5</v>
      </c>
      <c r="AH19" s="28">
        <f>SUM(AD19:AG19)</f>
        <v>235.9</v>
      </c>
      <c r="AI19" s="14">
        <f>'Data (2)'!AI160</f>
        <v>59.4</v>
      </c>
      <c r="AJ19" s="14">
        <f>'Data (2)'!AJ160</f>
        <v>55.3</v>
      </c>
      <c r="AK19" s="14">
        <f>'Data (2)'!AK160</f>
        <v>54.5</v>
      </c>
      <c r="AL19" s="14">
        <f>'Data (2)'!AL160</f>
        <v>51.4</v>
      </c>
      <c r="AM19" s="28">
        <f>SUM(AI19:AL19)</f>
        <v>220.6</v>
      </c>
      <c r="AN19" s="14">
        <f>'Data (2)'!AN160</f>
        <v>53.1</v>
      </c>
      <c r="AO19" s="14">
        <f>'Data (2)'!AO160</f>
        <v>60.7</v>
      </c>
      <c r="AP19" s="14">
        <f>'Data (2)'!AP160</f>
        <v>52.6</v>
      </c>
      <c r="AQ19" s="6">
        <f>'Data (2)'!AQ160</f>
        <v>62.9</v>
      </c>
      <c r="AR19" s="28">
        <f>SUM(AN19:AQ19)</f>
        <v>229.3</v>
      </c>
      <c r="AS19" s="14">
        <f>'Data (2)'!AS160</f>
        <v>59.9</v>
      </c>
      <c r="AT19" s="14">
        <v>63.6</v>
      </c>
      <c r="AU19" s="14">
        <f>'Data (2)'!AU160</f>
        <v>60.7</v>
      </c>
      <c r="AV19" s="107">
        <f>'Data (2)'!AV160</f>
        <v>58.2</v>
      </c>
      <c r="AW19" s="28">
        <f>SUM(AS19:AV19)</f>
        <v>242.39999999999998</v>
      </c>
      <c r="AX19" s="14">
        <f>'Data (2)'!AX160</f>
        <v>63.9</v>
      </c>
      <c r="AY19" s="14">
        <f>'Data (2)'!AY160</f>
        <v>67.2</v>
      </c>
      <c r="AZ19" s="14">
        <f>'Data (2)'!AZ160</f>
        <v>68.7</v>
      </c>
      <c r="BA19" s="6">
        <f>'Data (2)'!BA160</f>
        <v>68.900000000000006</v>
      </c>
      <c r="BB19" s="7">
        <f>SUM(AX19:BA19)</f>
        <v>268.70000000000005</v>
      </c>
      <c r="BC19" s="6">
        <f>'Data (2)'!BC160</f>
        <v>72.8</v>
      </c>
      <c r="BD19" s="6">
        <f>'Data (2)'!BD160</f>
        <v>70.3</v>
      </c>
      <c r="BE19" s="6">
        <f>'Data (2)'!BE160</f>
        <v>67.599999999999994</v>
      </c>
      <c r="BF19" s="6">
        <f>'Data (2)'!BF160</f>
        <v>61.2</v>
      </c>
      <c r="BG19" s="7">
        <f>SUM(BC19:BF19)</f>
        <v>271.89999999999998</v>
      </c>
      <c r="BH19" s="6">
        <f>'Data (2)'!BH160</f>
        <v>68.599999999999994</v>
      </c>
      <c r="BI19" s="6">
        <f>'Data (2)'!BI160</f>
        <v>66.8</v>
      </c>
      <c r="BJ19" s="6">
        <f>'Data (2)'!BJ160</f>
        <v>64.099999999999994</v>
      </c>
      <c r="BK19" s="6">
        <f>'Data (2)'!BK160</f>
        <v>72.099999999999994</v>
      </c>
      <c r="BL19" s="7">
        <f>SUM(BH19:BK19)</f>
        <v>271.59999999999997</v>
      </c>
      <c r="BM19" s="6">
        <f>'Data (2)'!BM160</f>
        <v>69.7</v>
      </c>
      <c r="BN19" s="6">
        <f>'Data (2)'!BN160</f>
        <v>67.400000000000006</v>
      </c>
      <c r="BO19" s="6">
        <f>'Data (2)'!BO160</f>
        <v>59.7</v>
      </c>
      <c r="BP19" s="6">
        <f>'Data (2)'!BP160</f>
        <v>67.8</v>
      </c>
      <c r="BQ19" s="7">
        <f>SUM(BM19:BP19)</f>
        <v>264.60000000000002</v>
      </c>
      <c r="BR19" s="6">
        <f>'Data (2)'!BR160</f>
        <v>63.4</v>
      </c>
      <c r="BS19" s="6">
        <f>'Data (2)'!BS160</f>
        <v>65</v>
      </c>
      <c r="BT19" s="6">
        <f>'Data (2)'!BT160</f>
        <v>63.8</v>
      </c>
      <c r="BU19" s="6">
        <f>'Data (2)'!BU160</f>
        <v>64.2</v>
      </c>
      <c r="BV19" s="7">
        <f>SUM(BR19:BU19)</f>
        <v>256.39999999999998</v>
      </c>
      <c r="BW19" s="6">
        <f>'Data (2)'!BW160</f>
        <v>63.2</v>
      </c>
      <c r="BX19" s="6">
        <f>'Data (2)'!BX160</f>
        <v>69</v>
      </c>
      <c r="BY19" s="6">
        <f>'Data (2)'!BY160</f>
        <v>65.599999999999994</v>
      </c>
      <c r="BZ19" s="6">
        <f>'Data (2)'!BZ160</f>
        <v>78.599999999999994</v>
      </c>
      <c r="CA19" s="7">
        <f>SUM(BW19:BZ19)</f>
        <v>276.39999999999998</v>
      </c>
      <c r="CB19" s="6">
        <f>'Data (2)'!CB160</f>
        <v>74.099999999999994</v>
      </c>
      <c r="CC19" s="6">
        <f>'Data (2)'!CC160</f>
        <v>73.2</v>
      </c>
      <c r="CD19" s="6">
        <f>'Data (2)'!CD160</f>
        <v>70.099999999999994</v>
      </c>
      <c r="CE19" s="6">
        <f>'Data (2)'!CE160</f>
        <v>76</v>
      </c>
      <c r="CF19" s="7">
        <f>SUM(CB19:CE19)</f>
        <v>293.39999999999998</v>
      </c>
      <c r="CG19" s="6">
        <f>'Data (2)'!CG160</f>
        <v>77.7</v>
      </c>
      <c r="CH19" s="6">
        <f>'Data (2)'!CH160</f>
        <v>79.599999999999994</v>
      </c>
      <c r="CI19" s="6">
        <f>'Data (2)'!CI160</f>
        <v>78.900000000000006</v>
      </c>
      <c r="CJ19" s="6">
        <f>'Data (2)'!CJ160</f>
        <v>81.900000000000006</v>
      </c>
      <c r="CK19" s="7">
        <f>SUM(CG19:CJ19)</f>
        <v>318.10000000000002</v>
      </c>
      <c r="CL19" s="6">
        <f>'Data (2)'!CL160</f>
        <v>73.2</v>
      </c>
      <c r="CM19" s="14">
        <f>CM21*CM52</f>
        <v>93.308280000000011</v>
      </c>
      <c r="CN19" s="14">
        <f>CN21*CN52</f>
        <v>90.782640000000015</v>
      </c>
      <c r="CO19" s="14">
        <f>CO21*CO52</f>
        <v>98.028060000000011</v>
      </c>
      <c r="CP19" s="7">
        <f>SUM(CL19:CO19)</f>
        <v>355.31898000000001</v>
      </c>
      <c r="CQ19" s="28">
        <f>CQ21*CQ52</f>
        <v>395.00866860000002</v>
      </c>
      <c r="CR19" s="28">
        <f>CR21*CR52</f>
        <v>418.70918871600003</v>
      </c>
      <c r="CS19" s="28">
        <f>CS21*CS52</f>
        <v>439.64464815180003</v>
      </c>
    </row>
    <row r="20" spans="2:97" s="14" customFormat="1">
      <c r="B20" s="108" t="s">
        <v>91</v>
      </c>
      <c r="C20" s="28"/>
      <c r="D20" s="28"/>
      <c r="E20" s="28"/>
      <c r="F20" s="28"/>
      <c r="G20" s="28"/>
      <c r="H20" s="28"/>
      <c r="I20" s="28"/>
      <c r="N20" s="28"/>
      <c r="S20" s="28"/>
      <c r="X20" s="28"/>
      <c r="Y20" s="14">
        <f>'Data (2)'!Y161</f>
        <v>12.2</v>
      </c>
      <c r="Z20" s="14">
        <f>'Data (2)'!Z161</f>
        <v>13.6</v>
      </c>
      <c r="AA20" s="14">
        <f>'Data (2)'!AA161</f>
        <v>14</v>
      </c>
      <c r="AB20" s="14">
        <f>'Data (2)'!AB161</f>
        <v>21.6</v>
      </c>
      <c r="AC20" s="28">
        <f>SUM(Y20:AB20)</f>
        <v>61.4</v>
      </c>
      <c r="AD20" s="14">
        <f>'Data (2)'!AD161</f>
        <v>16.999999999999993</v>
      </c>
      <c r="AE20" s="14">
        <f>'Data (2)'!AE161</f>
        <v>15.3</v>
      </c>
      <c r="AF20" s="14">
        <f>'Data (2)'!AF161</f>
        <v>17.100000000000001</v>
      </c>
      <c r="AG20" s="14">
        <f>'Data (2)'!AG161</f>
        <v>16.600000000000001</v>
      </c>
      <c r="AH20" s="28">
        <f>SUM(AD20:AG20)</f>
        <v>66</v>
      </c>
      <c r="AI20" s="14">
        <f>'Data (2)'!AI161</f>
        <v>17.899999999999999</v>
      </c>
      <c r="AJ20" s="14">
        <f>'Data (2)'!AJ161</f>
        <v>19.399999999999999</v>
      </c>
      <c r="AK20" s="14">
        <f>'Data (2)'!AK161</f>
        <v>20</v>
      </c>
      <c r="AL20" s="14">
        <f>'Data (2)'!AL161</f>
        <v>21.6</v>
      </c>
      <c r="AM20" s="28">
        <f>SUM(AI20:AL20)</f>
        <v>78.900000000000006</v>
      </c>
      <c r="AN20" s="14">
        <f>'Data (2)'!AN161</f>
        <v>19.399999999999999</v>
      </c>
      <c r="AO20" s="14">
        <f>'Data (2)'!AO161</f>
        <v>18.7</v>
      </c>
      <c r="AP20" s="14">
        <f>'Data (2)'!AP161</f>
        <v>21.8</v>
      </c>
      <c r="AQ20" s="6">
        <f>'Data (2)'!AQ161</f>
        <v>21.3</v>
      </c>
      <c r="AR20" s="28">
        <f>SUM(AN20:AQ20)</f>
        <v>81.199999999999989</v>
      </c>
      <c r="AS20" s="14">
        <f>'Data (2)'!AS161</f>
        <v>19.8</v>
      </c>
      <c r="AT20" s="14">
        <v>18.100000000000001</v>
      </c>
      <c r="AU20" s="14">
        <f>'Data (2)'!AU161</f>
        <v>20.2</v>
      </c>
      <c r="AV20" s="134">
        <f>'Data (2)'!AV161</f>
        <v>18.899999999999999</v>
      </c>
      <c r="AW20" s="28">
        <f>SUM(AS20:AV20)</f>
        <v>77</v>
      </c>
      <c r="AX20" s="14">
        <f>'Data (2)'!AX161</f>
        <v>21</v>
      </c>
      <c r="AY20" s="14">
        <f>'Data (2)'!AY161</f>
        <v>20.9</v>
      </c>
      <c r="AZ20" s="14">
        <f>'Data (2)'!AZ161</f>
        <v>21.9</v>
      </c>
      <c r="BA20" s="6">
        <f>'Data (2)'!BA161</f>
        <v>24.5</v>
      </c>
      <c r="BB20" s="7">
        <f>SUM(AX20:BA20)</f>
        <v>88.3</v>
      </c>
      <c r="BC20" s="6">
        <f>'Data (2)'!BC161</f>
        <v>23.2</v>
      </c>
      <c r="BD20" s="6">
        <f>'Data (2)'!BD161</f>
        <v>26.4</v>
      </c>
      <c r="BE20" s="6">
        <f>'Data (2)'!BE161</f>
        <v>26.8</v>
      </c>
      <c r="BF20" s="6">
        <f>'Data (2)'!BF161</f>
        <v>27.6</v>
      </c>
      <c r="BG20" s="7">
        <f>SUM(BC20:BF20)</f>
        <v>104</v>
      </c>
      <c r="BH20" s="6">
        <f>'Data (2)'!BH161</f>
        <v>27</v>
      </c>
      <c r="BI20" s="6">
        <f>'Data (2)'!BI161</f>
        <v>25.3</v>
      </c>
      <c r="BJ20" s="6">
        <f>'Data (2)'!BJ161</f>
        <v>24.4</v>
      </c>
      <c r="BK20" s="6">
        <f>'Data (2)'!BK161</f>
        <v>27.5</v>
      </c>
      <c r="BL20" s="7">
        <f>SUM(BH20:BK20)</f>
        <v>104.19999999999999</v>
      </c>
      <c r="BM20" s="6">
        <f>'Data (2)'!BM161</f>
        <v>19.2</v>
      </c>
      <c r="BN20" s="6">
        <f>'Data (2)'!BN161</f>
        <v>20.6</v>
      </c>
      <c r="BO20" s="6">
        <f>'Data (2)'!BO161</f>
        <v>17.600000000000001</v>
      </c>
      <c r="BP20" s="6">
        <f>'Data (2)'!BP161</f>
        <v>15.3</v>
      </c>
      <c r="BQ20" s="7">
        <f>SUM(BM20:BP20)</f>
        <v>72.7</v>
      </c>
      <c r="BR20" s="6">
        <f>'Data (2)'!BR161</f>
        <v>15.9</v>
      </c>
      <c r="BS20" s="6">
        <f>'Data (2)'!BS161</f>
        <v>16.8</v>
      </c>
      <c r="BT20" s="6">
        <f>'Data (2)'!BT161</f>
        <v>17.7</v>
      </c>
      <c r="BU20" s="6">
        <f>'Data (2)'!BU161</f>
        <v>14.9</v>
      </c>
      <c r="BV20" s="7">
        <f>SUM(BR20:BU20)</f>
        <v>65.300000000000011</v>
      </c>
      <c r="BW20" s="6">
        <f>'Data (2)'!BW161</f>
        <v>13.5</v>
      </c>
      <c r="BX20" s="6">
        <f>'Data (2)'!BX161</f>
        <v>18.8</v>
      </c>
      <c r="BY20" s="6">
        <f>'Data (2)'!BY161</f>
        <v>17.100000000000001</v>
      </c>
      <c r="BZ20" s="6">
        <f>'Data (2)'!BZ161</f>
        <v>17.8</v>
      </c>
      <c r="CA20" s="7">
        <f>SUM(BW20:BZ20)</f>
        <v>67.2</v>
      </c>
      <c r="CB20" s="6">
        <f>'Data (2)'!CB161</f>
        <v>16</v>
      </c>
      <c r="CC20" s="6">
        <f>'Data (2)'!CC161</f>
        <v>18.5</v>
      </c>
      <c r="CD20" s="6">
        <f>'Data (2)'!CD161</f>
        <v>20.3</v>
      </c>
      <c r="CE20" s="6">
        <f>'Data (2)'!CE161</f>
        <v>21.7</v>
      </c>
      <c r="CF20" s="7">
        <f>SUM(CB20:CE20)</f>
        <v>76.5</v>
      </c>
      <c r="CG20" s="6">
        <f>'Data (2)'!CG161</f>
        <v>30.1</v>
      </c>
      <c r="CH20" s="6">
        <f>'Data (2)'!CH161</f>
        <v>32.200000000000003</v>
      </c>
      <c r="CI20" s="6">
        <f>'Data (2)'!CI161</f>
        <v>30.9</v>
      </c>
      <c r="CJ20" s="6">
        <f>'Data (2)'!CJ161</f>
        <v>33.399999999999991</v>
      </c>
      <c r="CK20" s="7">
        <f>SUM(CG20:CJ20)</f>
        <v>126.6</v>
      </c>
      <c r="CL20" s="6">
        <f>'Data (2)'!CL161</f>
        <v>38.4</v>
      </c>
      <c r="CM20" s="14">
        <f>CM21*CM53</f>
        <v>26.317719999999998</v>
      </c>
      <c r="CN20" s="14">
        <f>CN21*CN53</f>
        <v>25.605360000000001</v>
      </c>
      <c r="CO20" s="14">
        <f>CO21*CO53</f>
        <v>27.64894</v>
      </c>
      <c r="CP20" s="7">
        <f>SUM(CL20:CO20)</f>
        <v>117.97202</v>
      </c>
      <c r="CQ20" s="28">
        <f>CQ21*CQ53</f>
        <v>111.41270139999999</v>
      </c>
      <c r="CR20" s="28">
        <f>CR21*CR53</f>
        <v>118.09746348399999</v>
      </c>
      <c r="CS20" s="28">
        <f>CS21*CS53</f>
        <v>124.00233665819999</v>
      </c>
    </row>
    <row r="21" spans="2:97" s="14" customFormat="1">
      <c r="B21" s="132" t="s">
        <v>109</v>
      </c>
      <c r="C21" s="130">
        <f>'Data (2)'!C162</f>
        <v>88.3</v>
      </c>
      <c r="D21" s="130">
        <f>'Data (2)'!D162</f>
        <v>141.6</v>
      </c>
      <c r="E21" s="130">
        <f>'Data (2)'!E162</f>
        <v>132.19999999999999</v>
      </c>
      <c r="F21" s="130">
        <f>'Data (2)'!F162</f>
        <v>118.2</v>
      </c>
      <c r="G21" s="130">
        <f>'Data (2)'!G162</f>
        <v>143.30000000000001</v>
      </c>
      <c r="H21" s="130">
        <f>'Data (2)'!H162</f>
        <v>147.5</v>
      </c>
      <c r="I21" s="130">
        <f>'Data (2)'!I162</f>
        <v>179.3</v>
      </c>
      <c r="J21" s="132">
        <f>'Data (2)'!J162</f>
        <v>51.6</v>
      </c>
      <c r="K21" s="132">
        <f>'Data (2)'!K162</f>
        <v>49.5</v>
      </c>
      <c r="L21" s="132">
        <f>'Data (2)'!L162</f>
        <v>41.7</v>
      </c>
      <c r="M21" s="132">
        <f>'Data (2)'!M162</f>
        <v>50.609999999999985</v>
      </c>
      <c r="N21" s="130">
        <f>'Data (2)'!N162</f>
        <v>193.41</v>
      </c>
      <c r="O21" s="132">
        <f>'Data (2)'!O162</f>
        <v>49.2</v>
      </c>
      <c r="P21" s="132">
        <f>'Data (2)'!P162</f>
        <v>53.8</v>
      </c>
      <c r="Q21" s="132">
        <f>'Data (2)'!Q162</f>
        <v>50.7</v>
      </c>
      <c r="R21" s="132">
        <f>'Data (2)'!R162</f>
        <v>55.600000000000023</v>
      </c>
      <c r="S21" s="130">
        <f>'Data (2)'!S162</f>
        <v>209.3</v>
      </c>
      <c r="T21" s="132">
        <f>'Data (2)'!T162</f>
        <v>52</v>
      </c>
      <c r="U21" s="132">
        <f>'Data (2)'!U162</f>
        <v>54.2</v>
      </c>
      <c r="V21" s="132">
        <f>'Data (2)'!V162</f>
        <v>50</v>
      </c>
      <c r="W21" s="132">
        <f>'Data (2)'!W162</f>
        <v>55</v>
      </c>
      <c r="X21" s="130">
        <f>'Data (2)'!X162</f>
        <v>211.2</v>
      </c>
      <c r="Y21" s="132">
        <f t="shared" ref="Y21:BD21" si="11">SUM(Y19:Y20)</f>
        <v>64.5</v>
      </c>
      <c r="Z21" s="132">
        <f t="shared" si="11"/>
        <v>59.2</v>
      </c>
      <c r="AA21" s="132">
        <f t="shared" si="11"/>
        <v>60.4</v>
      </c>
      <c r="AB21" s="132">
        <f t="shared" si="11"/>
        <v>71.599999999999994</v>
      </c>
      <c r="AC21" s="130">
        <f t="shared" si="11"/>
        <v>255.70000000000002</v>
      </c>
      <c r="AD21" s="132">
        <f t="shared" si="11"/>
        <v>74.199999999999989</v>
      </c>
      <c r="AE21" s="132">
        <f t="shared" si="11"/>
        <v>75</v>
      </c>
      <c r="AF21" s="132">
        <f t="shared" si="11"/>
        <v>75.599999999999994</v>
      </c>
      <c r="AG21" s="132">
        <f t="shared" si="11"/>
        <v>77.099999999999994</v>
      </c>
      <c r="AH21" s="130">
        <f t="shared" si="11"/>
        <v>301.89999999999998</v>
      </c>
      <c r="AI21" s="132">
        <f t="shared" si="11"/>
        <v>77.3</v>
      </c>
      <c r="AJ21" s="132">
        <f t="shared" si="11"/>
        <v>74.699999999999989</v>
      </c>
      <c r="AK21" s="132">
        <f t="shared" si="11"/>
        <v>74.5</v>
      </c>
      <c r="AL21" s="132">
        <f t="shared" si="11"/>
        <v>73</v>
      </c>
      <c r="AM21" s="130">
        <f t="shared" si="11"/>
        <v>299.5</v>
      </c>
      <c r="AN21" s="132">
        <f t="shared" si="11"/>
        <v>72.5</v>
      </c>
      <c r="AO21" s="132">
        <f t="shared" si="11"/>
        <v>79.400000000000006</v>
      </c>
      <c r="AP21" s="132">
        <f t="shared" si="11"/>
        <v>74.400000000000006</v>
      </c>
      <c r="AQ21" s="132">
        <f t="shared" si="11"/>
        <v>84.2</v>
      </c>
      <c r="AR21" s="130">
        <f t="shared" si="11"/>
        <v>310.5</v>
      </c>
      <c r="AS21" s="132">
        <f t="shared" si="11"/>
        <v>79.7</v>
      </c>
      <c r="AT21" s="132">
        <f t="shared" si="11"/>
        <v>81.7</v>
      </c>
      <c r="AU21" s="133">
        <f t="shared" si="11"/>
        <v>80.900000000000006</v>
      </c>
      <c r="AV21" s="132">
        <f t="shared" si="11"/>
        <v>77.099999999999994</v>
      </c>
      <c r="AW21" s="130">
        <f t="shared" si="11"/>
        <v>319.39999999999998</v>
      </c>
      <c r="AX21" s="132">
        <f t="shared" si="11"/>
        <v>84.9</v>
      </c>
      <c r="AY21" s="132">
        <f t="shared" si="11"/>
        <v>88.1</v>
      </c>
      <c r="AZ21" s="132">
        <f t="shared" si="11"/>
        <v>90.6</v>
      </c>
      <c r="BA21" s="132">
        <f t="shared" si="11"/>
        <v>93.4</v>
      </c>
      <c r="BB21" s="130">
        <f t="shared" si="11"/>
        <v>357.00000000000006</v>
      </c>
      <c r="BC21" s="132">
        <f t="shared" si="11"/>
        <v>96</v>
      </c>
      <c r="BD21" s="132">
        <f t="shared" si="11"/>
        <v>96.699999999999989</v>
      </c>
      <c r="BE21" s="132">
        <f t="shared" ref="BE21:CJ21" si="12">SUM(BE19:BE20)</f>
        <v>94.399999999999991</v>
      </c>
      <c r="BF21" s="132">
        <f t="shared" si="12"/>
        <v>88.800000000000011</v>
      </c>
      <c r="BG21" s="130">
        <f t="shared" si="12"/>
        <v>375.9</v>
      </c>
      <c r="BH21" s="132">
        <f t="shared" si="12"/>
        <v>95.6</v>
      </c>
      <c r="BI21" s="132">
        <f t="shared" si="12"/>
        <v>92.1</v>
      </c>
      <c r="BJ21" s="132">
        <f t="shared" si="12"/>
        <v>88.5</v>
      </c>
      <c r="BK21" s="132">
        <f t="shared" si="12"/>
        <v>99.6</v>
      </c>
      <c r="BL21" s="130">
        <f t="shared" si="12"/>
        <v>375.79999999999995</v>
      </c>
      <c r="BM21" s="132">
        <f t="shared" si="12"/>
        <v>88.9</v>
      </c>
      <c r="BN21" s="132">
        <f t="shared" si="12"/>
        <v>88</v>
      </c>
      <c r="BO21" s="132">
        <f t="shared" si="12"/>
        <v>77.300000000000011</v>
      </c>
      <c r="BP21" s="132">
        <f t="shared" si="12"/>
        <v>83.1</v>
      </c>
      <c r="BQ21" s="130">
        <f t="shared" si="12"/>
        <v>337.3</v>
      </c>
      <c r="BR21" s="132">
        <f t="shared" si="12"/>
        <v>79.3</v>
      </c>
      <c r="BS21" s="132">
        <f t="shared" si="12"/>
        <v>81.8</v>
      </c>
      <c r="BT21" s="132">
        <f t="shared" si="12"/>
        <v>81.5</v>
      </c>
      <c r="BU21" s="132">
        <f t="shared" si="12"/>
        <v>79.100000000000009</v>
      </c>
      <c r="BV21" s="130">
        <f t="shared" si="12"/>
        <v>321.7</v>
      </c>
      <c r="BW21" s="132">
        <f t="shared" si="12"/>
        <v>76.7</v>
      </c>
      <c r="BX21" s="132">
        <f t="shared" si="12"/>
        <v>87.8</v>
      </c>
      <c r="BY21" s="132">
        <f t="shared" si="12"/>
        <v>82.699999999999989</v>
      </c>
      <c r="BZ21" s="132">
        <f t="shared" si="12"/>
        <v>96.399999999999991</v>
      </c>
      <c r="CA21" s="130">
        <f t="shared" si="12"/>
        <v>343.59999999999997</v>
      </c>
      <c r="CB21" s="132">
        <f t="shared" si="12"/>
        <v>90.1</v>
      </c>
      <c r="CC21" s="132">
        <f t="shared" si="12"/>
        <v>91.7</v>
      </c>
      <c r="CD21" s="132">
        <f t="shared" si="12"/>
        <v>90.399999999999991</v>
      </c>
      <c r="CE21" s="132">
        <f t="shared" si="12"/>
        <v>97.7</v>
      </c>
      <c r="CF21" s="130">
        <f t="shared" si="12"/>
        <v>369.9</v>
      </c>
      <c r="CG21" s="132">
        <f t="shared" si="12"/>
        <v>107.80000000000001</v>
      </c>
      <c r="CH21" s="132">
        <f t="shared" si="12"/>
        <v>111.8</v>
      </c>
      <c r="CI21" s="132">
        <f t="shared" si="12"/>
        <v>109.80000000000001</v>
      </c>
      <c r="CJ21" s="132">
        <f t="shared" si="12"/>
        <v>115.3</v>
      </c>
      <c r="CK21" s="130">
        <f t="shared" ref="CK21:CL21" si="13">SUM(CK19:CK20)</f>
        <v>444.70000000000005</v>
      </c>
      <c r="CL21" s="132">
        <f t="shared" si="13"/>
        <v>111.6</v>
      </c>
      <c r="CM21" s="131">
        <f>(CH21)*(1+CM33)</f>
        <v>119.626</v>
      </c>
      <c r="CN21" s="131">
        <f>(CI21)*(1+CN33)</f>
        <v>116.38800000000002</v>
      </c>
      <c r="CO21" s="131">
        <f>(CJ21)*(1+CO33)</f>
        <v>125.67700000000001</v>
      </c>
      <c r="CP21" s="130">
        <f>SUM(CP19:CP20)</f>
        <v>473.291</v>
      </c>
      <c r="CQ21" s="129">
        <f>CP21*(1+CQ33)</f>
        <v>506.42137000000002</v>
      </c>
      <c r="CR21" s="129">
        <f>CQ21*(1+CR33)</f>
        <v>536.80665220000003</v>
      </c>
      <c r="CS21" s="129">
        <f>CR21*(1+CS33)</f>
        <v>563.64698481000005</v>
      </c>
    </row>
    <row r="22" spans="2:97" s="14" customFormat="1" hidden="1">
      <c r="B22" s="13" t="s">
        <v>105</v>
      </c>
      <c r="C22" s="28">
        <f>'Data (2)'!C164</f>
        <v>66.400000000000006</v>
      </c>
      <c r="D22" s="28">
        <f>'Data (2)'!D164</f>
        <v>85.2</v>
      </c>
      <c r="E22" s="28">
        <f>'Data (2)'!E164</f>
        <v>166.4</v>
      </c>
      <c r="F22" s="28">
        <f>'Data (2)'!F164</f>
        <v>181.2</v>
      </c>
      <c r="G22" s="28">
        <f>'Data (2)'!G164</f>
        <v>77</v>
      </c>
      <c r="H22" s="28">
        <f>'Data (2)'!H164</f>
        <v>58.3</v>
      </c>
      <c r="I22" s="28">
        <f>'Data (2)'!I164</f>
        <v>52.8</v>
      </c>
      <c r="J22" s="14">
        <f>'Data (2)'!J164</f>
        <v>15.8</v>
      </c>
      <c r="K22" s="14">
        <f>'Data (2)'!K164</f>
        <v>15.5</v>
      </c>
      <c r="L22" s="14">
        <f>'Data (2)'!L164</f>
        <v>16.600000000000001</v>
      </c>
      <c r="M22" s="14">
        <f>'Data (2)'!M164</f>
        <v>16.569999999999993</v>
      </c>
      <c r="N22" s="28">
        <f>'Data (2)'!N164</f>
        <v>64.47</v>
      </c>
      <c r="O22" s="14">
        <f>'Data (2)'!O164</f>
        <v>16.8</v>
      </c>
      <c r="P22" s="14">
        <f>'Data (2)'!P164</f>
        <v>15.4</v>
      </c>
      <c r="Q22" s="14">
        <f>'Data (2)'!Q164</f>
        <v>12.4</v>
      </c>
      <c r="R22" s="14">
        <f>'Data (2)'!R164</f>
        <v>12.299999999999997</v>
      </c>
      <c r="S22" s="28">
        <f>'Data (2)'!S164</f>
        <v>56.9</v>
      </c>
      <c r="T22" s="14">
        <f>'Data (2)'!T164</f>
        <v>14.1</v>
      </c>
      <c r="U22" s="14">
        <f>'Data (2)'!U164</f>
        <v>13</v>
      </c>
      <c r="V22" s="14">
        <f>'Data (2)'!V164</f>
        <v>12.7</v>
      </c>
      <c r="W22" s="14">
        <f>'Data (2)'!W164</f>
        <v>12</v>
      </c>
      <c r="X22" s="28">
        <f>'Data (2)'!X164</f>
        <v>51.8</v>
      </c>
      <c r="AC22" s="28"/>
      <c r="AH22" s="28"/>
      <c r="AM22" s="28"/>
      <c r="AR22" s="28"/>
      <c r="AW22" s="28"/>
      <c r="BA22" s="6"/>
      <c r="BB22" s="7"/>
      <c r="BC22" s="6"/>
      <c r="BD22" s="6"/>
      <c r="BE22" s="6"/>
      <c r="BG22" s="7"/>
      <c r="BL22" s="7"/>
      <c r="BQ22" s="7"/>
      <c r="BV22" s="7"/>
      <c r="CA22" s="7"/>
      <c r="CF22" s="7"/>
      <c r="CK22" s="7"/>
      <c r="CP22" s="7"/>
      <c r="CQ22" s="28"/>
      <c r="CR22" s="28"/>
      <c r="CS22" s="28"/>
    </row>
    <row r="23" spans="2:97" s="14" customFormat="1">
      <c r="B23" s="128" t="s">
        <v>93</v>
      </c>
      <c r="C23" s="127">
        <f t="shared" ref="C23:AB23" si="14">C15+C18+C21+C22</f>
        <v>936.9</v>
      </c>
      <c r="D23" s="127">
        <f t="shared" si="14"/>
        <v>1089</v>
      </c>
      <c r="E23" s="127">
        <f t="shared" si="14"/>
        <v>1151.5000000000002</v>
      </c>
      <c r="F23" s="127">
        <f t="shared" si="14"/>
        <v>1055.7</v>
      </c>
      <c r="G23" s="127">
        <f t="shared" si="14"/>
        <v>1009.3999999999999</v>
      </c>
      <c r="H23" s="127">
        <f t="shared" si="14"/>
        <v>850.8</v>
      </c>
      <c r="I23" s="127">
        <f t="shared" si="14"/>
        <v>896.89999999999986</v>
      </c>
      <c r="J23" s="128">
        <f t="shared" si="14"/>
        <v>262.8</v>
      </c>
      <c r="K23" s="128">
        <f t="shared" si="14"/>
        <v>272.2</v>
      </c>
      <c r="L23" s="128">
        <f t="shared" si="14"/>
        <v>263.10000000000002</v>
      </c>
      <c r="M23" s="128">
        <f t="shared" si="14"/>
        <v>276.39999999999992</v>
      </c>
      <c r="N23" s="127">
        <f t="shared" si="14"/>
        <v>1074.5</v>
      </c>
      <c r="O23" s="128">
        <f t="shared" si="14"/>
        <v>290.60000000000002</v>
      </c>
      <c r="P23" s="128">
        <f t="shared" si="14"/>
        <v>311.3</v>
      </c>
      <c r="Q23" s="128">
        <f t="shared" si="14"/>
        <v>276.59999999999997</v>
      </c>
      <c r="R23" s="128">
        <f t="shared" si="14"/>
        <v>282.89999999999998</v>
      </c>
      <c r="S23" s="127">
        <f t="shared" si="14"/>
        <v>1161.4000000000001</v>
      </c>
      <c r="T23" s="128">
        <f t="shared" si="14"/>
        <v>307</v>
      </c>
      <c r="U23" s="128">
        <f t="shared" si="14"/>
        <v>316</v>
      </c>
      <c r="V23" s="128">
        <f t="shared" si="14"/>
        <v>289.09999999999997</v>
      </c>
      <c r="W23" s="128">
        <f t="shared" si="14"/>
        <v>281.00000000000006</v>
      </c>
      <c r="X23" s="127">
        <f t="shared" si="14"/>
        <v>1193.0999999999999</v>
      </c>
      <c r="Y23" s="128">
        <f t="shared" si="14"/>
        <v>282.60000000000002</v>
      </c>
      <c r="Z23" s="128">
        <f t="shared" si="14"/>
        <v>289.79999999999995</v>
      </c>
      <c r="AA23" s="128">
        <f t="shared" si="14"/>
        <v>281.09999999999997</v>
      </c>
      <c r="AB23" s="128">
        <f t="shared" si="14"/>
        <v>317.60000000000002</v>
      </c>
      <c r="AC23" s="127">
        <f t="shared" ref="AC23:BH23" si="15">AC15+AC18+AC21</f>
        <v>1171.1000000000001</v>
      </c>
      <c r="AD23" s="128">
        <f t="shared" si="15"/>
        <v>344.5</v>
      </c>
      <c r="AE23" s="128">
        <f t="shared" si="15"/>
        <v>359.5</v>
      </c>
      <c r="AF23" s="128">
        <f t="shared" si="15"/>
        <v>331.4</v>
      </c>
      <c r="AG23" s="128">
        <f t="shared" si="15"/>
        <v>289.5</v>
      </c>
      <c r="AH23" s="127">
        <f t="shared" si="15"/>
        <v>1324.9</v>
      </c>
      <c r="AI23" s="128">
        <f t="shared" si="15"/>
        <v>307.3</v>
      </c>
      <c r="AJ23" s="128">
        <f t="shared" si="15"/>
        <v>277.3</v>
      </c>
      <c r="AK23" s="128">
        <f t="shared" si="15"/>
        <v>257.10000000000002</v>
      </c>
      <c r="AL23" s="128">
        <f t="shared" si="15"/>
        <v>266.60000000000002</v>
      </c>
      <c r="AM23" s="127">
        <f t="shared" si="15"/>
        <v>1108.3</v>
      </c>
      <c r="AN23" s="128">
        <f t="shared" si="15"/>
        <v>263</v>
      </c>
      <c r="AO23" s="128">
        <f t="shared" si="15"/>
        <v>305.10000000000002</v>
      </c>
      <c r="AP23" s="128">
        <f t="shared" si="15"/>
        <v>294.5</v>
      </c>
      <c r="AQ23" s="128">
        <f t="shared" si="15"/>
        <v>311</v>
      </c>
      <c r="AR23" s="127">
        <f t="shared" si="15"/>
        <v>1173.5999999999999</v>
      </c>
      <c r="AS23" s="128">
        <f t="shared" si="15"/>
        <v>331.6</v>
      </c>
      <c r="AT23" s="128">
        <f t="shared" si="15"/>
        <v>353.7</v>
      </c>
      <c r="AU23" s="128">
        <f t="shared" si="15"/>
        <v>351.79999999999995</v>
      </c>
      <c r="AV23" s="128">
        <f t="shared" si="15"/>
        <v>355.29999999999995</v>
      </c>
      <c r="AW23" s="127">
        <f t="shared" si="15"/>
        <v>1392.4</v>
      </c>
      <c r="AX23" s="128">
        <f t="shared" si="15"/>
        <v>400.1</v>
      </c>
      <c r="AY23" s="128">
        <f t="shared" si="15"/>
        <v>399.20000000000005</v>
      </c>
      <c r="AZ23" s="128">
        <f t="shared" si="15"/>
        <v>391.6</v>
      </c>
      <c r="BA23" s="128">
        <f t="shared" si="15"/>
        <v>387.29999999999995</v>
      </c>
      <c r="BB23" s="127">
        <f t="shared" si="15"/>
        <v>1578.2</v>
      </c>
      <c r="BC23" s="128">
        <f t="shared" si="15"/>
        <v>416.5</v>
      </c>
      <c r="BD23" s="128">
        <f t="shared" si="15"/>
        <v>422.59999999999997</v>
      </c>
      <c r="BE23" s="128">
        <f t="shared" si="15"/>
        <v>412.29999999999995</v>
      </c>
      <c r="BF23" s="128">
        <f t="shared" si="15"/>
        <v>426.8</v>
      </c>
      <c r="BG23" s="127">
        <f t="shared" si="15"/>
        <v>1678.1999999999998</v>
      </c>
      <c r="BH23" s="128">
        <f t="shared" si="15"/>
        <v>461.70000000000005</v>
      </c>
      <c r="BI23" s="128">
        <f t="shared" ref="BI23:CS23" si="16">BI15+BI18+BI21</f>
        <v>470.1</v>
      </c>
      <c r="BJ23" s="128">
        <f t="shared" si="16"/>
        <v>451.9</v>
      </c>
      <c r="BK23" s="128">
        <f t="shared" si="16"/>
        <v>471.79999999999995</v>
      </c>
      <c r="BL23" s="127">
        <f t="shared" si="16"/>
        <v>1855.5000000000002</v>
      </c>
      <c r="BM23" s="128">
        <f t="shared" si="16"/>
        <v>471.80000000000007</v>
      </c>
      <c r="BN23" s="128">
        <f t="shared" si="16"/>
        <v>475.7</v>
      </c>
      <c r="BO23" s="128">
        <f t="shared" si="16"/>
        <v>448.8</v>
      </c>
      <c r="BP23" s="128">
        <f t="shared" si="16"/>
        <v>464.9</v>
      </c>
      <c r="BQ23" s="127">
        <f t="shared" si="16"/>
        <v>1861.2</v>
      </c>
      <c r="BR23" s="128">
        <f t="shared" si="16"/>
        <v>497.7</v>
      </c>
      <c r="BS23" s="128">
        <f t="shared" si="16"/>
        <v>522.6</v>
      </c>
      <c r="BT23" s="128">
        <f t="shared" si="16"/>
        <v>500.5</v>
      </c>
      <c r="BU23" s="128">
        <f t="shared" si="16"/>
        <v>483.5</v>
      </c>
      <c r="BV23" s="127">
        <f t="shared" si="16"/>
        <v>2004.3</v>
      </c>
      <c r="BW23" s="128">
        <f t="shared" si="16"/>
        <v>478.79999999999995</v>
      </c>
      <c r="BX23" s="128">
        <f t="shared" si="16"/>
        <v>491.3</v>
      </c>
      <c r="BY23" s="128">
        <f t="shared" si="16"/>
        <v>491.5</v>
      </c>
      <c r="BZ23" s="128">
        <f t="shared" si="16"/>
        <v>511.7</v>
      </c>
      <c r="CA23" s="127">
        <f t="shared" si="16"/>
        <v>1973.2999999999997</v>
      </c>
      <c r="CB23" s="128">
        <f t="shared" si="16"/>
        <v>540.1</v>
      </c>
      <c r="CC23" s="128">
        <f t="shared" si="16"/>
        <v>547.5</v>
      </c>
      <c r="CD23" s="128">
        <f t="shared" si="16"/>
        <v>540.5</v>
      </c>
      <c r="CE23" s="128">
        <f t="shared" si="16"/>
        <v>561</v>
      </c>
      <c r="CF23" s="127">
        <f t="shared" si="16"/>
        <v>2189.1</v>
      </c>
      <c r="CG23" s="128">
        <f t="shared" si="16"/>
        <v>609.90000000000009</v>
      </c>
      <c r="CH23" s="128">
        <f t="shared" si="16"/>
        <v>609</v>
      </c>
      <c r="CI23" s="128">
        <f t="shared" si="16"/>
        <v>572.5</v>
      </c>
      <c r="CJ23" s="128">
        <f t="shared" si="16"/>
        <v>564.30000000000007</v>
      </c>
      <c r="CK23" s="127">
        <f t="shared" si="16"/>
        <v>2355.6999999999998</v>
      </c>
      <c r="CL23" s="128">
        <f t="shared" si="16"/>
        <v>541</v>
      </c>
      <c r="CM23" s="128">
        <f t="shared" si="16"/>
        <v>301.06600000000003</v>
      </c>
      <c r="CN23" s="128">
        <f t="shared" si="16"/>
        <v>351.483</v>
      </c>
      <c r="CO23" s="128">
        <f t="shared" si="16"/>
        <v>415.83700000000005</v>
      </c>
      <c r="CP23" s="127">
        <f t="shared" si="16"/>
        <v>1609.386</v>
      </c>
      <c r="CQ23" s="127">
        <f t="shared" si="16"/>
        <v>1760.6035199999999</v>
      </c>
      <c r="CR23" s="127">
        <f t="shared" si="16"/>
        <v>1921.5564921999999</v>
      </c>
      <c r="CS23" s="127">
        <f t="shared" si="16"/>
        <v>2125.01199873</v>
      </c>
    </row>
    <row r="24" spans="2:97" s="14" customFormat="1">
      <c r="B24" s="13"/>
      <c r="C24" s="28"/>
      <c r="D24" s="28"/>
      <c r="E24" s="28"/>
      <c r="F24" s="28"/>
      <c r="G24" s="28"/>
      <c r="H24" s="28"/>
      <c r="I24" s="28"/>
      <c r="N24" s="28"/>
      <c r="S24" s="28"/>
      <c r="X24" s="28"/>
      <c r="AC24" s="28"/>
      <c r="AH24" s="28"/>
      <c r="AM24" s="28"/>
      <c r="AR24" s="28"/>
      <c r="AW24" s="28"/>
      <c r="BA24" s="6"/>
      <c r="BB24" s="5"/>
      <c r="BC24" s="6"/>
      <c r="BG24" s="28"/>
      <c r="BL24" s="28"/>
      <c r="BQ24" s="28"/>
      <c r="BV24" s="28"/>
      <c r="CA24" s="28"/>
      <c r="CF24" s="28"/>
      <c r="CK24" s="28"/>
      <c r="CP24" s="28"/>
      <c r="CQ24" s="28"/>
      <c r="CR24" s="28"/>
      <c r="CS24" s="28"/>
    </row>
    <row r="25" spans="2:97" s="14" customFormat="1">
      <c r="B25" s="67" t="s">
        <v>92</v>
      </c>
      <c r="C25" s="28"/>
      <c r="D25" s="28"/>
      <c r="E25" s="28"/>
      <c r="F25" s="28"/>
      <c r="G25" s="28"/>
      <c r="H25" s="28"/>
      <c r="I25" s="28"/>
      <c r="N25" s="28"/>
      <c r="S25" s="28"/>
      <c r="X25" s="28"/>
      <c r="AC25" s="28"/>
      <c r="AH25" s="28"/>
      <c r="AM25" s="28"/>
      <c r="AR25" s="28"/>
      <c r="AW25" s="28"/>
      <c r="BA25" s="6"/>
      <c r="BB25" s="7"/>
      <c r="BC25" s="6"/>
      <c r="BG25" s="28"/>
      <c r="BL25" s="28"/>
      <c r="BQ25" s="28"/>
      <c r="BV25" s="28"/>
      <c r="CA25" s="28"/>
      <c r="CF25" s="28"/>
      <c r="CK25" s="28"/>
      <c r="CP25" s="28"/>
      <c r="CQ25" s="28"/>
      <c r="CR25" s="28"/>
      <c r="CS25" s="28"/>
    </row>
    <row r="26" spans="2:97" s="14" customFormat="1">
      <c r="B26" s="13" t="s">
        <v>90</v>
      </c>
      <c r="C26" s="28"/>
      <c r="D26" s="28"/>
      <c r="E26" s="28"/>
      <c r="F26" s="28"/>
      <c r="G26" s="28"/>
      <c r="H26" s="28"/>
      <c r="I26" s="28"/>
      <c r="N26" s="28"/>
      <c r="S26" s="28"/>
      <c r="X26" s="28"/>
      <c r="Y26" s="14">
        <f t="shared" ref="Y26:AB27" si="17">Y13+Y16+Y19-Y7</f>
        <v>-9.8999999999999773</v>
      </c>
      <c r="Z26" s="14">
        <f t="shared" si="17"/>
        <v>-8.4000000000000057</v>
      </c>
      <c r="AA26" s="14">
        <f t="shared" si="17"/>
        <v>-7.5999999999999943</v>
      </c>
      <c r="AB26" s="14">
        <f t="shared" si="17"/>
        <v>-8.1999999999999886</v>
      </c>
      <c r="AC26" s="28">
        <f>SUM(Y26:AB26)</f>
        <v>-34.099999999999966</v>
      </c>
      <c r="AD26" s="14">
        <f t="shared" ref="AD26:AG27" si="18">AD13+AD16+AD19-AD7</f>
        <v>-10.999999999999943</v>
      </c>
      <c r="AE26" s="14">
        <f t="shared" si="18"/>
        <v>-10.800000000000011</v>
      </c>
      <c r="AF26" s="14">
        <f t="shared" si="18"/>
        <v>-9.1999999999999886</v>
      </c>
      <c r="AG26" s="14">
        <f t="shared" si="18"/>
        <v>-9.1000000000000796</v>
      </c>
      <c r="AH26" s="28">
        <f>SUM(AD26:AG26)</f>
        <v>-40.100000000000023</v>
      </c>
      <c r="AI26" s="14">
        <f t="shared" ref="AI26:AL27" si="19">AI13+AI16+AI19-AI7</f>
        <v>-9.0999999999999943</v>
      </c>
      <c r="AJ26" s="14">
        <f t="shared" si="19"/>
        <v>-6.3999999999999773</v>
      </c>
      <c r="AK26" s="14">
        <f t="shared" si="19"/>
        <v>-6.1999999999999886</v>
      </c>
      <c r="AL26" s="14">
        <f t="shared" si="19"/>
        <v>-5.5</v>
      </c>
      <c r="AM26" s="28">
        <f>SUM(AI26:AL26)</f>
        <v>-27.19999999999996</v>
      </c>
      <c r="AN26" s="14">
        <f t="shared" ref="AN26:AQ27" si="20">AN13+AN16+AN19-AN7</f>
        <v>-8.9000000000000057</v>
      </c>
      <c r="AO26" s="14">
        <f t="shared" si="20"/>
        <v>-11.500000000000028</v>
      </c>
      <c r="AP26" s="14">
        <f t="shared" si="20"/>
        <v>-9.8000000000000114</v>
      </c>
      <c r="AQ26" s="6">
        <f t="shared" si="20"/>
        <v>-8.5000000000000284</v>
      </c>
      <c r="AR26" s="28">
        <f>SUM(AN26:AQ26)</f>
        <v>-38.700000000000074</v>
      </c>
      <c r="AS26" s="6">
        <f t="shared" ref="AS26:AV27" si="21">AS13+AS16+AS19-AS7</f>
        <v>-13.900000000000034</v>
      </c>
      <c r="AT26" s="11">
        <f t="shared" si="21"/>
        <v>-12.799999999999955</v>
      </c>
      <c r="AU26" s="11">
        <f t="shared" si="21"/>
        <v>-14.600000000000023</v>
      </c>
      <c r="AV26" s="11">
        <f t="shared" si="21"/>
        <v>-11.399999999999977</v>
      </c>
      <c r="AW26" s="28">
        <f>SUM(AS26:AV26)</f>
        <v>-52.699999999999989</v>
      </c>
      <c r="AX26" s="11">
        <f t="shared" ref="AX26:BA27" si="22">AX13+AX16+AX19-AX7</f>
        <v>-15.900000000000034</v>
      </c>
      <c r="AY26" s="11">
        <f t="shared" si="22"/>
        <v>-14.900000000000034</v>
      </c>
      <c r="AZ26" s="11">
        <f t="shared" si="22"/>
        <v>-13.999999999999943</v>
      </c>
      <c r="BA26" s="6">
        <f t="shared" si="22"/>
        <v>-12</v>
      </c>
      <c r="BB26" s="7">
        <f>SUM(AX26:BA26)</f>
        <v>-56.800000000000011</v>
      </c>
      <c r="BC26" s="6">
        <f t="shared" ref="BC26:BF27" si="23">BC13+BC16+BC19-BC7</f>
        <v>-16.699999999999989</v>
      </c>
      <c r="BD26" s="6">
        <f t="shared" si="23"/>
        <v>-18</v>
      </c>
      <c r="BE26" s="6">
        <f t="shared" si="23"/>
        <v>-17.099999999999966</v>
      </c>
      <c r="BF26" s="6">
        <f t="shared" si="23"/>
        <v>-16.200000000000045</v>
      </c>
      <c r="BG26" s="7">
        <f>SUM(BC26:BF26)</f>
        <v>-68</v>
      </c>
      <c r="BH26" s="6">
        <f t="shared" ref="BH26:BK27" si="24">BH13+BH16+BH19-BH7</f>
        <v>-18.500000000000057</v>
      </c>
      <c r="BI26" s="6">
        <f t="shared" si="24"/>
        <v>-18.199999999999989</v>
      </c>
      <c r="BJ26" s="6">
        <f t="shared" si="24"/>
        <v>-16.400000000000034</v>
      </c>
      <c r="BK26" s="6">
        <f t="shared" si="24"/>
        <v>-13.599999999999966</v>
      </c>
      <c r="BL26" s="7">
        <f>SUM(BH26:BK26)</f>
        <v>-66.700000000000045</v>
      </c>
      <c r="BM26" s="6">
        <f t="shared" ref="BM26:BP27" si="25">BM13+BM16+BM19-BM7</f>
        <v>-20.399999999999977</v>
      </c>
      <c r="BN26" s="6">
        <f t="shared" si="25"/>
        <v>-19.899999999999977</v>
      </c>
      <c r="BO26" s="6">
        <f t="shared" si="25"/>
        <v>-15.899999999999977</v>
      </c>
      <c r="BP26" s="6">
        <f t="shared" si="25"/>
        <v>-14.200000000000045</v>
      </c>
      <c r="BQ26" s="7">
        <f>SUM(BM26:BP26)</f>
        <v>-70.399999999999977</v>
      </c>
      <c r="BR26" s="6">
        <f t="shared" ref="BR26:BU27" si="26">BR13+BR16+BR19-BR7</f>
        <v>-18.100000000000023</v>
      </c>
      <c r="BS26" s="6">
        <f t="shared" si="26"/>
        <v>-18.899999999999977</v>
      </c>
      <c r="BT26" s="6">
        <f t="shared" si="26"/>
        <v>-16.199999999999989</v>
      </c>
      <c r="BU26" s="6">
        <f t="shared" si="26"/>
        <v>-14.400000000000034</v>
      </c>
      <c r="BV26" s="7">
        <f>SUM(BR26:BU26)</f>
        <v>-67.600000000000023</v>
      </c>
      <c r="BW26" s="6">
        <f t="shared" ref="BW26:BZ27" si="27">BW13+BW16+BW19-BW7</f>
        <v>-17.100000000000023</v>
      </c>
      <c r="BX26" s="6">
        <f t="shared" si="27"/>
        <v>-15.099999999999966</v>
      </c>
      <c r="BY26" s="6">
        <f t="shared" si="27"/>
        <v>-16.400000000000034</v>
      </c>
      <c r="BZ26" s="6">
        <f t="shared" si="27"/>
        <v>-15</v>
      </c>
      <c r="CA26" s="7">
        <f>SUM(BW26:BZ26)</f>
        <v>-63.600000000000023</v>
      </c>
      <c r="CB26" s="6">
        <f t="shared" ref="CB26:CE27" si="28">CB13+CB16+CB19-CB7</f>
        <v>-19.199999999999989</v>
      </c>
      <c r="CC26" s="6">
        <f t="shared" si="28"/>
        <v>-20.300000000000011</v>
      </c>
      <c r="CD26" s="6">
        <f t="shared" si="28"/>
        <v>-17.200000000000045</v>
      </c>
      <c r="CE26" s="6">
        <f t="shared" si="28"/>
        <v>-17.800000000000011</v>
      </c>
      <c r="CF26" s="7">
        <f>SUM(CB26:CE26)</f>
        <v>-74.500000000000057</v>
      </c>
      <c r="CG26" s="6">
        <f t="shared" ref="CG26:CJ27" si="29">CG13+CG16+CG19-CG7</f>
        <v>-19.199999999999989</v>
      </c>
      <c r="CH26" s="6">
        <f t="shared" si="29"/>
        <v>-21.5</v>
      </c>
      <c r="CI26" s="6">
        <f t="shared" si="29"/>
        <v>-23.300000000000011</v>
      </c>
      <c r="CJ26" s="6">
        <f t="shared" si="29"/>
        <v>-19.400000000000034</v>
      </c>
      <c r="CK26" s="7">
        <f>SUM(CG26:CJ26)</f>
        <v>-83.400000000000034</v>
      </c>
      <c r="CL26" s="6">
        <f>CL13+CL16+CL19-CL7</f>
        <v>-24.800000000000068</v>
      </c>
      <c r="CM26" s="126">
        <v>-20</v>
      </c>
      <c r="CN26" s="126">
        <v>-19</v>
      </c>
      <c r="CO26" s="126">
        <v>-21</v>
      </c>
      <c r="CP26" s="7">
        <f>SUM(CL26:CO26)</f>
        <v>-84.800000000000068</v>
      </c>
      <c r="CQ26" s="65">
        <v>-80</v>
      </c>
      <c r="CR26" s="65">
        <v>-81</v>
      </c>
      <c r="CS26" s="65">
        <v>-82</v>
      </c>
    </row>
    <row r="27" spans="2:97" s="14" customFormat="1">
      <c r="B27" s="13" t="s">
        <v>91</v>
      </c>
      <c r="C27" s="28"/>
      <c r="D27" s="28"/>
      <c r="E27" s="28"/>
      <c r="F27" s="28"/>
      <c r="G27" s="28"/>
      <c r="H27" s="28"/>
      <c r="I27" s="28"/>
      <c r="N27" s="28"/>
      <c r="S27" s="28"/>
      <c r="X27" s="28"/>
      <c r="Y27" s="14">
        <f t="shared" si="17"/>
        <v>-0.70000000000000284</v>
      </c>
      <c r="Z27" s="14">
        <f t="shared" si="17"/>
        <v>-0.89999999999999858</v>
      </c>
      <c r="AA27" s="14">
        <f t="shared" si="17"/>
        <v>-0.40000000000000568</v>
      </c>
      <c r="AB27" s="14">
        <f t="shared" si="17"/>
        <v>-0.39999999999999147</v>
      </c>
      <c r="AC27" s="28">
        <f>SUM(Y27:AB27)</f>
        <v>-2.3999999999999986</v>
      </c>
      <c r="AD27" s="14">
        <f t="shared" si="18"/>
        <v>-0.30000000000001137</v>
      </c>
      <c r="AE27" s="14">
        <f t="shared" si="18"/>
        <v>0</v>
      </c>
      <c r="AF27" s="14">
        <f t="shared" si="18"/>
        <v>0</v>
      </c>
      <c r="AG27" s="14">
        <f t="shared" si="18"/>
        <v>-0.10000000000000853</v>
      </c>
      <c r="AH27" s="28">
        <f>SUM(AD27:AG27)</f>
        <v>-0.4000000000000199</v>
      </c>
      <c r="AI27" s="14">
        <f t="shared" si="19"/>
        <v>0</v>
      </c>
      <c r="AJ27" s="14">
        <f t="shared" si="19"/>
        <v>0</v>
      </c>
      <c r="AK27" s="14">
        <f t="shared" si="19"/>
        <v>-9.9999999999994316E-2</v>
      </c>
      <c r="AL27" s="14">
        <f t="shared" si="19"/>
        <v>0</v>
      </c>
      <c r="AM27" s="28">
        <f>SUM(AI27:AL27)</f>
        <v>-9.9999999999994316E-2</v>
      </c>
      <c r="AN27" s="14">
        <f t="shared" si="20"/>
        <v>0</v>
      </c>
      <c r="AO27" s="14">
        <f t="shared" si="20"/>
        <v>-0.29999999999999716</v>
      </c>
      <c r="AP27" s="14">
        <f t="shared" si="20"/>
        <v>0</v>
      </c>
      <c r="AQ27" s="6">
        <f t="shared" si="20"/>
        <v>-0.29999999999998295</v>
      </c>
      <c r="AR27" s="28">
        <f>SUM(AN27:AQ27)</f>
        <v>-0.5999999999999801</v>
      </c>
      <c r="AS27" s="6">
        <f t="shared" si="21"/>
        <v>-0.29999999999999716</v>
      </c>
      <c r="AT27" s="11">
        <f t="shared" si="21"/>
        <v>-1.3000000000000114</v>
      </c>
      <c r="AU27" s="11">
        <f t="shared" si="21"/>
        <v>-0.29999999999999716</v>
      </c>
      <c r="AV27" s="11">
        <f t="shared" si="21"/>
        <v>-0.79999999999999716</v>
      </c>
      <c r="AW27" s="28">
        <f>SUM(AS27:AV27)</f>
        <v>-2.7000000000000028</v>
      </c>
      <c r="AX27" s="11">
        <f t="shared" si="22"/>
        <v>-9.9999999999994316E-2</v>
      </c>
      <c r="AY27" s="11">
        <f t="shared" si="22"/>
        <v>-0.20000000000000284</v>
      </c>
      <c r="AZ27" s="11">
        <f t="shared" si="22"/>
        <v>-0.90000000000000568</v>
      </c>
      <c r="BA27" s="6">
        <f t="shared" si="22"/>
        <v>-0.79999999999999716</v>
      </c>
      <c r="BB27" s="7">
        <f>SUM(AX27:BA27)</f>
        <v>-2</v>
      </c>
      <c r="BC27" s="6">
        <f t="shared" si="23"/>
        <v>-0.59999999999999432</v>
      </c>
      <c r="BD27" s="6">
        <f t="shared" si="23"/>
        <v>-0.5</v>
      </c>
      <c r="BE27" s="6">
        <f t="shared" si="23"/>
        <v>-0.10000000000000853</v>
      </c>
      <c r="BF27" s="6">
        <f t="shared" si="23"/>
        <v>-0.59999999999999432</v>
      </c>
      <c r="BG27" s="7">
        <f>SUM(BC27:BF27)</f>
        <v>-1.7999999999999972</v>
      </c>
      <c r="BH27" s="6">
        <f t="shared" si="24"/>
        <v>-9.9999999999994316E-2</v>
      </c>
      <c r="BI27" s="6">
        <f t="shared" si="24"/>
        <v>-0.5</v>
      </c>
      <c r="BJ27" s="6">
        <f t="shared" si="24"/>
        <v>-0.40000000000000568</v>
      </c>
      <c r="BK27" s="6">
        <f t="shared" si="24"/>
        <v>-0.79999999999999716</v>
      </c>
      <c r="BL27" s="7">
        <f>SUM(BH27:BK27)</f>
        <v>-1.7999999999999972</v>
      </c>
      <c r="BM27" s="6">
        <f t="shared" si="25"/>
        <v>-9.9999999999994316E-2</v>
      </c>
      <c r="BN27" s="6">
        <f t="shared" si="25"/>
        <v>0</v>
      </c>
      <c r="BO27" s="6">
        <f t="shared" si="25"/>
        <v>0</v>
      </c>
      <c r="BP27" s="6">
        <f t="shared" si="25"/>
        <v>-8.4000000000000057</v>
      </c>
      <c r="BQ27" s="7">
        <f>SUM(BM27:BP27)</f>
        <v>-8.5</v>
      </c>
      <c r="BR27" s="6">
        <f t="shared" si="26"/>
        <v>0</v>
      </c>
      <c r="BS27" s="6">
        <f t="shared" si="26"/>
        <v>0</v>
      </c>
      <c r="BT27" s="6">
        <f t="shared" si="26"/>
        <v>0</v>
      </c>
      <c r="BU27" s="6">
        <f t="shared" si="26"/>
        <v>-9.9999999999994316E-2</v>
      </c>
      <c r="BV27" s="7">
        <f>SUM(BR27:BU27)</f>
        <v>-9.9999999999994316E-2</v>
      </c>
      <c r="BW27" s="6">
        <f t="shared" si="27"/>
        <v>0</v>
      </c>
      <c r="BX27" s="6">
        <f t="shared" si="27"/>
        <v>0</v>
      </c>
      <c r="BY27" s="6">
        <f t="shared" si="27"/>
        <v>0</v>
      </c>
      <c r="BZ27" s="6">
        <f t="shared" si="27"/>
        <v>-0.40000000000000568</v>
      </c>
      <c r="CA27" s="7">
        <f>SUM(BW27:BZ27)</f>
        <v>-0.40000000000000568</v>
      </c>
      <c r="CB27" s="6">
        <f t="shared" si="28"/>
        <v>0</v>
      </c>
      <c r="CC27" s="6">
        <f t="shared" si="28"/>
        <v>0</v>
      </c>
      <c r="CD27" s="6">
        <f t="shared" si="28"/>
        <v>0</v>
      </c>
      <c r="CE27" s="6">
        <f t="shared" si="28"/>
        <v>-0.19999999999998863</v>
      </c>
      <c r="CF27" s="7">
        <f>SUM(CB27:CE27)</f>
        <v>-0.19999999999998863</v>
      </c>
      <c r="CG27" s="6">
        <f t="shared" si="29"/>
        <v>-0.10000000000000853</v>
      </c>
      <c r="CH27" s="6">
        <f t="shared" si="29"/>
        <v>0</v>
      </c>
      <c r="CI27" s="6">
        <f t="shared" si="29"/>
        <v>0</v>
      </c>
      <c r="CJ27" s="6">
        <f t="shared" si="29"/>
        <v>-0.69999999999993179</v>
      </c>
      <c r="CK27" s="7">
        <f>SUM(CG27:CJ27)</f>
        <v>-0.79999999999994031</v>
      </c>
      <c r="CL27" s="6">
        <f>CL14+CL17+CL20-CL8</f>
        <v>-0.5</v>
      </c>
      <c r="CM27" s="126">
        <v>0</v>
      </c>
      <c r="CN27" s="126">
        <v>0</v>
      </c>
      <c r="CO27" s="126">
        <v>-1</v>
      </c>
      <c r="CP27" s="7">
        <f>SUM(CL27:CO27)</f>
        <v>-1.5</v>
      </c>
      <c r="CQ27" s="65">
        <v>-1</v>
      </c>
      <c r="CR27" s="65">
        <v>-1</v>
      </c>
      <c r="CS27" s="65">
        <v>-1</v>
      </c>
    </row>
    <row r="28" spans="2:97" s="14" customFormat="1">
      <c r="B28" s="116" t="s">
        <v>277</v>
      </c>
      <c r="C28" s="117"/>
      <c r="D28" s="117"/>
      <c r="E28" s="117"/>
      <c r="F28" s="117"/>
      <c r="G28" s="117"/>
      <c r="H28" s="117"/>
      <c r="I28" s="117"/>
      <c r="J28" s="116"/>
      <c r="K28" s="116"/>
      <c r="L28" s="116"/>
      <c r="M28" s="116"/>
      <c r="N28" s="117"/>
      <c r="O28" s="116"/>
      <c r="P28" s="116"/>
      <c r="Q28" s="116"/>
      <c r="R28" s="116"/>
      <c r="S28" s="117"/>
      <c r="T28" s="116"/>
      <c r="U28" s="116"/>
      <c r="V28" s="116"/>
      <c r="W28" s="116"/>
      <c r="X28" s="117"/>
      <c r="Y28" s="116">
        <f t="shared" ref="Y28:BD28" si="30">SUM(Y26:Y27)</f>
        <v>-10.59999999999998</v>
      </c>
      <c r="Z28" s="116">
        <f t="shared" si="30"/>
        <v>-9.3000000000000043</v>
      </c>
      <c r="AA28" s="116">
        <f t="shared" si="30"/>
        <v>-8</v>
      </c>
      <c r="AB28" s="116">
        <f t="shared" si="30"/>
        <v>-8.5999999999999801</v>
      </c>
      <c r="AC28" s="117">
        <f t="shared" si="30"/>
        <v>-36.499999999999964</v>
      </c>
      <c r="AD28" s="116">
        <f t="shared" si="30"/>
        <v>-11.299999999999955</v>
      </c>
      <c r="AE28" s="116">
        <f t="shared" si="30"/>
        <v>-10.800000000000011</v>
      </c>
      <c r="AF28" s="116">
        <f t="shared" si="30"/>
        <v>-9.1999999999999886</v>
      </c>
      <c r="AG28" s="116">
        <f t="shared" si="30"/>
        <v>-9.2000000000000881</v>
      </c>
      <c r="AH28" s="117">
        <f t="shared" si="30"/>
        <v>-40.500000000000043</v>
      </c>
      <c r="AI28" s="116">
        <f t="shared" si="30"/>
        <v>-9.0999999999999943</v>
      </c>
      <c r="AJ28" s="116">
        <f t="shared" si="30"/>
        <v>-6.3999999999999773</v>
      </c>
      <c r="AK28" s="116">
        <f t="shared" si="30"/>
        <v>-6.2999999999999829</v>
      </c>
      <c r="AL28" s="116">
        <f t="shared" si="30"/>
        <v>-5.5</v>
      </c>
      <c r="AM28" s="117">
        <f t="shared" si="30"/>
        <v>-27.299999999999955</v>
      </c>
      <c r="AN28" s="116">
        <f t="shared" si="30"/>
        <v>-8.9000000000000057</v>
      </c>
      <c r="AO28" s="116">
        <f t="shared" si="30"/>
        <v>-11.800000000000026</v>
      </c>
      <c r="AP28" s="116">
        <f t="shared" si="30"/>
        <v>-9.8000000000000114</v>
      </c>
      <c r="AQ28" s="116">
        <f t="shared" si="30"/>
        <v>-8.8000000000000114</v>
      </c>
      <c r="AR28" s="117">
        <f t="shared" si="30"/>
        <v>-39.300000000000054</v>
      </c>
      <c r="AS28" s="116">
        <f t="shared" si="30"/>
        <v>-14.200000000000031</v>
      </c>
      <c r="AT28" s="116">
        <f t="shared" si="30"/>
        <v>-14.099999999999966</v>
      </c>
      <c r="AU28" s="116">
        <f t="shared" si="30"/>
        <v>-14.90000000000002</v>
      </c>
      <c r="AV28" s="116">
        <f t="shared" si="30"/>
        <v>-12.199999999999974</v>
      </c>
      <c r="AW28" s="117">
        <f t="shared" si="30"/>
        <v>-55.399999999999991</v>
      </c>
      <c r="AX28" s="116">
        <f t="shared" si="30"/>
        <v>-16.000000000000028</v>
      </c>
      <c r="AY28" s="116">
        <f t="shared" si="30"/>
        <v>-15.100000000000037</v>
      </c>
      <c r="AZ28" s="116">
        <f t="shared" si="30"/>
        <v>-14.899999999999949</v>
      </c>
      <c r="BA28" s="116">
        <f t="shared" si="30"/>
        <v>-12.799999999999997</v>
      </c>
      <c r="BB28" s="117">
        <f t="shared" si="30"/>
        <v>-58.800000000000011</v>
      </c>
      <c r="BC28" s="116">
        <f t="shared" si="30"/>
        <v>-17.299999999999983</v>
      </c>
      <c r="BD28" s="116">
        <f t="shared" si="30"/>
        <v>-18.5</v>
      </c>
      <c r="BE28" s="116">
        <f t="shared" ref="BE28:CJ28" si="31">SUM(BE26:BE27)</f>
        <v>-17.199999999999974</v>
      </c>
      <c r="BF28" s="116">
        <f t="shared" si="31"/>
        <v>-16.80000000000004</v>
      </c>
      <c r="BG28" s="117">
        <f t="shared" si="31"/>
        <v>-69.8</v>
      </c>
      <c r="BH28" s="116">
        <f t="shared" si="31"/>
        <v>-18.600000000000051</v>
      </c>
      <c r="BI28" s="116">
        <f t="shared" si="31"/>
        <v>-18.699999999999989</v>
      </c>
      <c r="BJ28" s="116">
        <f t="shared" si="31"/>
        <v>-16.80000000000004</v>
      </c>
      <c r="BK28" s="116">
        <f t="shared" si="31"/>
        <v>-14.399999999999963</v>
      </c>
      <c r="BL28" s="117">
        <f t="shared" si="31"/>
        <v>-68.500000000000043</v>
      </c>
      <c r="BM28" s="116">
        <f t="shared" si="31"/>
        <v>-20.499999999999972</v>
      </c>
      <c r="BN28" s="116">
        <f t="shared" si="31"/>
        <v>-19.899999999999977</v>
      </c>
      <c r="BO28" s="116">
        <f t="shared" si="31"/>
        <v>-15.899999999999977</v>
      </c>
      <c r="BP28" s="116">
        <f t="shared" si="31"/>
        <v>-22.600000000000051</v>
      </c>
      <c r="BQ28" s="117">
        <f t="shared" si="31"/>
        <v>-78.899999999999977</v>
      </c>
      <c r="BR28" s="116">
        <f t="shared" si="31"/>
        <v>-18.100000000000023</v>
      </c>
      <c r="BS28" s="116">
        <f t="shared" si="31"/>
        <v>-18.899999999999977</v>
      </c>
      <c r="BT28" s="116">
        <f t="shared" si="31"/>
        <v>-16.199999999999989</v>
      </c>
      <c r="BU28" s="116">
        <f t="shared" si="31"/>
        <v>-14.500000000000028</v>
      </c>
      <c r="BV28" s="117">
        <f t="shared" si="31"/>
        <v>-67.700000000000017</v>
      </c>
      <c r="BW28" s="116">
        <f t="shared" si="31"/>
        <v>-17.100000000000023</v>
      </c>
      <c r="BX28" s="116">
        <f t="shared" si="31"/>
        <v>-15.099999999999966</v>
      </c>
      <c r="BY28" s="116">
        <f t="shared" si="31"/>
        <v>-16.400000000000034</v>
      </c>
      <c r="BZ28" s="116">
        <f t="shared" si="31"/>
        <v>-15.400000000000006</v>
      </c>
      <c r="CA28" s="117">
        <f t="shared" si="31"/>
        <v>-64.000000000000028</v>
      </c>
      <c r="CB28" s="116">
        <f t="shared" si="31"/>
        <v>-19.199999999999989</v>
      </c>
      <c r="CC28" s="116">
        <f t="shared" si="31"/>
        <v>-20.300000000000011</v>
      </c>
      <c r="CD28" s="116">
        <f t="shared" si="31"/>
        <v>-17.200000000000045</v>
      </c>
      <c r="CE28" s="116">
        <f t="shared" si="31"/>
        <v>-18</v>
      </c>
      <c r="CF28" s="117">
        <f t="shared" si="31"/>
        <v>-74.700000000000045</v>
      </c>
      <c r="CG28" s="116">
        <f t="shared" si="31"/>
        <v>-19.299999999999997</v>
      </c>
      <c r="CH28" s="116">
        <f t="shared" si="31"/>
        <v>-21.5</v>
      </c>
      <c r="CI28" s="116">
        <f t="shared" si="31"/>
        <v>-23.300000000000011</v>
      </c>
      <c r="CJ28" s="116">
        <f t="shared" si="31"/>
        <v>-20.099999999999966</v>
      </c>
      <c r="CK28" s="117">
        <f t="shared" ref="CK28:CS28" si="32">SUM(CK26:CK27)</f>
        <v>-84.199999999999974</v>
      </c>
      <c r="CL28" s="116">
        <f t="shared" si="32"/>
        <v>-25.300000000000068</v>
      </c>
      <c r="CM28" s="116">
        <f t="shared" si="32"/>
        <v>-20</v>
      </c>
      <c r="CN28" s="116">
        <f t="shared" si="32"/>
        <v>-19</v>
      </c>
      <c r="CO28" s="116">
        <f t="shared" si="32"/>
        <v>-22</v>
      </c>
      <c r="CP28" s="117">
        <f t="shared" si="32"/>
        <v>-86.300000000000068</v>
      </c>
      <c r="CQ28" s="117">
        <f t="shared" si="32"/>
        <v>-81</v>
      </c>
      <c r="CR28" s="117">
        <f t="shared" si="32"/>
        <v>-82</v>
      </c>
      <c r="CS28" s="117">
        <f t="shared" si="32"/>
        <v>-83</v>
      </c>
    </row>
    <row r="29" spans="2:97" s="14" customFormat="1">
      <c r="B29" s="13"/>
      <c r="C29" s="28"/>
      <c r="D29" s="28"/>
      <c r="E29" s="28"/>
      <c r="F29" s="28"/>
      <c r="G29" s="28"/>
      <c r="H29" s="28"/>
      <c r="I29" s="28"/>
      <c r="N29" s="28"/>
      <c r="S29" s="28"/>
      <c r="X29" s="28"/>
      <c r="AC29" s="28"/>
      <c r="AH29" s="28"/>
      <c r="AM29" s="28"/>
      <c r="AP29" s="11"/>
      <c r="AQ29" s="11"/>
      <c r="AR29" s="21"/>
      <c r="AS29" s="11"/>
      <c r="AT29" s="11"/>
      <c r="AU29" s="11"/>
      <c r="AV29" s="11"/>
      <c r="AW29" s="21"/>
      <c r="AX29" s="11"/>
      <c r="AY29" s="11"/>
      <c r="AZ29" s="11"/>
      <c r="BA29" s="11"/>
      <c r="BB29" s="21"/>
      <c r="BC29" s="11"/>
      <c r="BD29" s="11"/>
      <c r="BE29" s="11"/>
      <c r="BF29" s="11"/>
      <c r="BG29" s="21"/>
      <c r="BH29" s="11"/>
      <c r="BI29" s="11"/>
      <c r="BJ29" s="11"/>
      <c r="BK29" s="11"/>
      <c r="BL29" s="21"/>
      <c r="BM29" s="11"/>
      <c r="BN29" s="11"/>
      <c r="BO29" s="11"/>
      <c r="BP29" s="11"/>
      <c r="BQ29" s="21"/>
      <c r="BR29" s="11"/>
      <c r="BS29" s="11"/>
      <c r="BT29" s="11"/>
      <c r="BU29" s="11"/>
      <c r="BV29" s="21"/>
      <c r="BW29" s="11"/>
      <c r="BX29" s="11"/>
      <c r="BY29" s="11"/>
      <c r="BZ29" s="11"/>
      <c r="CA29" s="21"/>
      <c r="CB29" s="11"/>
      <c r="CC29" s="11"/>
      <c r="CD29" s="11"/>
      <c r="CE29" s="11"/>
      <c r="CF29" s="21"/>
      <c r="CG29" s="11"/>
      <c r="CH29" s="11"/>
      <c r="CI29" s="11"/>
      <c r="CJ29" s="11"/>
      <c r="CK29" s="21"/>
      <c r="CL29" s="11"/>
      <c r="CM29" s="11"/>
      <c r="CN29" s="11"/>
      <c r="CO29" s="11"/>
      <c r="CP29" s="21"/>
      <c r="CQ29" s="21"/>
      <c r="CR29" s="21"/>
      <c r="CS29" s="21"/>
    </row>
    <row r="30" spans="2:97" s="14" customFormat="1">
      <c r="B30" s="15" t="s">
        <v>119</v>
      </c>
      <c r="C30" s="28"/>
      <c r="D30" s="28"/>
      <c r="E30" s="28"/>
      <c r="F30" s="28"/>
      <c r="G30" s="28"/>
      <c r="H30" s="28"/>
      <c r="I30" s="28"/>
      <c r="N30" s="28"/>
      <c r="S30" s="28"/>
      <c r="X30" s="28"/>
      <c r="AC30" s="28"/>
      <c r="AH30" s="28"/>
      <c r="AM30" s="28"/>
      <c r="AP30" s="11"/>
      <c r="AQ30" s="11"/>
      <c r="AR30" s="21"/>
      <c r="AS30" s="11"/>
      <c r="AT30" s="11"/>
      <c r="AU30" s="11"/>
      <c r="AV30" s="11"/>
      <c r="AW30" s="21"/>
      <c r="AX30" s="11"/>
      <c r="AY30" s="11"/>
      <c r="AZ30" s="11"/>
      <c r="BA30" s="11"/>
      <c r="BB30" s="21"/>
      <c r="BC30" s="11"/>
      <c r="BD30" s="11"/>
      <c r="BE30" s="11"/>
      <c r="BF30" s="11"/>
      <c r="BG30" s="21"/>
      <c r="BH30" s="11"/>
      <c r="BI30" s="11"/>
      <c r="BJ30" s="11"/>
      <c r="BK30" s="11"/>
      <c r="BL30" s="21"/>
      <c r="BM30" s="11"/>
      <c r="BN30" s="11"/>
      <c r="BO30" s="11"/>
      <c r="BP30" s="11"/>
      <c r="BQ30" s="21"/>
      <c r="BR30" s="11"/>
      <c r="BS30" s="11"/>
      <c r="BT30" s="11"/>
      <c r="BU30" s="11"/>
      <c r="BV30" s="21"/>
      <c r="BW30" s="11"/>
      <c r="BX30" s="11"/>
      <c r="BY30" s="11"/>
      <c r="BZ30" s="11"/>
      <c r="CA30" s="21"/>
      <c r="CB30" s="11"/>
      <c r="CC30" s="11"/>
      <c r="CD30" s="11"/>
      <c r="CE30" s="11"/>
      <c r="CF30" s="21"/>
      <c r="CG30" s="11"/>
      <c r="CH30" s="11"/>
      <c r="CI30" s="11"/>
      <c r="CJ30" s="11"/>
      <c r="CK30" s="21"/>
      <c r="CL30" s="11"/>
      <c r="CM30" s="11"/>
      <c r="CN30" s="11"/>
      <c r="CO30" s="11"/>
      <c r="CP30" s="21"/>
      <c r="CQ30" s="21"/>
      <c r="CR30" s="21"/>
      <c r="CS30" s="21"/>
    </row>
    <row r="31" spans="2:97" s="14" customFormat="1">
      <c r="B31" s="13" t="s">
        <v>94</v>
      </c>
      <c r="C31" s="28"/>
      <c r="D31" s="105">
        <f t="shared" ref="D31:I31" si="33">D15/C15-1</f>
        <v>0.12169400736524949</v>
      </c>
      <c r="E31" s="105">
        <f t="shared" si="33"/>
        <v>-4.2530965527533215E-2</v>
      </c>
      <c r="F31" s="105">
        <f t="shared" si="33"/>
        <v>-0.17581047381546144</v>
      </c>
      <c r="G31" s="105">
        <f t="shared" si="33"/>
        <v>1.9099848714069667E-2</v>
      </c>
      <c r="H31" s="105">
        <f t="shared" si="33"/>
        <v>-0.27426238634254951</v>
      </c>
      <c r="I31" s="105">
        <f t="shared" si="33"/>
        <v>-3.0682689849144129E-3</v>
      </c>
      <c r="N31" s="105">
        <f t="shared" ref="N31:AS31" si="34">N15/I15-1</f>
        <v>0.18500897666068239</v>
      </c>
      <c r="O31" s="106">
        <f t="shared" si="34"/>
        <v>0.18733031674208145</v>
      </c>
      <c r="P31" s="106">
        <f t="shared" si="34"/>
        <v>0.25567190226876102</v>
      </c>
      <c r="Q31" s="106">
        <f t="shared" si="34"/>
        <v>7.1244635193133066E-2</v>
      </c>
      <c r="R31" s="106">
        <f t="shared" si="34"/>
        <v>7.5268817204300564E-2</v>
      </c>
      <c r="S31" s="105">
        <f t="shared" si="34"/>
        <v>0.14580064280844507</v>
      </c>
      <c r="T31" s="106">
        <f t="shared" si="34"/>
        <v>0.16768292682926833</v>
      </c>
      <c r="U31" s="106">
        <f t="shared" si="34"/>
        <v>0.11327310632383591</v>
      </c>
      <c r="V31" s="106">
        <f t="shared" si="34"/>
        <v>0.20112179487179493</v>
      </c>
      <c r="W31" s="106">
        <f t="shared" si="34"/>
        <v>0.19459459459459549</v>
      </c>
      <c r="X31" s="105">
        <f t="shared" si="34"/>
        <v>0.1673592746505479</v>
      </c>
      <c r="Y31" s="106">
        <f t="shared" si="34"/>
        <v>-6.0052219321148792E-2</v>
      </c>
      <c r="Z31" s="106">
        <f t="shared" si="34"/>
        <v>-3.433208489388262E-2</v>
      </c>
      <c r="AA31" s="106">
        <f t="shared" si="34"/>
        <v>1.9346230820546984E-2</v>
      </c>
      <c r="AB31" s="106">
        <f t="shared" si="34"/>
        <v>0.10084033613445342</v>
      </c>
      <c r="AC31" s="105">
        <f t="shared" si="34"/>
        <v>6.1488673139160621E-3</v>
      </c>
      <c r="AD31" s="106">
        <f t="shared" si="34"/>
        <v>0.33263888888888915</v>
      </c>
      <c r="AE31" s="106">
        <f t="shared" si="34"/>
        <v>0.28442146089204923</v>
      </c>
      <c r="AF31" s="106">
        <f t="shared" si="34"/>
        <v>0.1551047120418847</v>
      </c>
      <c r="AG31" s="106">
        <f t="shared" si="34"/>
        <v>-0.15913094539048744</v>
      </c>
      <c r="AH31" s="105">
        <f t="shared" si="34"/>
        <v>0.14232872306207778</v>
      </c>
      <c r="AI31" s="106">
        <f t="shared" si="34"/>
        <v>-0.19854090672225122</v>
      </c>
      <c r="AJ31" s="106">
        <f t="shared" si="34"/>
        <v>-0.30649219929542015</v>
      </c>
      <c r="AK31" s="106">
        <f t="shared" si="34"/>
        <v>-0.27762039660056659</v>
      </c>
      <c r="AL31" s="106">
        <f t="shared" si="34"/>
        <v>-4.2597765363128204E-2</v>
      </c>
      <c r="AM31" s="105">
        <f t="shared" si="34"/>
        <v>-0.21695058426017189</v>
      </c>
      <c r="AN31" s="106">
        <f t="shared" si="34"/>
        <v>-1.1703511053316018E-2</v>
      </c>
      <c r="AO31" s="106">
        <f t="shared" si="34"/>
        <v>0.1683599419448476</v>
      </c>
      <c r="AP31" s="110">
        <f t="shared" si="34"/>
        <v>0.23607843137254902</v>
      </c>
      <c r="AQ31" s="110">
        <f t="shared" si="34"/>
        <v>0.26987600291757841</v>
      </c>
      <c r="AR31" s="124">
        <f t="shared" si="34"/>
        <v>0.15911542610571749</v>
      </c>
      <c r="AS31" s="110">
        <f t="shared" si="34"/>
        <v>0.30000000000000004</v>
      </c>
      <c r="AT31" s="110">
        <f t="shared" ref="AT31:BY31" si="35">AT15/AO15-1</f>
        <v>0.29068322981366457</v>
      </c>
      <c r="AU31" s="110">
        <f t="shared" si="35"/>
        <v>0.31598984771573613</v>
      </c>
      <c r="AV31" s="110">
        <f t="shared" si="35"/>
        <v>0.21022400919012041</v>
      </c>
      <c r="AW31" s="124">
        <f t="shared" si="35"/>
        <v>0.27733829688227063</v>
      </c>
      <c r="AX31" s="110">
        <f t="shared" si="35"/>
        <v>0.2262145748987856</v>
      </c>
      <c r="AY31" s="110">
        <f t="shared" si="35"/>
        <v>0.12367661212704517</v>
      </c>
      <c r="AZ31" s="110">
        <f t="shared" si="35"/>
        <v>0.12873674059787854</v>
      </c>
      <c r="BA31" s="110">
        <f t="shared" si="35"/>
        <v>0.11153298528713806</v>
      </c>
      <c r="BB31" s="124">
        <f t="shared" si="35"/>
        <v>0.14644808743169402</v>
      </c>
      <c r="BC31" s="110">
        <f t="shared" si="35"/>
        <v>0.10978126289723478</v>
      </c>
      <c r="BD31" s="110">
        <f t="shared" si="35"/>
        <v>0.15631691648822277</v>
      </c>
      <c r="BE31" s="110">
        <f t="shared" si="35"/>
        <v>0.11917983767620655</v>
      </c>
      <c r="BF31" s="110">
        <f t="shared" si="35"/>
        <v>0.2109308283518363</v>
      </c>
      <c r="BG31" s="124">
        <f t="shared" si="35"/>
        <v>0.14871306005719731</v>
      </c>
      <c r="BH31" s="110">
        <f t="shared" si="35"/>
        <v>0.12755671253254031</v>
      </c>
      <c r="BI31" s="110">
        <f t="shared" si="35"/>
        <v>0.14148148148148154</v>
      </c>
      <c r="BJ31" s="110">
        <f t="shared" si="35"/>
        <v>0.13167938931297707</v>
      </c>
      <c r="BK31" s="110">
        <f t="shared" si="35"/>
        <v>8.392101551480935E-2</v>
      </c>
      <c r="BL31" s="124">
        <f t="shared" si="35"/>
        <v>0.12060857538035985</v>
      </c>
      <c r="BM31" s="110">
        <f t="shared" si="35"/>
        <v>5.6398416886543457E-2</v>
      </c>
      <c r="BN31" s="110">
        <f t="shared" si="35"/>
        <v>5.3536664503569087E-2</v>
      </c>
      <c r="BO31" s="110">
        <f t="shared" si="35"/>
        <v>6.0708263069140012E-2</v>
      </c>
      <c r="BP31" s="110">
        <f t="shared" si="35"/>
        <v>6.1808718282368336E-2</v>
      </c>
      <c r="BQ31" s="124">
        <f t="shared" si="35"/>
        <v>5.8092652020077296E-2</v>
      </c>
      <c r="BR31" s="110">
        <f t="shared" si="35"/>
        <v>9.3662191695285557E-2</v>
      </c>
      <c r="BS31" s="110">
        <f t="shared" si="35"/>
        <v>0.13489374807514642</v>
      </c>
      <c r="BT31" s="110">
        <f t="shared" si="35"/>
        <v>0.14658187599364081</v>
      </c>
      <c r="BU31" s="110">
        <f t="shared" si="35"/>
        <v>7.1997549019607865E-2</v>
      </c>
      <c r="BV31" s="124">
        <f t="shared" si="35"/>
        <v>0.11151722528968033</v>
      </c>
      <c r="BW31" s="110">
        <f t="shared" si="35"/>
        <v>-8.8495575221239076E-3</v>
      </c>
      <c r="BX31" s="110">
        <f t="shared" si="35"/>
        <v>-5.2917232021709615E-2</v>
      </c>
      <c r="BY31" s="110">
        <f t="shared" si="35"/>
        <v>-2.2185246810870751E-2</v>
      </c>
      <c r="BZ31" s="110">
        <f t="shared" ref="BZ31:CL31" si="36">BZ15/BU15-1</f>
        <v>3.2009145470134559E-2</v>
      </c>
      <c r="CA31" s="124">
        <f t="shared" si="36"/>
        <v>-1.3573077730357541E-2</v>
      </c>
      <c r="CB31" s="110">
        <f t="shared" si="36"/>
        <v>0.10224654377880182</v>
      </c>
      <c r="CC31" s="110">
        <f t="shared" si="36"/>
        <v>9.9713467048710536E-2</v>
      </c>
      <c r="CD31" s="110">
        <f t="shared" si="36"/>
        <v>5.8139534883721034E-2</v>
      </c>
      <c r="CE31" s="110">
        <f t="shared" si="36"/>
        <v>6.7294378288562662E-2</v>
      </c>
      <c r="CF31" s="124">
        <f t="shared" si="36"/>
        <v>8.1636995531598089E-2</v>
      </c>
      <c r="CG31" s="110">
        <f t="shared" si="36"/>
        <v>8.5706819963417891E-2</v>
      </c>
      <c r="CH31" s="110">
        <f t="shared" si="36"/>
        <v>8.5200625325690504E-2</v>
      </c>
      <c r="CI31" s="110">
        <f t="shared" si="36"/>
        <v>3.430715625837566E-2</v>
      </c>
      <c r="CJ31" s="110">
        <f t="shared" si="36"/>
        <v>-1.4530358069537952E-2</v>
      </c>
      <c r="CK31" s="124">
        <f t="shared" si="36"/>
        <v>4.7672131147540764E-2</v>
      </c>
      <c r="CL31" s="110">
        <f t="shared" si="36"/>
        <v>-0.12659446450060174</v>
      </c>
      <c r="CM31" s="125">
        <v>-0.7</v>
      </c>
      <c r="CN31" s="125">
        <v>-0.55000000000000004</v>
      </c>
      <c r="CO31" s="125">
        <v>-0.4</v>
      </c>
      <c r="CP31" s="124">
        <f>CP15/CK15-1</f>
        <v>-0.44333416786630775</v>
      </c>
      <c r="CQ31" s="123">
        <v>0.13</v>
      </c>
      <c r="CR31" s="123">
        <v>0.12</v>
      </c>
      <c r="CS31" s="123">
        <v>0.15</v>
      </c>
    </row>
    <row r="32" spans="2:97" s="14" customFormat="1">
      <c r="B32" s="13" t="s">
        <v>95</v>
      </c>
      <c r="C32" s="28"/>
      <c r="D32" s="105">
        <f t="shared" ref="D32:I32" si="37">D18/C18-1</f>
        <v>3.9502164502164483E-2</v>
      </c>
      <c r="E32" s="105">
        <f t="shared" si="37"/>
        <v>9.9947943779281623E-2</v>
      </c>
      <c r="F32" s="105">
        <f t="shared" si="37"/>
        <v>7.6668244202555469E-2</v>
      </c>
      <c r="G32" s="105">
        <f t="shared" si="37"/>
        <v>9.9780219780219781E-2</v>
      </c>
      <c r="H32" s="105">
        <f t="shared" si="37"/>
        <v>1.4788169464428513E-2</v>
      </c>
      <c r="I32" s="105">
        <f t="shared" si="37"/>
        <v>8.2709728239464209E-2</v>
      </c>
      <c r="N32" s="105">
        <f t="shared" ref="N32:AS32" si="38">N18/I18-1</f>
        <v>0.28986904328846852</v>
      </c>
      <c r="O32" s="106">
        <f t="shared" si="38"/>
        <v>0.10011778563015317</v>
      </c>
      <c r="P32" s="106">
        <f t="shared" si="38"/>
        <v>6.0475161987041171E-2</v>
      </c>
      <c r="Q32" s="106">
        <f t="shared" si="38"/>
        <v>4.5300113250283935E-3</v>
      </c>
      <c r="R32" s="106">
        <f t="shared" si="38"/>
        <v>-3.6999493157627628E-2</v>
      </c>
      <c r="S32" s="105">
        <f t="shared" si="38"/>
        <v>3.1628523485201177E-2</v>
      </c>
      <c r="T32" s="106">
        <f t="shared" si="38"/>
        <v>-6.1027837259100659E-2</v>
      </c>
      <c r="U32" s="106">
        <f t="shared" si="38"/>
        <v>-9.7759674134419661E-2</v>
      </c>
      <c r="V32" s="106">
        <f t="shared" si="38"/>
        <v>-0.1375422773393461</v>
      </c>
      <c r="W32" s="106">
        <f t="shared" si="38"/>
        <v>-0.30643274853801161</v>
      </c>
      <c r="X32" s="105">
        <f t="shared" si="38"/>
        <v>-0.1468015308911973</v>
      </c>
      <c r="Y32" s="106">
        <f t="shared" si="38"/>
        <v>-0.15507411630558721</v>
      </c>
      <c r="Z32" s="106">
        <f t="shared" si="38"/>
        <v>-0.14334085778781047</v>
      </c>
      <c r="AA32" s="106">
        <f t="shared" si="38"/>
        <v>-0.11241830065359493</v>
      </c>
      <c r="AB32" s="106">
        <f t="shared" si="38"/>
        <v>0.27655986509274855</v>
      </c>
      <c r="AC32" s="105">
        <f t="shared" si="38"/>
        <v>-5.9275873117590527E-2</v>
      </c>
      <c r="AD32" s="106">
        <f t="shared" si="38"/>
        <v>5.8029689608636748E-2</v>
      </c>
      <c r="AE32" s="106">
        <f t="shared" si="38"/>
        <v>0.13043478260869579</v>
      </c>
      <c r="AF32" s="106">
        <f t="shared" si="38"/>
        <v>0.16789396170839477</v>
      </c>
      <c r="AG32" s="106">
        <f t="shared" si="38"/>
        <v>-8.5865257595772793E-2</v>
      </c>
      <c r="AH32" s="105">
        <f t="shared" si="38"/>
        <v>6.505449591280632E-2</v>
      </c>
      <c r="AI32" s="106">
        <f t="shared" si="38"/>
        <v>-2.8061224489795755E-2</v>
      </c>
      <c r="AJ32" s="106">
        <f t="shared" si="38"/>
        <v>-0.24475524475524457</v>
      </c>
      <c r="AK32" s="106">
        <f t="shared" si="38"/>
        <v>-0.30517023959646905</v>
      </c>
      <c r="AL32" s="106">
        <f t="shared" si="38"/>
        <v>-0.1835260115606937</v>
      </c>
      <c r="AM32" s="105">
        <f t="shared" si="38"/>
        <v>-0.19219699392388856</v>
      </c>
      <c r="AN32" s="106">
        <f t="shared" si="38"/>
        <v>-0.49475065616797897</v>
      </c>
      <c r="AO32" s="106">
        <f t="shared" si="38"/>
        <v>-1.5432098765433278E-3</v>
      </c>
      <c r="AP32" s="110">
        <f t="shared" si="38"/>
        <v>0.1343012704174229</v>
      </c>
      <c r="AQ32" s="110">
        <f t="shared" si="38"/>
        <v>-6.7256637168141675E-2</v>
      </c>
      <c r="AR32" s="124">
        <f t="shared" si="38"/>
        <v>-0.13539192399049882</v>
      </c>
      <c r="AS32" s="110">
        <f t="shared" si="38"/>
        <v>0.41038961038961053</v>
      </c>
      <c r="AT32" s="110">
        <f t="shared" ref="AT32:BY32" si="39">AT18/AO18-1</f>
        <v>-7.7279752704790816E-3</v>
      </c>
      <c r="AU32" s="110">
        <f t="shared" si="39"/>
        <v>1.6000000000000014E-2</v>
      </c>
      <c r="AV32" s="110">
        <f t="shared" si="39"/>
        <v>0.28083491461100585</v>
      </c>
      <c r="AW32" s="124">
        <f t="shared" si="39"/>
        <v>0.14239926739926734</v>
      </c>
      <c r="AX32" s="110">
        <f t="shared" si="39"/>
        <v>0.34254143646408819</v>
      </c>
      <c r="AY32" s="110">
        <f t="shared" si="39"/>
        <v>0.20872274143302172</v>
      </c>
      <c r="AZ32" s="110">
        <f t="shared" si="39"/>
        <v>5.3543307086614256E-2</v>
      </c>
      <c r="BA32" s="110">
        <f t="shared" si="39"/>
        <v>-0.11555555555555552</v>
      </c>
      <c r="BB32" s="124">
        <f t="shared" si="39"/>
        <v>0.11062124248497018</v>
      </c>
      <c r="BC32" s="110">
        <f t="shared" si="39"/>
        <v>-0.29218106995884774</v>
      </c>
      <c r="BD32" s="110">
        <f t="shared" si="39"/>
        <v>-0.27963917525773185</v>
      </c>
      <c r="BE32" s="110">
        <f t="shared" si="39"/>
        <v>-0.16442451420029902</v>
      </c>
      <c r="BF32" s="110">
        <f t="shared" si="39"/>
        <v>-8.8777219430485776E-2</v>
      </c>
      <c r="BG32" s="124">
        <f t="shared" si="39"/>
        <v>-0.2140021652832913</v>
      </c>
      <c r="BH32" s="110">
        <f t="shared" si="39"/>
        <v>0.21899224806201567</v>
      </c>
      <c r="BI32" s="110">
        <f t="shared" si="39"/>
        <v>0.24865831842576003</v>
      </c>
      <c r="BJ32" s="110">
        <f t="shared" si="39"/>
        <v>0.19677996422182487</v>
      </c>
      <c r="BK32" s="110">
        <f t="shared" si="39"/>
        <v>0.19117647058823528</v>
      </c>
      <c r="BL32" s="124">
        <f t="shared" si="39"/>
        <v>0.21395775941230477</v>
      </c>
      <c r="BM32" s="110">
        <f t="shared" si="39"/>
        <v>-4.7694753577106619E-3</v>
      </c>
      <c r="BN32" s="110">
        <f t="shared" si="39"/>
        <v>-9.7421203438395332E-2</v>
      </c>
      <c r="BO32" s="110">
        <f t="shared" si="39"/>
        <v>-0.14798206278026915</v>
      </c>
      <c r="BP32" s="110">
        <f t="shared" si="39"/>
        <v>-0.14506172839506171</v>
      </c>
      <c r="BQ32" s="124">
        <f t="shared" si="39"/>
        <v>-9.9848714069591504E-2</v>
      </c>
      <c r="BR32" s="110">
        <f t="shared" si="39"/>
        <v>8.785942492012766E-2</v>
      </c>
      <c r="BS32" s="110">
        <f t="shared" si="39"/>
        <v>0.14761904761904754</v>
      </c>
      <c r="BT32" s="110">
        <f t="shared" si="39"/>
        <v>2.4561403508772006E-2</v>
      </c>
      <c r="BU32" s="110">
        <f t="shared" si="39"/>
        <v>-1.6245487364620947E-2</v>
      </c>
      <c r="BV32" s="124">
        <f t="shared" si="39"/>
        <v>6.4285714285714057E-2</v>
      </c>
      <c r="BW32" s="110">
        <f t="shared" si="39"/>
        <v>-0.19383259911894268</v>
      </c>
      <c r="BX32" s="110">
        <f t="shared" si="39"/>
        <v>-0.24619640387275243</v>
      </c>
      <c r="BY32" s="110">
        <f t="shared" si="39"/>
        <v>-3.7671232876712257E-2</v>
      </c>
      <c r="BZ32" s="110">
        <f t="shared" ref="BZ32:CL32" si="40">BZ18/BU18-1</f>
        <v>-5.5045871559632475E-3</v>
      </c>
      <c r="CA32" s="124">
        <f t="shared" si="40"/>
        <v>-0.13225424397947094</v>
      </c>
      <c r="CB32" s="110">
        <f t="shared" si="40"/>
        <v>0.2258652094717668</v>
      </c>
      <c r="CC32" s="110">
        <f t="shared" si="40"/>
        <v>0.32110091743119273</v>
      </c>
      <c r="CD32" s="110">
        <f t="shared" si="40"/>
        <v>0.37010676156583622</v>
      </c>
      <c r="CE32" s="110">
        <f t="shared" si="40"/>
        <v>0.4372693726937269</v>
      </c>
      <c r="CF32" s="124">
        <f t="shared" si="40"/>
        <v>0.33848953594176545</v>
      </c>
      <c r="CG32" s="110">
        <f t="shared" si="40"/>
        <v>0.28677563150074281</v>
      </c>
      <c r="CH32" s="110">
        <f t="shared" si="40"/>
        <v>0.12083333333333335</v>
      </c>
      <c r="CI32" s="110">
        <f t="shared" si="40"/>
        <v>-2.5974025974025983E-3</v>
      </c>
      <c r="CJ32" s="110">
        <f t="shared" si="40"/>
        <v>-0.11168164313222118</v>
      </c>
      <c r="CK32" s="124">
        <f t="shared" si="40"/>
        <v>6.4921821889870612E-2</v>
      </c>
      <c r="CL32" s="110">
        <f t="shared" si="40"/>
        <v>-0.23210161662817552</v>
      </c>
      <c r="CM32" s="125">
        <v>-0.3</v>
      </c>
      <c r="CN32" s="125">
        <v>-0.2</v>
      </c>
      <c r="CO32" s="125">
        <v>-0.1</v>
      </c>
      <c r="CP32" s="124">
        <f>CP18/CK18-1</f>
        <v>-0.21254388764762211</v>
      </c>
      <c r="CQ32" s="123">
        <v>0.01</v>
      </c>
      <c r="CR32" s="123">
        <v>0.04</v>
      </c>
      <c r="CS32" s="123">
        <v>0.03</v>
      </c>
    </row>
    <row r="33" spans="2:97" s="14" customFormat="1">
      <c r="B33" s="13" t="s">
        <v>109</v>
      </c>
      <c r="C33" s="28"/>
      <c r="D33" s="105">
        <f t="shared" ref="D33:I35" si="41">D21/C21-1</f>
        <v>0.60362400906002267</v>
      </c>
      <c r="E33" s="105">
        <f t="shared" si="41"/>
        <v>-6.6384180790960534E-2</v>
      </c>
      <c r="F33" s="105">
        <f t="shared" si="41"/>
        <v>-0.10590015128593033</v>
      </c>
      <c r="G33" s="105">
        <f t="shared" si="41"/>
        <v>0.21235194585448403</v>
      </c>
      <c r="H33" s="105">
        <f t="shared" si="41"/>
        <v>2.9309141660851301E-2</v>
      </c>
      <c r="I33" s="105">
        <f t="shared" si="41"/>
        <v>0.2155932203389832</v>
      </c>
      <c r="N33" s="105">
        <f t="shared" ref="N33:AS33" si="42">N21/I21-1</f>
        <v>7.8694924707194636E-2</v>
      </c>
      <c r="O33" s="106">
        <f t="shared" si="42"/>
        <v>-4.6511627906976716E-2</v>
      </c>
      <c r="P33" s="106">
        <f t="shared" si="42"/>
        <v>8.6868686868686762E-2</v>
      </c>
      <c r="Q33" s="106">
        <f t="shared" si="42"/>
        <v>0.21582733812949639</v>
      </c>
      <c r="R33" s="106">
        <f t="shared" si="42"/>
        <v>9.8597115194626328E-2</v>
      </c>
      <c r="S33" s="105">
        <f t="shared" si="42"/>
        <v>8.2157075642417698E-2</v>
      </c>
      <c r="T33" s="106">
        <f t="shared" si="42"/>
        <v>5.6910569105691033E-2</v>
      </c>
      <c r="U33" s="106">
        <f t="shared" si="42"/>
        <v>7.4349442379182396E-3</v>
      </c>
      <c r="V33" s="106">
        <f t="shared" si="42"/>
        <v>-1.3806706114398493E-2</v>
      </c>
      <c r="W33" s="106">
        <f t="shared" si="42"/>
        <v>-1.0791366906475197E-2</v>
      </c>
      <c r="X33" s="105">
        <f t="shared" si="42"/>
        <v>9.077878643095838E-3</v>
      </c>
      <c r="Y33" s="106">
        <f t="shared" si="42"/>
        <v>0.24038461538461542</v>
      </c>
      <c r="Z33" s="106">
        <f t="shared" si="42"/>
        <v>9.2250922509225175E-2</v>
      </c>
      <c r="AA33" s="106">
        <f t="shared" si="42"/>
        <v>0.20799999999999996</v>
      </c>
      <c r="AB33" s="106">
        <f t="shared" si="42"/>
        <v>0.30181818181818176</v>
      </c>
      <c r="AC33" s="105">
        <f t="shared" si="42"/>
        <v>0.21070075757575779</v>
      </c>
      <c r="AD33" s="106">
        <f t="shared" si="42"/>
        <v>0.15038759689922454</v>
      </c>
      <c r="AE33" s="106">
        <f t="shared" si="42"/>
        <v>0.26689189189189189</v>
      </c>
      <c r="AF33" s="106">
        <f t="shared" si="42"/>
        <v>0.2516556291390728</v>
      </c>
      <c r="AG33" s="106">
        <f t="shared" si="42"/>
        <v>7.6815642458100575E-2</v>
      </c>
      <c r="AH33" s="105">
        <f t="shared" si="42"/>
        <v>0.18068048494329281</v>
      </c>
      <c r="AI33" s="106">
        <f t="shared" si="42"/>
        <v>4.1778975741240121E-2</v>
      </c>
      <c r="AJ33" s="106">
        <f t="shared" si="42"/>
        <v>-4.0000000000001146E-3</v>
      </c>
      <c r="AK33" s="106">
        <f t="shared" si="42"/>
        <v>-1.4550264550264425E-2</v>
      </c>
      <c r="AL33" s="106">
        <f t="shared" si="42"/>
        <v>-5.3177691309986952E-2</v>
      </c>
      <c r="AM33" s="105">
        <f t="shared" si="42"/>
        <v>-7.9496522027160399E-3</v>
      </c>
      <c r="AN33" s="106">
        <f t="shared" si="42"/>
        <v>-6.2095730918499292E-2</v>
      </c>
      <c r="AO33" s="106">
        <f t="shared" si="42"/>
        <v>6.29183400267741E-2</v>
      </c>
      <c r="AP33" s="110">
        <f t="shared" si="42"/>
        <v>-1.3422818791946067E-3</v>
      </c>
      <c r="AQ33" s="110">
        <f t="shared" si="42"/>
        <v>0.15342465753424661</v>
      </c>
      <c r="AR33" s="124">
        <f t="shared" si="42"/>
        <v>3.6727879799666185E-2</v>
      </c>
      <c r="AS33" s="110">
        <f t="shared" si="42"/>
        <v>9.9310344827586272E-2</v>
      </c>
      <c r="AT33" s="110">
        <f t="shared" ref="AT33:BY33" si="43">AT21/AO21-1</f>
        <v>2.8967254408060361E-2</v>
      </c>
      <c r="AU33" s="110">
        <f t="shared" si="43"/>
        <v>8.7365591397849496E-2</v>
      </c>
      <c r="AV33" s="110">
        <f t="shared" si="43"/>
        <v>-8.4323040380047565E-2</v>
      </c>
      <c r="AW33" s="124">
        <f t="shared" si="43"/>
        <v>2.8663446054750352E-2</v>
      </c>
      <c r="AX33" s="110">
        <f t="shared" si="43"/>
        <v>6.5244667503136844E-2</v>
      </c>
      <c r="AY33" s="110">
        <f t="shared" si="43"/>
        <v>7.8335373317013346E-2</v>
      </c>
      <c r="AZ33" s="110">
        <f t="shared" si="43"/>
        <v>0.1199011124845486</v>
      </c>
      <c r="BA33" s="110">
        <f t="shared" si="43"/>
        <v>0.21141374837872906</v>
      </c>
      <c r="BB33" s="124">
        <f t="shared" si="43"/>
        <v>0.11772072636192887</v>
      </c>
      <c r="BC33" s="110">
        <f t="shared" si="43"/>
        <v>0.13074204946996448</v>
      </c>
      <c r="BD33" s="110">
        <f t="shared" si="43"/>
        <v>9.7616345062429E-2</v>
      </c>
      <c r="BE33" s="110">
        <f t="shared" si="43"/>
        <v>4.1942604856512133E-2</v>
      </c>
      <c r="BF33" s="110">
        <f t="shared" si="43"/>
        <v>-4.9250535331905709E-2</v>
      </c>
      <c r="BG33" s="124">
        <f t="shared" si="43"/>
        <v>5.2941176470588047E-2</v>
      </c>
      <c r="BH33" s="110">
        <f t="shared" si="43"/>
        <v>-4.1666666666667629E-3</v>
      </c>
      <c r="BI33" s="110">
        <f t="shared" si="43"/>
        <v>-4.7569803516028908E-2</v>
      </c>
      <c r="BJ33" s="110">
        <f t="shared" si="43"/>
        <v>-6.2499999999999889E-2</v>
      </c>
      <c r="BK33" s="110">
        <f t="shared" si="43"/>
        <v>0.12162162162162149</v>
      </c>
      <c r="BL33" s="124">
        <f t="shared" si="43"/>
        <v>-2.6602819898913221E-4</v>
      </c>
      <c r="BM33" s="110">
        <f t="shared" si="43"/>
        <v>-7.008368200836812E-2</v>
      </c>
      <c r="BN33" s="110">
        <f t="shared" si="43"/>
        <v>-4.4516829533116087E-2</v>
      </c>
      <c r="BO33" s="110">
        <f t="shared" si="43"/>
        <v>-0.12655367231638404</v>
      </c>
      <c r="BP33" s="110">
        <f t="shared" si="43"/>
        <v>-0.1656626506024097</v>
      </c>
      <c r="BQ33" s="124">
        <f t="shared" si="43"/>
        <v>-0.10244811069717918</v>
      </c>
      <c r="BR33" s="110">
        <f t="shared" si="43"/>
        <v>-0.10798650168728918</v>
      </c>
      <c r="BS33" s="110">
        <f t="shared" si="43"/>
        <v>-7.0454545454545436E-2</v>
      </c>
      <c r="BT33" s="110">
        <f t="shared" si="43"/>
        <v>5.433376455368677E-2</v>
      </c>
      <c r="BU33" s="110">
        <f t="shared" si="43"/>
        <v>-4.8134777376654503E-2</v>
      </c>
      <c r="BV33" s="124">
        <f t="shared" si="43"/>
        <v>-4.6249629410020865E-2</v>
      </c>
      <c r="BW33" s="110">
        <f t="shared" si="43"/>
        <v>-3.2786885245901565E-2</v>
      </c>
      <c r="BX33" s="110">
        <f t="shared" si="43"/>
        <v>7.3349633251833746E-2</v>
      </c>
      <c r="BY33" s="110">
        <f t="shared" si="43"/>
        <v>1.4723926380368013E-2</v>
      </c>
      <c r="BZ33" s="110">
        <f t="shared" ref="BZ33:CF33" si="44">BZ21/BU21-1</f>
        <v>0.21871049304677603</v>
      </c>
      <c r="CA33" s="124">
        <f t="shared" si="44"/>
        <v>6.8075847062480488E-2</v>
      </c>
      <c r="CB33" s="110">
        <f t="shared" si="44"/>
        <v>0.17470664928292035</v>
      </c>
      <c r="CC33" s="110">
        <f t="shared" si="44"/>
        <v>4.4419134396355364E-2</v>
      </c>
      <c r="CD33" s="110">
        <f t="shared" si="44"/>
        <v>9.3107617896009742E-2</v>
      </c>
      <c r="CE33" s="110">
        <f t="shared" si="44"/>
        <v>1.3485477178423411E-2</v>
      </c>
      <c r="CF33" s="124">
        <f t="shared" si="44"/>
        <v>7.6542491268917434E-2</v>
      </c>
      <c r="CG33" s="110">
        <f>(CG21-'SEG (2)'!CG31)/CB21-1</f>
        <v>5.7713651498335405E-2</v>
      </c>
      <c r="CH33" s="110">
        <f>(CH21-'SEG (2)'!CH31)/CC21-1</f>
        <v>8.2878953107960784E-2</v>
      </c>
      <c r="CI33" s="110">
        <f>(CI21-'SEG (2)'!CI31)/CD21-1</f>
        <v>7.0796460176991483E-2</v>
      </c>
      <c r="CJ33" s="110">
        <f>(CJ21-'SEG (2)'!CJ31)/CE21-1</f>
        <v>6.7553735926304981E-2</v>
      </c>
      <c r="CK33" s="124">
        <f>(CK21-'SEG (2)'!CK31)/CF21-1</f>
        <v>6.9748580697486018E-2</v>
      </c>
      <c r="CL33" s="110">
        <f>(CL21-'SEG (2)'!CL31)/CG21-1</f>
        <v>3.5250463821892231E-2</v>
      </c>
      <c r="CM33" s="125">
        <v>7.0000000000000007E-2</v>
      </c>
      <c r="CN33" s="125">
        <v>0.06</v>
      </c>
      <c r="CO33" s="125">
        <v>0.09</v>
      </c>
      <c r="CP33" s="124">
        <f>(CP21-'SEG (2)'!CP31)/CK21-1</f>
        <v>6.4292781650550745E-2</v>
      </c>
      <c r="CQ33" s="123">
        <v>7.0000000000000007E-2</v>
      </c>
      <c r="CR33" s="123">
        <v>0.06</v>
      </c>
      <c r="CS33" s="123">
        <v>0.05</v>
      </c>
    </row>
    <row r="34" spans="2:97" s="14" customFormat="1" hidden="1">
      <c r="B34" s="13" t="s">
        <v>105</v>
      </c>
      <c r="C34" s="28"/>
      <c r="D34" s="105">
        <f t="shared" si="41"/>
        <v>0.2831325301204819</v>
      </c>
      <c r="E34" s="105">
        <f t="shared" si="41"/>
        <v>0.95305164319248825</v>
      </c>
      <c r="F34" s="105">
        <f t="shared" si="41"/>
        <v>8.8942307692307487E-2</v>
      </c>
      <c r="G34" s="105">
        <f t="shared" si="41"/>
        <v>-0.57505518763796903</v>
      </c>
      <c r="H34" s="105">
        <f t="shared" si="41"/>
        <v>-0.24285714285714288</v>
      </c>
      <c r="I34" s="105">
        <f t="shared" si="41"/>
        <v>-9.4339622641509413E-2</v>
      </c>
      <c r="N34" s="105">
        <f t="shared" ref="N34:X35" si="45">N22/I22-1</f>
        <v>0.22102272727272743</v>
      </c>
      <c r="O34" s="106">
        <f t="shared" si="45"/>
        <v>6.3291139240506222E-2</v>
      </c>
      <c r="P34" s="106">
        <f t="shared" si="45"/>
        <v>-6.4516129032258229E-3</v>
      </c>
      <c r="Q34" s="106">
        <f t="shared" si="45"/>
        <v>-0.25301204819277112</v>
      </c>
      <c r="R34" s="106">
        <f t="shared" si="45"/>
        <v>-0.25769462884731431</v>
      </c>
      <c r="S34" s="105">
        <f t="shared" si="45"/>
        <v>-0.11741895455250506</v>
      </c>
      <c r="T34" s="106">
        <f t="shared" si="45"/>
        <v>-0.16071428571428581</v>
      </c>
      <c r="U34" s="106">
        <f t="shared" si="45"/>
        <v>-0.1558441558441559</v>
      </c>
      <c r="V34" s="106">
        <f t="shared" si="45"/>
        <v>2.4193548387096753E-2</v>
      </c>
      <c r="W34" s="106">
        <f t="shared" si="45"/>
        <v>-2.4390243902438824E-2</v>
      </c>
      <c r="X34" s="105">
        <f t="shared" si="45"/>
        <v>-8.9630931458699492E-2</v>
      </c>
      <c r="Y34" s="106"/>
      <c r="Z34" s="106"/>
      <c r="AA34" s="106"/>
      <c r="AB34" s="106"/>
      <c r="AC34" s="105"/>
      <c r="AD34" s="106"/>
      <c r="AE34" s="106"/>
      <c r="AF34" s="106"/>
      <c r="AG34" s="106"/>
      <c r="AH34" s="105"/>
      <c r="AI34" s="106"/>
      <c r="AJ34" s="106"/>
      <c r="AK34" s="106"/>
      <c r="AL34" s="106"/>
      <c r="AM34" s="105"/>
      <c r="AN34" s="106"/>
      <c r="AO34" s="106"/>
      <c r="AP34" s="110"/>
      <c r="AQ34" s="11"/>
      <c r="AR34" s="21"/>
      <c r="AS34" s="110"/>
      <c r="AT34" s="110"/>
      <c r="AU34" s="11"/>
      <c r="AV34" s="11"/>
      <c r="AW34" s="21"/>
      <c r="AX34" s="110"/>
      <c r="AY34" s="109"/>
      <c r="AZ34" s="109"/>
      <c r="BA34" s="11"/>
      <c r="BB34" s="24"/>
      <c r="BC34" s="110"/>
      <c r="BD34" s="110"/>
      <c r="BE34" s="110"/>
      <c r="BF34" s="110"/>
      <c r="BG34" s="24"/>
      <c r="BH34" s="110"/>
      <c r="BI34" s="109"/>
      <c r="BJ34" s="11"/>
      <c r="BK34" s="11"/>
      <c r="BL34" s="24"/>
      <c r="BM34" s="110"/>
      <c r="BN34" s="109"/>
      <c r="BO34" s="109"/>
      <c r="BP34" s="11"/>
      <c r="BQ34" s="24"/>
      <c r="BR34" s="110"/>
      <c r="BS34" s="110"/>
      <c r="BT34" s="11"/>
      <c r="BU34" s="11"/>
      <c r="BV34" s="24"/>
      <c r="BW34" s="11"/>
      <c r="BX34" s="11"/>
      <c r="BY34" s="11"/>
      <c r="BZ34" s="11"/>
      <c r="CA34" s="24"/>
      <c r="CB34" s="11"/>
      <c r="CC34" s="11"/>
      <c r="CD34" s="11"/>
      <c r="CE34" s="11"/>
      <c r="CF34" s="24"/>
      <c r="CG34" s="11"/>
      <c r="CH34" s="11"/>
      <c r="CI34" s="11"/>
      <c r="CJ34" s="11"/>
      <c r="CK34" s="24"/>
      <c r="CL34" s="11"/>
      <c r="CM34" s="11"/>
      <c r="CN34" s="11"/>
      <c r="CO34" s="11"/>
      <c r="CP34" s="24"/>
      <c r="CQ34" s="21"/>
      <c r="CR34" s="21"/>
      <c r="CS34" s="21"/>
    </row>
    <row r="35" spans="2:97" s="14" customFormat="1">
      <c r="B35" s="116" t="s">
        <v>93</v>
      </c>
      <c r="C35" s="117"/>
      <c r="D35" s="115">
        <f t="shared" si="41"/>
        <v>0.16234390009606159</v>
      </c>
      <c r="E35" s="115">
        <f t="shared" si="41"/>
        <v>5.7392102846648418E-2</v>
      </c>
      <c r="F35" s="115">
        <f t="shared" si="41"/>
        <v>-8.3195831524099151E-2</v>
      </c>
      <c r="G35" s="115">
        <f t="shared" si="41"/>
        <v>-4.3857156389125906E-2</v>
      </c>
      <c r="H35" s="115">
        <f t="shared" si="41"/>
        <v>-0.15712304339211403</v>
      </c>
      <c r="I35" s="115">
        <f t="shared" si="41"/>
        <v>5.4184297132110926E-2</v>
      </c>
      <c r="J35" s="116"/>
      <c r="K35" s="116"/>
      <c r="L35" s="116"/>
      <c r="M35" s="116"/>
      <c r="N35" s="115">
        <f t="shared" si="45"/>
        <v>0.19801538633069482</v>
      </c>
      <c r="O35" s="122">
        <f t="shared" si="45"/>
        <v>0.10578386605783874</v>
      </c>
      <c r="P35" s="122">
        <f t="shared" si="45"/>
        <v>0.14364437913299044</v>
      </c>
      <c r="Q35" s="122">
        <f t="shared" si="45"/>
        <v>5.1311288483466111E-2</v>
      </c>
      <c r="R35" s="122">
        <f t="shared" si="45"/>
        <v>2.3516642547033451E-2</v>
      </c>
      <c r="S35" s="115">
        <f t="shared" si="45"/>
        <v>8.0874825500232728E-2</v>
      </c>
      <c r="T35" s="122">
        <f t="shared" si="45"/>
        <v>5.6434962147281498E-2</v>
      </c>
      <c r="U35" s="122">
        <f t="shared" si="45"/>
        <v>1.5097976228718224E-2</v>
      </c>
      <c r="V35" s="122">
        <f t="shared" si="45"/>
        <v>4.5191612436731754E-2</v>
      </c>
      <c r="W35" s="122">
        <f t="shared" si="45"/>
        <v>-6.7161541180625894E-3</v>
      </c>
      <c r="X35" s="115">
        <f t="shared" si="45"/>
        <v>2.7294644394695977E-2</v>
      </c>
      <c r="Y35" s="122">
        <f t="shared" ref="Y35:BD35" si="46">Y23/T23-1</f>
        <v>-7.947882736156342E-2</v>
      </c>
      <c r="Z35" s="122">
        <f t="shared" si="46"/>
        <v>-8.29113924050634E-2</v>
      </c>
      <c r="AA35" s="122">
        <f t="shared" si="46"/>
        <v>-2.7672085783465916E-2</v>
      </c>
      <c r="AB35" s="122">
        <f t="shared" si="46"/>
        <v>0.13024911032028452</v>
      </c>
      <c r="AC35" s="115">
        <f t="shared" si="46"/>
        <v>-1.8439359651328258E-2</v>
      </c>
      <c r="AD35" s="122">
        <f t="shared" si="46"/>
        <v>0.21903750884642603</v>
      </c>
      <c r="AE35" s="122">
        <f t="shared" si="46"/>
        <v>0.24051069703243644</v>
      </c>
      <c r="AF35" s="122">
        <f t="shared" si="46"/>
        <v>0.1789398790466028</v>
      </c>
      <c r="AG35" s="122">
        <f t="shared" si="46"/>
        <v>-8.8476070528967332E-2</v>
      </c>
      <c r="AH35" s="115">
        <f t="shared" si="46"/>
        <v>0.13132951925540093</v>
      </c>
      <c r="AI35" s="122">
        <f t="shared" si="46"/>
        <v>-0.10798258345428158</v>
      </c>
      <c r="AJ35" s="122">
        <f t="shared" si="46"/>
        <v>-0.22865090403337962</v>
      </c>
      <c r="AK35" s="122">
        <f t="shared" si="46"/>
        <v>-0.22420036210018091</v>
      </c>
      <c r="AL35" s="122">
        <f t="shared" si="46"/>
        <v>-7.9101899827288324E-2</v>
      </c>
      <c r="AM35" s="115">
        <f t="shared" si="46"/>
        <v>-0.16348403653105903</v>
      </c>
      <c r="AN35" s="122">
        <f t="shared" si="46"/>
        <v>-0.14415880247315327</v>
      </c>
      <c r="AO35" s="122">
        <f t="shared" si="46"/>
        <v>0.10025243418680141</v>
      </c>
      <c r="AP35" s="121">
        <f t="shared" si="46"/>
        <v>0.145468689225982</v>
      </c>
      <c r="AQ35" s="121">
        <f t="shared" si="46"/>
        <v>0.16654163540885203</v>
      </c>
      <c r="AR35" s="120">
        <f t="shared" si="46"/>
        <v>5.8919065235044643E-2</v>
      </c>
      <c r="AS35" s="121">
        <f t="shared" si="46"/>
        <v>0.26083650190114072</v>
      </c>
      <c r="AT35" s="121">
        <f t="shared" si="46"/>
        <v>0.15929203539822989</v>
      </c>
      <c r="AU35" s="121">
        <f t="shared" si="46"/>
        <v>0.19456706281833602</v>
      </c>
      <c r="AV35" s="121">
        <f t="shared" si="46"/>
        <v>0.14244372990353682</v>
      </c>
      <c r="AW35" s="120">
        <f t="shared" si="46"/>
        <v>0.18643490115882777</v>
      </c>
      <c r="AX35" s="121">
        <f t="shared" si="46"/>
        <v>0.20657418576598308</v>
      </c>
      <c r="AY35" s="121">
        <f t="shared" si="46"/>
        <v>0.12864009047215164</v>
      </c>
      <c r="AZ35" s="121">
        <f t="shared" si="46"/>
        <v>0.11313246162592394</v>
      </c>
      <c r="BA35" s="121">
        <f t="shared" si="46"/>
        <v>9.0064734027582416E-2</v>
      </c>
      <c r="BB35" s="120">
        <f t="shared" si="46"/>
        <v>0.13343866704969831</v>
      </c>
      <c r="BC35" s="121">
        <f t="shared" si="46"/>
        <v>4.0989752561859438E-2</v>
      </c>
      <c r="BD35" s="121">
        <f t="shared" si="46"/>
        <v>5.861723446893774E-2</v>
      </c>
      <c r="BE35" s="121">
        <f t="shared" ref="BE35:CF35" si="47">BE23/AZ23-1</f>
        <v>5.286006128702736E-2</v>
      </c>
      <c r="BF35" s="121">
        <f t="shared" si="47"/>
        <v>0.1019881229021431</v>
      </c>
      <c r="BG35" s="120">
        <f t="shared" si="47"/>
        <v>6.3363325307312035E-2</v>
      </c>
      <c r="BH35" s="121">
        <f t="shared" si="47"/>
        <v>0.10852340936374572</v>
      </c>
      <c r="BI35" s="121">
        <f t="shared" si="47"/>
        <v>0.11239943208708003</v>
      </c>
      <c r="BJ35" s="121">
        <f t="shared" si="47"/>
        <v>9.6046568032985835E-2</v>
      </c>
      <c r="BK35" s="121">
        <f t="shared" si="47"/>
        <v>0.10543580131208974</v>
      </c>
      <c r="BL35" s="120">
        <f t="shared" si="47"/>
        <v>0.1056489095459423</v>
      </c>
      <c r="BM35" s="121">
        <f t="shared" si="47"/>
        <v>2.1875676846437209E-2</v>
      </c>
      <c r="BN35" s="121">
        <f t="shared" si="47"/>
        <v>1.1912359072537626E-2</v>
      </c>
      <c r="BO35" s="121">
        <f t="shared" si="47"/>
        <v>-6.859924762115388E-3</v>
      </c>
      <c r="BP35" s="121">
        <f t="shared" si="47"/>
        <v>-1.4624841034336589E-2</v>
      </c>
      <c r="BQ35" s="120">
        <f t="shared" si="47"/>
        <v>3.071948261923918E-3</v>
      </c>
      <c r="BR35" s="121">
        <f t="shared" si="47"/>
        <v>5.4896142433234152E-2</v>
      </c>
      <c r="BS35" s="121">
        <f t="shared" si="47"/>
        <v>9.8591549295774739E-2</v>
      </c>
      <c r="BT35" s="121">
        <f t="shared" si="47"/>
        <v>0.11519607843137258</v>
      </c>
      <c r="BU35" s="121">
        <f t="shared" si="47"/>
        <v>4.0008604000860482E-2</v>
      </c>
      <c r="BV35" s="120">
        <f t="shared" si="47"/>
        <v>7.6885880077369295E-2</v>
      </c>
      <c r="BW35" s="121">
        <f t="shared" si="47"/>
        <v>-3.7974683544303889E-2</v>
      </c>
      <c r="BX35" s="121">
        <f t="shared" si="47"/>
        <v>-5.9892843474933066E-2</v>
      </c>
      <c r="BY35" s="121">
        <f t="shared" si="47"/>
        <v>-1.7982017982017928E-2</v>
      </c>
      <c r="BZ35" s="121">
        <f t="shared" si="47"/>
        <v>5.8324715615305056E-2</v>
      </c>
      <c r="CA35" s="120">
        <f t="shared" si="47"/>
        <v>-1.5466746495035766E-2</v>
      </c>
      <c r="CB35" s="121">
        <f t="shared" si="47"/>
        <v>0.12802840434419394</v>
      </c>
      <c r="CC35" s="121">
        <f t="shared" si="47"/>
        <v>0.1143903928353347</v>
      </c>
      <c r="CD35" s="121">
        <f t="shared" si="47"/>
        <v>9.9694811800610461E-2</v>
      </c>
      <c r="CE35" s="121">
        <f t="shared" si="47"/>
        <v>9.6345514950166189E-2</v>
      </c>
      <c r="CF35" s="120">
        <f t="shared" si="47"/>
        <v>0.10935995540465226</v>
      </c>
      <c r="CG35" s="121">
        <f>(CG23-'SEG (2)'!CG31)/CB23-1</f>
        <v>0.10609146454360308</v>
      </c>
      <c r="CH35" s="121">
        <f>(CH23-'SEG (2)'!CH31)/CC23-1</f>
        <v>8.9497716894977097E-2</v>
      </c>
      <c r="CI35" s="121">
        <f>(CI23-'SEG (2)'!CI31)/CD23-1</f>
        <v>3.5152636447733476E-2</v>
      </c>
      <c r="CJ35" s="121">
        <f>(CJ23-'SEG (2)'!CJ31)/CE23-1</f>
        <v>-1.3725490196078272E-2</v>
      </c>
      <c r="CK35" s="120">
        <f>(CK23-'SEG (2)'!CK31)/CF23-1</f>
        <v>5.3720707139920387E-2</v>
      </c>
      <c r="CL35" s="121">
        <f>(CL23-'SEG (2)'!CL31)/CG23-1</f>
        <v>-0.11296933923594044</v>
      </c>
      <c r="CM35" s="121">
        <f>CM23/(CH23)-1</f>
        <v>-0.50563875205254516</v>
      </c>
      <c r="CN35" s="121">
        <f>CN23/(CI23)-1</f>
        <v>-0.38605589519650652</v>
      </c>
      <c r="CO35" s="121">
        <f>CO23/(CJ23)-1</f>
        <v>-0.26309232677653727</v>
      </c>
      <c r="CP35" s="120">
        <f>(CP23-'SEG (2)'!CP31)/CK23-1</f>
        <v>-0.31681198794413545</v>
      </c>
      <c r="CQ35" s="120">
        <f>CQ23/CP23-1</f>
        <v>9.3959758566310336E-2</v>
      </c>
      <c r="CR35" s="120">
        <f>CR23/CQ23-1</f>
        <v>9.1419203910259039E-2</v>
      </c>
      <c r="CS35" s="120">
        <f>CS23/CR23-1</f>
        <v>0.10588057512535731</v>
      </c>
    </row>
    <row r="36" spans="2:97" s="14" customFormat="1">
      <c r="B36" s="13"/>
      <c r="C36" s="28"/>
      <c r="D36" s="28"/>
      <c r="E36" s="28"/>
      <c r="F36" s="28"/>
      <c r="G36" s="28"/>
      <c r="H36" s="28"/>
      <c r="I36" s="28"/>
      <c r="N36" s="28"/>
      <c r="S36" s="28"/>
      <c r="X36" s="28"/>
      <c r="AC36" s="28"/>
      <c r="AH36" s="28"/>
      <c r="AM36" s="28"/>
      <c r="AP36" s="11"/>
      <c r="AQ36" s="11"/>
      <c r="AR36" s="21"/>
      <c r="AS36" s="11"/>
      <c r="AT36" s="11"/>
      <c r="AU36" s="11"/>
      <c r="AV36" s="11"/>
      <c r="AW36" s="21"/>
      <c r="AX36" s="11"/>
      <c r="AY36" s="11"/>
      <c r="AZ36" s="11"/>
      <c r="BA36" s="11"/>
      <c r="BB36" s="21"/>
      <c r="BC36" s="11"/>
      <c r="BD36" s="11"/>
      <c r="BE36" s="11"/>
      <c r="BF36" s="11"/>
      <c r="BG36" s="21"/>
      <c r="BH36" s="11"/>
      <c r="BI36" s="11"/>
      <c r="BJ36" s="11"/>
      <c r="BK36" s="11"/>
      <c r="BL36" s="21"/>
      <c r="BM36" s="11"/>
      <c r="BN36" s="11"/>
      <c r="BO36" s="11"/>
      <c r="BP36" s="11"/>
      <c r="BQ36" s="21"/>
      <c r="BR36" s="11"/>
      <c r="BS36" s="11"/>
      <c r="BT36" s="11"/>
      <c r="BU36" s="11"/>
      <c r="BV36" s="21"/>
      <c r="BW36" s="11"/>
      <c r="BX36" s="11"/>
      <c r="BY36" s="11"/>
      <c r="BZ36" s="11"/>
      <c r="CA36" s="21"/>
      <c r="CB36" s="11"/>
      <c r="CC36" s="11"/>
      <c r="CD36" s="11"/>
      <c r="CE36" s="11"/>
      <c r="CF36" s="21"/>
      <c r="CG36" s="11"/>
      <c r="CH36" s="11"/>
      <c r="CI36" s="11"/>
      <c r="CJ36" s="11"/>
      <c r="CK36" s="21"/>
      <c r="CL36" s="11"/>
      <c r="CM36" s="11"/>
      <c r="CN36" s="11"/>
      <c r="CO36" s="11"/>
      <c r="CP36" s="21"/>
      <c r="CQ36" s="21"/>
      <c r="CR36" s="21"/>
      <c r="CS36" s="21"/>
    </row>
    <row r="37" spans="2:97" s="14" customFormat="1">
      <c r="B37" s="15" t="s">
        <v>306</v>
      </c>
      <c r="C37" s="28"/>
      <c r="D37" s="28"/>
      <c r="E37" s="28"/>
      <c r="F37" s="28"/>
      <c r="G37" s="28"/>
      <c r="H37" s="28"/>
      <c r="I37" s="28"/>
      <c r="N37" s="28"/>
      <c r="S37" s="28"/>
      <c r="X37" s="28"/>
      <c r="AC37" s="28"/>
      <c r="AH37" s="28"/>
      <c r="AM37" s="28"/>
      <c r="AP37" s="11"/>
      <c r="AQ37" s="11"/>
      <c r="AR37" s="21"/>
      <c r="AS37" s="11"/>
      <c r="AT37" s="11"/>
      <c r="AU37" s="11"/>
      <c r="AV37" s="11"/>
      <c r="AW37" s="21"/>
      <c r="AX37" s="11"/>
      <c r="AY37" s="11"/>
      <c r="AZ37" s="11"/>
      <c r="BA37" s="11"/>
      <c r="BB37" s="21"/>
      <c r="BC37" s="11"/>
      <c r="BD37" s="11"/>
      <c r="BE37" s="11"/>
      <c r="BF37" s="11"/>
      <c r="BG37" s="21"/>
      <c r="BH37" s="11"/>
      <c r="BI37" s="11"/>
      <c r="BJ37" s="11"/>
      <c r="BK37" s="11"/>
      <c r="BL37" s="21"/>
      <c r="BM37" s="11"/>
      <c r="BN37" s="11"/>
      <c r="BO37" s="11"/>
      <c r="BP37" s="11"/>
      <c r="BQ37" s="21"/>
      <c r="BR37" s="11"/>
      <c r="BS37" s="11"/>
      <c r="BT37" s="11"/>
      <c r="BU37" s="11"/>
      <c r="BV37" s="21"/>
      <c r="BW37" s="11"/>
      <c r="BX37" s="11"/>
      <c r="BY37" s="11"/>
      <c r="BZ37" s="11"/>
      <c r="CA37" s="21"/>
      <c r="CB37" s="11"/>
      <c r="CC37" s="11"/>
      <c r="CD37" s="11"/>
      <c r="CE37" s="11"/>
      <c r="CF37" s="21"/>
      <c r="CG37" s="11"/>
      <c r="CH37" s="11"/>
      <c r="CI37" s="11"/>
      <c r="CJ37" s="11"/>
      <c r="CK37" s="21"/>
      <c r="CL37" s="11"/>
      <c r="CM37" s="11"/>
      <c r="CN37" s="11"/>
      <c r="CO37" s="11"/>
      <c r="CP37" s="21"/>
      <c r="CQ37" s="21"/>
      <c r="CR37" s="21"/>
      <c r="CS37" s="21"/>
    </row>
    <row r="38" spans="2:97" s="14" customFormat="1">
      <c r="B38" s="119" t="s">
        <v>94</v>
      </c>
      <c r="C38" s="28"/>
      <c r="D38" s="28"/>
      <c r="E38" s="28"/>
      <c r="F38" s="28"/>
      <c r="G38" s="28"/>
      <c r="H38" s="28"/>
      <c r="I38" s="28"/>
      <c r="N38" s="28"/>
      <c r="S38" s="28"/>
      <c r="X38" s="28"/>
      <c r="AC38" s="105">
        <f t="shared" ref="AC38:BH38" si="48">+AC15/AC10</f>
        <v>0.53095380411578863</v>
      </c>
      <c r="AD38" s="23">
        <f t="shared" si="48"/>
        <v>0.55703918722786672</v>
      </c>
      <c r="AE38" s="23">
        <f t="shared" si="48"/>
        <v>0.55271210013908201</v>
      </c>
      <c r="AF38" s="23">
        <f t="shared" si="48"/>
        <v>0.53258901629450806</v>
      </c>
      <c r="AG38" s="23">
        <f t="shared" si="48"/>
        <v>0.49464594127806538</v>
      </c>
      <c r="AH38" s="118">
        <f t="shared" si="48"/>
        <v>0.53611593327798324</v>
      </c>
      <c r="AI38" s="23">
        <f t="shared" si="48"/>
        <v>0.50048812235600404</v>
      </c>
      <c r="AJ38" s="23">
        <f t="shared" si="48"/>
        <v>0.49693472773169856</v>
      </c>
      <c r="AK38" s="23">
        <f t="shared" si="48"/>
        <v>0.49591598599766634</v>
      </c>
      <c r="AL38" s="23">
        <f t="shared" si="48"/>
        <v>0.51425356339084771</v>
      </c>
      <c r="AM38" s="118">
        <f t="shared" si="48"/>
        <v>0.50184967968961458</v>
      </c>
      <c r="AN38" s="23">
        <f t="shared" si="48"/>
        <v>0.57794676806083634</v>
      </c>
      <c r="AO38" s="23">
        <f t="shared" si="48"/>
        <v>0.52769583743035076</v>
      </c>
      <c r="AP38" s="109">
        <f t="shared" si="48"/>
        <v>0.53514431239388793</v>
      </c>
      <c r="AQ38" s="109">
        <f t="shared" si="48"/>
        <v>0.55980707395498397</v>
      </c>
      <c r="AR38" s="24">
        <f t="shared" si="48"/>
        <v>0.54933537832310841</v>
      </c>
      <c r="AS38" s="109">
        <f t="shared" si="48"/>
        <v>0.59589867310012068</v>
      </c>
      <c r="AT38" s="109">
        <f t="shared" si="48"/>
        <v>0.5875035340684196</v>
      </c>
      <c r="AU38" s="109">
        <f t="shared" si="48"/>
        <v>0.58953951108584424</v>
      </c>
      <c r="AV38" s="109">
        <f t="shared" si="48"/>
        <v>0.5930199831128623</v>
      </c>
      <c r="AW38" s="24">
        <f t="shared" si="48"/>
        <v>0.59142487790864695</v>
      </c>
      <c r="AX38" s="109">
        <f t="shared" si="48"/>
        <v>0.60559860034991253</v>
      </c>
      <c r="AY38" s="109">
        <f t="shared" si="48"/>
        <v>0.58491983967935879</v>
      </c>
      <c r="AZ38" s="109">
        <f t="shared" si="48"/>
        <v>0.59780388151174668</v>
      </c>
      <c r="BA38" s="109">
        <f t="shared" si="48"/>
        <v>0.60469919958688345</v>
      </c>
      <c r="BB38" s="24">
        <f t="shared" si="48"/>
        <v>0.59821315422633381</v>
      </c>
      <c r="BC38" s="109">
        <f t="shared" si="48"/>
        <v>0.64561824729891948</v>
      </c>
      <c r="BD38" s="109">
        <f t="shared" si="48"/>
        <v>0.63890203502129672</v>
      </c>
      <c r="BE38" s="109">
        <f t="shared" si="48"/>
        <v>0.63545961678389518</v>
      </c>
      <c r="BF38" s="109">
        <f t="shared" si="48"/>
        <v>0.66447985004686039</v>
      </c>
      <c r="BG38" s="24">
        <f t="shared" si="48"/>
        <v>0.64622810153736143</v>
      </c>
      <c r="BH38" s="109">
        <f t="shared" si="48"/>
        <v>0.65670348711284399</v>
      </c>
      <c r="BI38" s="109">
        <f t="shared" ref="BI38:CS38" si="49">+BI15/BI10</f>
        <v>0.65560519038502441</v>
      </c>
      <c r="BJ38" s="109">
        <f t="shared" si="49"/>
        <v>0.6561186103120159</v>
      </c>
      <c r="BK38" s="109">
        <f t="shared" si="49"/>
        <v>0.65154726579058919</v>
      </c>
      <c r="BL38" s="24">
        <f t="shared" si="49"/>
        <v>0.65497170573969288</v>
      </c>
      <c r="BM38" s="109">
        <f t="shared" si="49"/>
        <v>0.67888935989826205</v>
      </c>
      <c r="BN38" s="109">
        <f t="shared" si="49"/>
        <v>0.68257305024174897</v>
      </c>
      <c r="BO38" s="109">
        <f t="shared" si="49"/>
        <v>0.7007575757575758</v>
      </c>
      <c r="BP38" s="109">
        <f t="shared" si="49"/>
        <v>0.70208647020864701</v>
      </c>
      <c r="BQ38" s="24">
        <f t="shared" si="49"/>
        <v>0.69089834515366444</v>
      </c>
      <c r="BR38" s="109">
        <f t="shared" si="49"/>
        <v>0.7038376532047419</v>
      </c>
      <c r="BS38" s="109">
        <f t="shared" si="49"/>
        <v>0.70512820512820507</v>
      </c>
      <c r="BT38" s="109">
        <f t="shared" si="49"/>
        <v>0.72047952047952057</v>
      </c>
      <c r="BU38" s="109">
        <f t="shared" si="49"/>
        <v>0.72368148914167518</v>
      </c>
      <c r="BV38" s="24">
        <f t="shared" si="49"/>
        <v>0.71311679888240287</v>
      </c>
      <c r="BW38" s="109">
        <f t="shared" si="49"/>
        <v>0.72514619883040932</v>
      </c>
      <c r="BX38" s="109">
        <f t="shared" si="49"/>
        <v>0.71036026867494406</v>
      </c>
      <c r="BY38" s="109">
        <f t="shared" si="49"/>
        <v>0.71739572736520862</v>
      </c>
      <c r="BZ38" s="109">
        <f t="shared" si="49"/>
        <v>0.70568692593316396</v>
      </c>
      <c r="CA38" s="24">
        <f t="shared" si="49"/>
        <v>0.71448842041250704</v>
      </c>
      <c r="CB38" s="109">
        <f t="shared" si="49"/>
        <v>0.70857248657656002</v>
      </c>
      <c r="CC38" s="109">
        <f t="shared" si="49"/>
        <v>0.70100456621004559</v>
      </c>
      <c r="CD38" s="109">
        <f t="shared" si="49"/>
        <v>0.69028677150786311</v>
      </c>
      <c r="CE38" s="109">
        <f t="shared" si="49"/>
        <v>0.68698752228163984</v>
      </c>
      <c r="CF38" s="24">
        <f t="shared" si="49"/>
        <v>0.69663331962907116</v>
      </c>
      <c r="CG38" s="109">
        <f t="shared" si="49"/>
        <v>0.68125922282341367</v>
      </c>
      <c r="CH38" s="109">
        <f t="shared" si="49"/>
        <v>0.68390804597701149</v>
      </c>
      <c r="CI38" s="109">
        <f t="shared" si="49"/>
        <v>0.67406113537117895</v>
      </c>
      <c r="CJ38" s="109">
        <f t="shared" si="49"/>
        <v>0.67304625199362056</v>
      </c>
      <c r="CK38" s="24">
        <f t="shared" si="49"/>
        <v>0.67822727851593989</v>
      </c>
      <c r="CL38" s="109">
        <f t="shared" si="49"/>
        <v>0.67079482439926064</v>
      </c>
      <c r="CM38" s="109">
        <f t="shared" si="49"/>
        <v>0.41502527684959445</v>
      </c>
      <c r="CN38" s="109">
        <f t="shared" si="49"/>
        <v>0.49406372427684975</v>
      </c>
      <c r="CO38" s="109">
        <f t="shared" si="49"/>
        <v>0.54800318393986114</v>
      </c>
      <c r="CP38" s="24">
        <f t="shared" si="49"/>
        <v>0.552623795658717</v>
      </c>
      <c r="CQ38" s="24">
        <f t="shared" si="49"/>
        <v>0.57082985384466345</v>
      </c>
      <c r="CR38" s="24">
        <f t="shared" si="49"/>
        <v>0.58577807135469029</v>
      </c>
      <c r="CS38" s="24">
        <f t="shared" si="49"/>
        <v>0.6091478566585119</v>
      </c>
    </row>
    <row r="39" spans="2:97" s="14" customFormat="1">
      <c r="B39" s="119" t="s">
        <v>307</v>
      </c>
      <c r="C39" s="28"/>
      <c r="D39" s="28"/>
      <c r="E39" s="28"/>
      <c r="F39" s="28"/>
      <c r="G39" s="28"/>
      <c r="H39" s="28"/>
      <c r="I39" s="28"/>
      <c r="N39" s="28"/>
      <c r="S39" s="28"/>
      <c r="X39" s="28"/>
      <c r="AC39" s="105">
        <f t="shared" ref="AC39:BH39" si="50">+AC18/AC10</f>
        <v>0.25070446588677314</v>
      </c>
      <c r="AD39" s="23">
        <f t="shared" si="50"/>
        <v>0.22757619738751816</v>
      </c>
      <c r="AE39" s="23">
        <f t="shared" si="50"/>
        <v>0.23866481223922112</v>
      </c>
      <c r="AF39" s="23">
        <f t="shared" si="50"/>
        <v>0.23928786964393478</v>
      </c>
      <c r="AG39" s="23">
        <f t="shared" si="50"/>
        <v>0.23903281519861821</v>
      </c>
      <c r="AH39" s="118">
        <f t="shared" si="50"/>
        <v>0.23601781266510677</v>
      </c>
      <c r="AI39" s="23">
        <f t="shared" si="50"/>
        <v>0.24796615684998377</v>
      </c>
      <c r="AJ39" s="23">
        <f t="shared" si="50"/>
        <v>0.23368193292463041</v>
      </c>
      <c r="AK39" s="23">
        <f t="shared" si="50"/>
        <v>0.21431349669389346</v>
      </c>
      <c r="AL39" s="23">
        <f t="shared" si="50"/>
        <v>0.21192798199549887</v>
      </c>
      <c r="AM39" s="118">
        <f t="shared" si="50"/>
        <v>0.227916629071551</v>
      </c>
      <c r="AN39" s="23">
        <f t="shared" si="50"/>
        <v>0.14638783269961975</v>
      </c>
      <c r="AO39" s="23">
        <f t="shared" si="50"/>
        <v>0.2120616191412652</v>
      </c>
      <c r="AP39" s="109">
        <f t="shared" si="50"/>
        <v>0.21222410865874364</v>
      </c>
      <c r="AQ39" s="109">
        <f t="shared" si="50"/>
        <v>0.16945337620578776</v>
      </c>
      <c r="AR39" s="24">
        <f t="shared" si="50"/>
        <v>0.18609406952965232</v>
      </c>
      <c r="AS39" s="109">
        <f t="shared" si="50"/>
        <v>0.16375150784077205</v>
      </c>
      <c r="AT39" s="109">
        <f t="shared" si="50"/>
        <v>0.18150975402883801</v>
      </c>
      <c r="AU39" s="109">
        <f t="shared" si="50"/>
        <v>0.18050028425241613</v>
      </c>
      <c r="AV39" s="109">
        <f t="shared" si="50"/>
        <v>0.18998029833943145</v>
      </c>
      <c r="AW39" s="24">
        <f t="shared" si="50"/>
        <v>0.17918701522550992</v>
      </c>
      <c r="AX39" s="109">
        <f t="shared" si="50"/>
        <v>0.18220444888777804</v>
      </c>
      <c r="AY39" s="109">
        <f t="shared" si="50"/>
        <v>0.19438877755511022</v>
      </c>
      <c r="AZ39" s="109">
        <f t="shared" si="50"/>
        <v>0.17083758937691523</v>
      </c>
      <c r="BA39" s="109">
        <f t="shared" si="50"/>
        <v>0.1541440743609605</v>
      </c>
      <c r="BB39" s="24">
        <f t="shared" si="50"/>
        <v>0.17557977442656192</v>
      </c>
      <c r="BC39" s="109">
        <f t="shared" si="50"/>
        <v>0.12388955582232891</v>
      </c>
      <c r="BD39" s="109">
        <f t="shared" si="50"/>
        <v>0.13227638428774255</v>
      </c>
      <c r="BE39" s="109">
        <f t="shared" si="50"/>
        <v>0.13558088770312879</v>
      </c>
      <c r="BF39" s="109">
        <f t="shared" si="50"/>
        <v>0.12746016869728211</v>
      </c>
      <c r="BG39" s="24">
        <f t="shared" si="50"/>
        <v>0.12978190918841617</v>
      </c>
      <c r="BH39" s="109">
        <f t="shared" si="50"/>
        <v>0.13623565085553391</v>
      </c>
      <c r="BI39" s="109">
        <f t="shared" ref="BI39:CS39" si="51">+BI18/BI10</f>
        <v>0.14847904701127418</v>
      </c>
      <c r="BJ39" s="109">
        <f t="shared" si="51"/>
        <v>0.14804160212436379</v>
      </c>
      <c r="BK39" s="109">
        <f t="shared" si="51"/>
        <v>0.13734633319203052</v>
      </c>
      <c r="BL39" s="24">
        <f t="shared" si="51"/>
        <v>0.14249528428994879</v>
      </c>
      <c r="BM39" s="109">
        <f t="shared" si="51"/>
        <v>0.13268334039847396</v>
      </c>
      <c r="BN39" s="109">
        <f t="shared" si="51"/>
        <v>0.13243640950178684</v>
      </c>
      <c r="BO39" s="109">
        <f t="shared" si="51"/>
        <v>0.1270053475935829</v>
      </c>
      <c r="BP39" s="109">
        <f t="shared" si="51"/>
        <v>0.11916541191654119</v>
      </c>
      <c r="BQ39" s="24">
        <f t="shared" si="51"/>
        <v>0.12787448957661726</v>
      </c>
      <c r="BR39" s="109">
        <f t="shared" si="51"/>
        <v>0.13682941531042797</v>
      </c>
      <c r="BS39" s="109">
        <f t="shared" si="51"/>
        <v>0.13834672789896668</v>
      </c>
      <c r="BT39" s="109">
        <f t="shared" si="51"/>
        <v>0.11668331668331669</v>
      </c>
      <c r="BU39" s="109">
        <f t="shared" si="51"/>
        <v>0.11271975180972078</v>
      </c>
      <c r="BV39" s="24">
        <f t="shared" si="51"/>
        <v>0.12637828668363019</v>
      </c>
      <c r="BW39" s="109">
        <f t="shared" si="51"/>
        <v>0.11466165413533834</v>
      </c>
      <c r="BX39" s="109">
        <f t="shared" si="51"/>
        <v>0.11093018522287809</v>
      </c>
      <c r="BY39" s="109">
        <f t="shared" si="51"/>
        <v>0.11434384537131231</v>
      </c>
      <c r="BZ39" s="109">
        <f t="shared" si="51"/>
        <v>0.10592143834277896</v>
      </c>
      <c r="CA39" s="24">
        <f t="shared" si="51"/>
        <v>0.11138701667257894</v>
      </c>
      <c r="CB39" s="109">
        <f t="shared" si="51"/>
        <v>0.12460655434178858</v>
      </c>
      <c r="CC39" s="109">
        <f t="shared" si="51"/>
        <v>0.13150684931506845</v>
      </c>
      <c r="CD39" s="109">
        <f t="shared" si="51"/>
        <v>0.14246068455134134</v>
      </c>
      <c r="CE39" s="109">
        <f t="shared" si="51"/>
        <v>0.13885918003565065</v>
      </c>
      <c r="CF39" s="24">
        <f t="shared" si="51"/>
        <v>0.13439312959663788</v>
      </c>
      <c r="CG39" s="109">
        <f t="shared" si="51"/>
        <v>0.14199049024430235</v>
      </c>
      <c r="CH39" s="109">
        <f t="shared" si="51"/>
        <v>0.13251231527093596</v>
      </c>
      <c r="CI39" s="109">
        <f t="shared" si="51"/>
        <v>0.13414847161572052</v>
      </c>
      <c r="CJ39" s="109">
        <f t="shared" si="51"/>
        <v>0.12262980684033312</v>
      </c>
      <c r="CK39" s="24">
        <f t="shared" si="51"/>
        <v>0.13299656153160416</v>
      </c>
      <c r="CL39" s="109">
        <f t="shared" si="51"/>
        <v>0.12292051756007394</v>
      </c>
      <c r="CM39" s="109">
        <f t="shared" si="51"/>
        <v>0.18763327642443847</v>
      </c>
      <c r="CN39" s="109">
        <f t="shared" si="51"/>
        <v>0.17480219526975699</v>
      </c>
      <c r="CO39" s="109">
        <f t="shared" si="51"/>
        <v>0.14977022246697619</v>
      </c>
      <c r="CP39" s="24">
        <f t="shared" si="51"/>
        <v>0.15329448622021064</v>
      </c>
      <c r="CQ39" s="24">
        <f t="shared" si="51"/>
        <v>0.1415293660210335</v>
      </c>
      <c r="CR39" s="24">
        <f t="shared" si="51"/>
        <v>0.13486160050559035</v>
      </c>
      <c r="CS39" s="24">
        <f t="shared" si="51"/>
        <v>0.12560800112165113</v>
      </c>
    </row>
    <row r="40" spans="2:97" s="14" customFormat="1">
      <c r="B40" s="13" t="s">
        <v>109</v>
      </c>
      <c r="C40" s="28"/>
      <c r="D40" s="28"/>
      <c r="E40" s="28"/>
      <c r="F40" s="28"/>
      <c r="G40" s="28"/>
      <c r="H40" s="28"/>
      <c r="I40" s="28"/>
      <c r="N40" s="28"/>
      <c r="S40" s="28"/>
      <c r="X40" s="28"/>
      <c r="AC40" s="105">
        <f t="shared" ref="AC40:BH40" si="52">+AC21/AC10</f>
        <v>0.21834172999743834</v>
      </c>
      <c r="AD40" s="23">
        <f t="shared" si="52"/>
        <v>0.2153846153846154</v>
      </c>
      <c r="AE40" s="23">
        <f t="shared" si="52"/>
        <v>0.20862308762169679</v>
      </c>
      <c r="AF40" s="23">
        <f t="shared" si="52"/>
        <v>0.228123114061557</v>
      </c>
      <c r="AG40" s="23">
        <f t="shared" si="52"/>
        <v>0.26632124352331593</v>
      </c>
      <c r="AH40" s="118">
        <f t="shared" si="52"/>
        <v>0.22786625405690991</v>
      </c>
      <c r="AI40" s="23">
        <f t="shared" si="52"/>
        <v>0.25154572079401238</v>
      </c>
      <c r="AJ40" s="23">
        <f t="shared" si="52"/>
        <v>0.26938333934367104</v>
      </c>
      <c r="AK40" s="23">
        <f t="shared" si="52"/>
        <v>0.28977051730844033</v>
      </c>
      <c r="AL40" s="23">
        <f t="shared" si="52"/>
        <v>0.27381845461365339</v>
      </c>
      <c r="AM40" s="118">
        <f t="shared" si="52"/>
        <v>0.27023369123883423</v>
      </c>
      <c r="AN40" s="23">
        <f t="shared" si="52"/>
        <v>0.27566539923954364</v>
      </c>
      <c r="AO40" s="23">
        <f t="shared" si="52"/>
        <v>0.26024254342838421</v>
      </c>
      <c r="AP40" s="109">
        <f t="shared" si="52"/>
        <v>0.25263157894736843</v>
      </c>
      <c r="AQ40" s="109">
        <f t="shared" si="52"/>
        <v>0.27073954983922832</v>
      </c>
      <c r="AR40" s="24">
        <f t="shared" si="52"/>
        <v>0.26457055214723924</v>
      </c>
      <c r="AS40" s="109">
        <f t="shared" si="52"/>
        <v>0.24034981905910738</v>
      </c>
      <c r="AT40" s="109">
        <f t="shared" si="52"/>
        <v>0.23098671190274245</v>
      </c>
      <c r="AU40" s="109">
        <f t="shared" si="52"/>
        <v>0.22996020466173964</v>
      </c>
      <c r="AV40" s="109">
        <f t="shared" si="52"/>
        <v>0.21699971854770614</v>
      </c>
      <c r="AW40" s="24">
        <f t="shared" si="52"/>
        <v>0.22938810686584316</v>
      </c>
      <c r="AX40" s="109">
        <f t="shared" si="52"/>
        <v>0.21219695076230943</v>
      </c>
      <c r="AY40" s="109">
        <f t="shared" si="52"/>
        <v>0.22069138276553105</v>
      </c>
      <c r="AZ40" s="109">
        <f t="shared" si="52"/>
        <v>0.23135852911133808</v>
      </c>
      <c r="BA40" s="109">
        <f t="shared" si="52"/>
        <v>0.24115672605215596</v>
      </c>
      <c r="BB40" s="24">
        <f t="shared" si="52"/>
        <v>0.22620707134710433</v>
      </c>
      <c r="BC40" s="109">
        <f t="shared" si="52"/>
        <v>0.2304921968787515</v>
      </c>
      <c r="BD40" s="109">
        <f t="shared" si="52"/>
        <v>0.22882158069096067</v>
      </c>
      <c r="BE40" s="109">
        <f t="shared" si="52"/>
        <v>0.22895949551297595</v>
      </c>
      <c r="BF40" s="109">
        <f t="shared" si="52"/>
        <v>0.20805998125585756</v>
      </c>
      <c r="BG40" s="24">
        <f t="shared" si="52"/>
        <v>0.22398998927422237</v>
      </c>
      <c r="BH40" s="109">
        <f t="shared" si="52"/>
        <v>0.20706086203162224</v>
      </c>
      <c r="BI40" s="109">
        <f t="shared" ref="BI40:CS40" si="53">+BI21/BI10</f>
        <v>0.19591576260370133</v>
      </c>
      <c r="BJ40" s="109">
        <f t="shared" si="53"/>
        <v>0.19583978756362025</v>
      </c>
      <c r="BK40" s="109">
        <f t="shared" si="53"/>
        <v>0.21110640101738024</v>
      </c>
      <c r="BL40" s="24">
        <f t="shared" si="53"/>
        <v>0.20253300997035836</v>
      </c>
      <c r="BM40" s="109">
        <f t="shared" si="53"/>
        <v>0.18842729970326413</v>
      </c>
      <c r="BN40" s="109">
        <f t="shared" si="53"/>
        <v>0.18499054025646416</v>
      </c>
      <c r="BO40" s="109">
        <f t="shared" si="53"/>
        <v>0.17223707664884139</v>
      </c>
      <c r="BP40" s="109">
        <f t="shared" si="53"/>
        <v>0.17874811787481179</v>
      </c>
      <c r="BQ40" s="24">
        <f t="shared" si="53"/>
        <v>0.18122716526971849</v>
      </c>
      <c r="BR40" s="109">
        <f t="shared" si="53"/>
        <v>0.15933293148483024</v>
      </c>
      <c r="BS40" s="109">
        <f t="shared" si="53"/>
        <v>0.15652506697282814</v>
      </c>
      <c r="BT40" s="109">
        <f t="shared" si="53"/>
        <v>0.16283716283716285</v>
      </c>
      <c r="BU40" s="109">
        <f t="shared" si="53"/>
        <v>0.16359875904860394</v>
      </c>
      <c r="BV40" s="24">
        <f t="shared" si="53"/>
        <v>0.16050491443396697</v>
      </c>
      <c r="BW40" s="109">
        <f t="shared" si="53"/>
        <v>0.1601921470342523</v>
      </c>
      <c r="BX40" s="109">
        <f t="shared" si="53"/>
        <v>0.1787095461021779</v>
      </c>
      <c r="BY40" s="109">
        <f t="shared" si="53"/>
        <v>0.16826042726347912</v>
      </c>
      <c r="BZ40" s="109">
        <f t="shared" si="53"/>
        <v>0.18839163572405704</v>
      </c>
      <c r="CA40" s="24">
        <f t="shared" si="53"/>
        <v>0.1741245629149141</v>
      </c>
      <c r="CB40" s="109">
        <f t="shared" si="53"/>
        <v>0.16682095908165157</v>
      </c>
      <c r="CC40" s="109">
        <f t="shared" si="53"/>
        <v>0.16748858447488582</v>
      </c>
      <c r="CD40" s="109">
        <f t="shared" si="53"/>
        <v>0.16725254394079556</v>
      </c>
      <c r="CE40" s="109">
        <f t="shared" si="53"/>
        <v>0.17415329768270946</v>
      </c>
      <c r="CF40" s="24">
        <f t="shared" si="53"/>
        <v>0.16897355077429077</v>
      </c>
      <c r="CG40" s="109">
        <f t="shared" si="53"/>
        <v>0.17675028693228401</v>
      </c>
      <c r="CH40" s="109">
        <f t="shared" si="53"/>
        <v>0.18357963875205255</v>
      </c>
      <c r="CI40" s="109">
        <f t="shared" si="53"/>
        <v>0.19179039301310047</v>
      </c>
      <c r="CJ40" s="109">
        <f t="shared" si="53"/>
        <v>0.20432394116604644</v>
      </c>
      <c r="CK40" s="24">
        <f t="shared" si="53"/>
        <v>0.18877615995245575</v>
      </c>
      <c r="CL40" s="109">
        <f t="shared" si="53"/>
        <v>0.20628465804066543</v>
      </c>
      <c r="CM40" s="109">
        <f t="shared" si="53"/>
        <v>0.39734144672596705</v>
      </c>
      <c r="CN40" s="109">
        <f t="shared" si="53"/>
        <v>0.33113408045339326</v>
      </c>
      <c r="CO40" s="109">
        <f t="shared" si="53"/>
        <v>0.30222659359316273</v>
      </c>
      <c r="CP40" s="24">
        <f t="shared" si="53"/>
        <v>0.2940817181210722</v>
      </c>
      <c r="CQ40" s="24">
        <f t="shared" si="53"/>
        <v>0.28764078013430305</v>
      </c>
      <c r="CR40" s="24">
        <f t="shared" si="53"/>
        <v>0.27936032813971934</v>
      </c>
      <c r="CS40" s="24">
        <f t="shared" si="53"/>
        <v>0.26524414221983694</v>
      </c>
    </row>
    <row r="41" spans="2:97" s="14" customFormat="1">
      <c r="B41" s="116" t="s">
        <v>93</v>
      </c>
      <c r="C41" s="117"/>
      <c r="D41" s="117"/>
      <c r="E41" s="117"/>
      <c r="F41" s="117"/>
      <c r="G41" s="117"/>
      <c r="H41" s="117"/>
      <c r="I41" s="117"/>
      <c r="J41" s="116"/>
      <c r="K41" s="116"/>
      <c r="L41" s="116"/>
      <c r="M41" s="116"/>
      <c r="N41" s="117"/>
      <c r="O41" s="116"/>
      <c r="P41" s="116"/>
      <c r="Q41" s="116"/>
      <c r="R41" s="116"/>
      <c r="S41" s="117"/>
      <c r="T41" s="116"/>
      <c r="U41" s="116"/>
      <c r="V41" s="116"/>
      <c r="W41" s="116"/>
      <c r="X41" s="117"/>
      <c r="Y41" s="116"/>
      <c r="Z41" s="116"/>
      <c r="AA41" s="116"/>
      <c r="AB41" s="116"/>
      <c r="AC41" s="115">
        <f t="shared" ref="AC41:BH41" si="54">SUM(AC38:AC40)</f>
        <v>1.0000000000000002</v>
      </c>
      <c r="AD41" s="113">
        <f t="shared" si="54"/>
        <v>1.0000000000000004</v>
      </c>
      <c r="AE41" s="113">
        <f t="shared" si="54"/>
        <v>0.99999999999999989</v>
      </c>
      <c r="AF41" s="113">
        <f t="shared" si="54"/>
        <v>0.99999999999999978</v>
      </c>
      <c r="AG41" s="113">
        <f t="shared" si="54"/>
        <v>0.99999999999999956</v>
      </c>
      <c r="AH41" s="114">
        <f t="shared" si="54"/>
        <v>1</v>
      </c>
      <c r="AI41" s="113">
        <f t="shared" si="54"/>
        <v>1.0000000000000002</v>
      </c>
      <c r="AJ41" s="113">
        <f t="shared" si="54"/>
        <v>1</v>
      </c>
      <c r="AK41" s="113">
        <f t="shared" si="54"/>
        <v>1.0000000000000002</v>
      </c>
      <c r="AL41" s="113">
        <f t="shared" si="54"/>
        <v>1</v>
      </c>
      <c r="AM41" s="114">
        <f t="shared" si="54"/>
        <v>0.99999999999999978</v>
      </c>
      <c r="AN41" s="113">
        <f t="shared" si="54"/>
        <v>0.99999999999999978</v>
      </c>
      <c r="AO41" s="113">
        <f t="shared" si="54"/>
        <v>1.0000000000000002</v>
      </c>
      <c r="AP41" s="112">
        <f t="shared" si="54"/>
        <v>1</v>
      </c>
      <c r="AQ41" s="112">
        <f t="shared" si="54"/>
        <v>1</v>
      </c>
      <c r="AR41" s="111">
        <f t="shared" si="54"/>
        <v>1</v>
      </c>
      <c r="AS41" s="112">
        <f t="shared" si="54"/>
        <v>1.0000000000000002</v>
      </c>
      <c r="AT41" s="112">
        <f t="shared" si="54"/>
        <v>1</v>
      </c>
      <c r="AU41" s="112">
        <f t="shared" si="54"/>
        <v>1</v>
      </c>
      <c r="AV41" s="112">
        <f t="shared" si="54"/>
        <v>0.99999999999999989</v>
      </c>
      <c r="AW41" s="111">
        <f t="shared" si="54"/>
        <v>1</v>
      </c>
      <c r="AX41" s="112">
        <f t="shared" si="54"/>
        <v>1</v>
      </c>
      <c r="AY41" s="112">
        <f t="shared" si="54"/>
        <v>1</v>
      </c>
      <c r="AZ41" s="112">
        <f t="shared" si="54"/>
        <v>1</v>
      </c>
      <c r="BA41" s="112">
        <f t="shared" si="54"/>
        <v>0.99999999999999989</v>
      </c>
      <c r="BB41" s="111">
        <f t="shared" si="54"/>
        <v>1</v>
      </c>
      <c r="BC41" s="112">
        <f t="shared" si="54"/>
        <v>0.99999999999999978</v>
      </c>
      <c r="BD41" s="112">
        <f t="shared" si="54"/>
        <v>1</v>
      </c>
      <c r="BE41" s="112">
        <f t="shared" si="54"/>
        <v>1</v>
      </c>
      <c r="BF41" s="112">
        <f t="shared" si="54"/>
        <v>1</v>
      </c>
      <c r="BG41" s="111">
        <f t="shared" si="54"/>
        <v>1</v>
      </c>
      <c r="BH41" s="112">
        <f t="shared" si="54"/>
        <v>1.0000000000000002</v>
      </c>
      <c r="BI41" s="112">
        <f t="shared" ref="BI41:CN41" si="55">SUM(BI38:BI40)</f>
        <v>1</v>
      </c>
      <c r="BJ41" s="112">
        <f t="shared" si="55"/>
        <v>1</v>
      </c>
      <c r="BK41" s="112">
        <f t="shared" si="55"/>
        <v>0.99999999999999989</v>
      </c>
      <c r="BL41" s="111">
        <f t="shared" si="55"/>
        <v>1</v>
      </c>
      <c r="BM41" s="112">
        <f t="shared" si="55"/>
        <v>1.0000000000000002</v>
      </c>
      <c r="BN41" s="112">
        <f t="shared" si="55"/>
        <v>1</v>
      </c>
      <c r="BO41" s="112">
        <f t="shared" si="55"/>
        <v>1.0000000000000002</v>
      </c>
      <c r="BP41" s="112">
        <f t="shared" si="55"/>
        <v>1</v>
      </c>
      <c r="BQ41" s="111">
        <f t="shared" si="55"/>
        <v>1.0000000000000002</v>
      </c>
      <c r="BR41" s="112">
        <f t="shared" si="55"/>
        <v>1</v>
      </c>
      <c r="BS41" s="112">
        <f t="shared" si="55"/>
        <v>1</v>
      </c>
      <c r="BT41" s="112">
        <f t="shared" si="55"/>
        <v>1</v>
      </c>
      <c r="BU41" s="112">
        <f t="shared" si="55"/>
        <v>1</v>
      </c>
      <c r="BV41" s="111">
        <f t="shared" si="55"/>
        <v>1</v>
      </c>
      <c r="BW41" s="112">
        <f t="shared" si="55"/>
        <v>1</v>
      </c>
      <c r="BX41" s="112">
        <f t="shared" si="55"/>
        <v>1</v>
      </c>
      <c r="BY41" s="112">
        <f t="shared" si="55"/>
        <v>1</v>
      </c>
      <c r="BZ41" s="112">
        <f t="shared" si="55"/>
        <v>1</v>
      </c>
      <c r="CA41" s="111">
        <f t="shared" si="55"/>
        <v>1.0000000000000002</v>
      </c>
      <c r="CB41" s="112">
        <f t="shared" si="55"/>
        <v>1.0000000000000002</v>
      </c>
      <c r="CC41" s="112">
        <f t="shared" si="55"/>
        <v>0.99999999999999989</v>
      </c>
      <c r="CD41" s="112">
        <f t="shared" si="55"/>
        <v>1</v>
      </c>
      <c r="CE41" s="112">
        <f t="shared" si="55"/>
        <v>1</v>
      </c>
      <c r="CF41" s="111">
        <f t="shared" si="55"/>
        <v>0.99999999999999978</v>
      </c>
      <c r="CG41" s="112">
        <f t="shared" si="55"/>
        <v>1</v>
      </c>
      <c r="CH41" s="112">
        <f t="shared" si="55"/>
        <v>1</v>
      </c>
      <c r="CI41" s="112">
        <f t="shared" si="55"/>
        <v>1</v>
      </c>
      <c r="CJ41" s="112">
        <f t="shared" si="55"/>
        <v>1</v>
      </c>
      <c r="CK41" s="111">
        <f t="shared" si="55"/>
        <v>0.99999999999999978</v>
      </c>
      <c r="CL41" s="112">
        <f t="shared" si="55"/>
        <v>1</v>
      </c>
      <c r="CM41" s="112">
        <f t="shared" si="55"/>
        <v>1</v>
      </c>
      <c r="CN41" s="112">
        <f t="shared" si="55"/>
        <v>1</v>
      </c>
      <c r="CO41" s="112">
        <f t="shared" ref="CO41:CS41" si="56">SUM(CO38:CO40)</f>
        <v>1</v>
      </c>
      <c r="CP41" s="111">
        <f t="shared" si="56"/>
        <v>0.99999999999999978</v>
      </c>
      <c r="CQ41" s="111">
        <f t="shared" si="56"/>
        <v>1</v>
      </c>
      <c r="CR41" s="111">
        <f t="shared" si="56"/>
        <v>1</v>
      </c>
      <c r="CS41" s="111">
        <f t="shared" si="56"/>
        <v>1</v>
      </c>
    </row>
    <row r="42" spans="2:97" s="14" customFormat="1">
      <c r="B42" s="13"/>
      <c r="C42" s="28"/>
      <c r="D42" s="28"/>
      <c r="E42" s="28"/>
      <c r="F42" s="28"/>
      <c r="G42" s="28"/>
      <c r="H42" s="28"/>
      <c r="I42" s="28"/>
      <c r="N42" s="28"/>
      <c r="S42" s="28"/>
      <c r="X42" s="28"/>
      <c r="AC42" s="28"/>
      <c r="AH42" s="28"/>
      <c r="AM42" s="28"/>
      <c r="AP42" s="11"/>
      <c r="AQ42" s="11"/>
      <c r="AR42" s="21"/>
      <c r="AS42" s="110"/>
      <c r="AT42" s="110"/>
      <c r="AU42" s="110"/>
      <c r="AV42" s="110"/>
      <c r="AW42" s="21"/>
      <c r="AX42" s="110"/>
      <c r="AY42" s="110"/>
      <c r="AZ42" s="110"/>
      <c r="BA42" s="11"/>
      <c r="BB42" s="21"/>
      <c r="BC42" s="109"/>
      <c r="BD42" s="109"/>
      <c r="BE42" s="11"/>
      <c r="BF42" s="11"/>
      <c r="BG42" s="21"/>
      <c r="BH42" s="11"/>
      <c r="BI42" s="11"/>
      <c r="BJ42" s="11"/>
      <c r="BK42" s="11"/>
      <c r="BL42" s="21"/>
      <c r="BM42" s="11"/>
      <c r="BN42" s="11"/>
      <c r="BO42" s="11"/>
      <c r="BP42" s="11"/>
      <c r="BQ42" s="21"/>
      <c r="BR42" s="11"/>
      <c r="BS42" s="11"/>
      <c r="BT42" s="11"/>
      <c r="BU42" s="11"/>
      <c r="BV42" s="21"/>
      <c r="BW42" s="11"/>
      <c r="BX42" s="11"/>
      <c r="BY42" s="11"/>
      <c r="BZ42" s="11"/>
      <c r="CA42" s="21"/>
      <c r="CB42" s="11"/>
      <c r="CC42" s="11"/>
      <c r="CD42" s="11"/>
      <c r="CE42" s="11"/>
      <c r="CF42" s="21"/>
      <c r="CG42" s="11"/>
      <c r="CH42" s="11"/>
      <c r="CI42" s="11"/>
      <c r="CJ42" s="11"/>
      <c r="CK42" s="21"/>
      <c r="CL42" s="11"/>
      <c r="CM42" s="11"/>
      <c r="CN42" s="11"/>
      <c r="CO42" s="11"/>
      <c r="CP42" s="21"/>
      <c r="CQ42" s="21"/>
      <c r="CR42" s="21"/>
      <c r="CS42" s="21"/>
    </row>
    <row r="43" spans="2:97" s="14" customFormat="1">
      <c r="B43" s="15" t="s">
        <v>305</v>
      </c>
      <c r="C43" s="28"/>
      <c r="D43" s="28"/>
      <c r="E43" s="28"/>
      <c r="F43" s="28"/>
      <c r="G43" s="28"/>
      <c r="H43" s="28"/>
      <c r="I43" s="28"/>
      <c r="N43" s="28"/>
      <c r="S43" s="28"/>
      <c r="X43" s="28"/>
      <c r="AC43" s="28"/>
      <c r="AH43" s="28"/>
      <c r="AM43" s="28"/>
      <c r="AR43" s="28"/>
      <c r="AW43" s="28"/>
      <c r="BB43" s="28"/>
      <c r="BC43" s="6"/>
      <c r="BD43" s="6"/>
      <c r="BG43" s="28"/>
      <c r="BL43" s="28"/>
      <c r="BQ43" s="28"/>
      <c r="BV43" s="28"/>
      <c r="CA43" s="28"/>
      <c r="CF43" s="28"/>
      <c r="CK43" s="28"/>
      <c r="CP43" s="28"/>
      <c r="CQ43" s="28"/>
      <c r="CR43" s="28"/>
      <c r="CS43" s="28"/>
    </row>
    <row r="44" spans="2:97" s="14" customFormat="1">
      <c r="B44" s="108" t="s">
        <v>90</v>
      </c>
      <c r="C44" s="28"/>
      <c r="D44" s="28"/>
      <c r="E44" s="28"/>
      <c r="F44" s="28"/>
      <c r="G44" s="28"/>
      <c r="H44" s="28"/>
      <c r="I44" s="28"/>
      <c r="N44" s="28"/>
      <c r="S44" s="28"/>
      <c r="X44" s="28"/>
      <c r="Y44" s="106">
        <f t="shared" ref="Y44:BD44" si="57">Y13/Y15</f>
        <v>0.72291666666666665</v>
      </c>
      <c r="Z44" s="106">
        <f t="shared" si="57"/>
        <v>0.71557853910795099</v>
      </c>
      <c r="AA44" s="106">
        <f t="shared" si="57"/>
        <v>0.71989528795811508</v>
      </c>
      <c r="AB44" s="106">
        <f t="shared" si="57"/>
        <v>0.76570757486788021</v>
      </c>
      <c r="AC44" s="105">
        <f t="shared" si="57"/>
        <v>0.73206818912833704</v>
      </c>
      <c r="AD44" s="106">
        <f t="shared" si="57"/>
        <v>0.74830640958832728</v>
      </c>
      <c r="AE44" s="106">
        <f t="shared" si="57"/>
        <v>0.74534474081529944</v>
      </c>
      <c r="AF44" s="106">
        <f t="shared" si="57"/>
        <v>0.74730878186968841</v>
      </c>
      <c r="AG44" s="106">
        <f t="shared" si="57"/>
        <v>0.74790502793296088</v>
      </c>
      <c r="AH44" s="105">
        <f t="shared" si="57"/>
        <v>0.74714909193298606</v>
      </c>
      <c r="AI44" s="106">
        <f t="shared" si="57"/>
        <v>0.71066319895968788</v>
      </c>
      <c r="AJ44" s="106">
        <f t="shared" si="57"/>
        <v>0.68287373004354124</v>
      </c>
      <c r="AK44" s="106">
        <f t="shared" si="57"/>
        <v>0.67764705882352949</v>
      </c>
      <c r="AL44" s="106">
        <f t="shared" si="57"/>
        <v>0.69219547775346457</v>
      </c>
      <c r="AM44" s="105">
        <f t="shared" si="57"/>
        <v>0.69165767709457027</v>
      </c>
      <c r="AN44" s="106">
        <f t="shared" si="57"/>
        <v>0.71907894736842104</v>
      </c>
      <c r="AO44" s="106">
        <f t="shared" si="57"/>
        <v>0.70745341614906831</v>
      </c>
      <c r="AP44" s="106">
        <f t="shared" si="57"/>
        <v>0.69987309644670048</v>
      </c>
      <c r="AQ44" s="23">
        <f t="shared" si="57"/>
        <v>0.72314761631246405</v>
      </c>
      <c r="AR44" s="105">
        <f t="shared" si="57"/>
        <v>0.71257949433845191</v>
      </c>
      <c r="AS44" s="106">
        <f t="shared" si="57"/>
        <v>0.7246963562753036</v>
      </c>
      <c r="AT44" s="106">
        <f t="shared" si="57"/>
        <v>0.72617901828681419</v>
      </c>
      <c r="AU44" s="106">
        <f t="shared" si="57"/>
        <v>0.66730954676952747</v>
      </c>
      <c r="AV44" s="106">
        <f t="shared" si="57"/>
        <v>0.72899857617465591</v>
      </c>
      <c r="AW44" s="105">
        <f t="shared" si="57"/>
        <v>0.71171827565270196</v>
      </c>
      <c r="AX44" s="106">
        <f t="shared" si="57"/>
        <v>0.7408171687990095</v>
      </c>
      <c r="AY44" s="106">
        <f t="shared" si="57"/>
        <v>0.73832976445396148</v>
      </c>
      <c r="AZ44" s="106">
        <f t="shared" si="57"/>
        <v>0.70183682187099528</v>
      </c>
      <c r="BA44" s="23">
        <f t="shared" si="57"/>
        <v>0.72374039282664393</v>
      </c>
      <c r="BB44" s="105">
        <f t="shared" si="57"/>
        <v>0.72630018006567099</v>
      </c>
      <c r="BC44" s="23">
        <f t="shared" si="57"/>
        <v>0.75009297136481967</v>
      </c>
      <c r="BD44" s="23">
        <f t="shared" si="57"/>
        <v>0.74333333333333329</v>
      </c>
      <c r="BE44" s="23">
        <f t="shared" ref="BE44:CL44" si="58">BE13/BE15</f>
        <v>0.72977099236641219</v>
      </c>
      <c r="BF44" s="23">
        <f t="shared" si="58"/>
        <v>0.74294781382228481</v>
      </c>
      <c r="BG44" s="105">
        <f t="shared" si="58"/>
        <v>0.74163208852005524</v>
      </c>
      <c r="BH44" s="23">
        <f t="shared" si="58"/>
        <v>0.74142480211081785</v>
      </c>
      <c r="BI44" s="23">
        <f t="shared" si="58"/>
        <v>0.73166774821544456</v>
      </c>
      <c r="BJ44" s="23">
        <f t="shared" si="58"/>
        <v>0.71602023608768972</v>
      </c>
      <c r="BK44" s="23">
        <f t="shared" si="58"/>
        <v>0.73194534808067668</v>
      </c>
      <c r="BL44" s="105">
        <f t="shared" si="58"/>
        <v>0.73035464494363522</v>
      </c>
      <c r="BM44" s="23">
        <f t="shared" si="58"/>
        <v>0.74242897283796438</v>
      </c>
      <c r="BN44" s="23">
        <f t="shared" si="58"/>
        <v>0.75146288882044965</v>
      </c>
      <c r="BO44" s="23">
        <f t="shared" si="58"/>
        <v>0.73354531001589818</v>
      </c>
      <c r="BP44" s="23">
        <f t="shared" si="58"/>
        <v>0.75735294117647056</v>
      </c>
      <c r="BQ44" s="105">
        <f t="shared" si="58"/>
        <v>0.74632553075666841</v>
      </c>
      <c r="BR44" s="23">
        <f t="shared" si="58"/>
        <v>0.75449614616043392</v>
      </c>
      <c r="BS44" s="23">
        <f t="shared" si="58"/>
        <v>0.78154681139755766</v>
      </c>
      <c r="BT44" s="23">
        <f t="shared" si="58"/>
        <v>0.76539101497504158</v>
      </c>
      <c r="BU44" s="23">
        <f t="shared" si="58"/>
        <v>0.77793655330094313</v>
      </c>
      <c r="BV44" s="105">
        <f t="shared" si="58"/>
        <v>0.76995732176589937</v>
      </c>
      <c r="BW44" s="23">
        <f t="shared" si="58"/>
        <v>0.77620967741935487</v>
      </c>
      <c r="BX44" s="23">
        <f t="shared" si="58"/>
        <v>0.7845272206303725</v>
      </c>
      <c r="BY44" s="23">
        <f t="shared" si="58"/>
        <v>0.78587634713556442</v>
      </c>
      <c r="BZ44" s="23">
        <f t="shared" si="58"/>
        <v>0.77734699529216278</v>
      </c>
      <c r="CA44" s="105">
        <f t="shared" si="58"/>
        <v>0.78097737428186398</v>
      </c>
      <c r="CB44" s="23">
        <f t="shared" si="58"/>
        <v>0.79226548210086234</v>
      </c>
      <c r="CC44" s="23">
        <f t="shared" si="58"/>
        <v>0.78322042730588848</v>
      </c>
      <c r="CD44" s="23">
        <f t="shared" si="58"/>
        <v>0.7657464486732779</v>
      </c>
      <c r="CE44" s="23">
        <f t="shared" si="58"/>
        <v>0.76154644525168658</v>
      </c>
      <c r="CF44" s="105">
        <f t="shared" si="58"/>
        <v>0.77573770491803273</v>
      </c>
      <c r="CG44" s="23">
        <f t="shared" si="58"/>
        <v>0.77833935018050537</v>
      </c>
      <c r="CH44" s="23">
        <f t="shared" si="58"/>
        <v>0.77719087635054018</v>
      </c>
      <c r="CI44" s="23">
        <f t="shared" si="58"/>
        <v>0.76315107540813687</v>
      </c>
      <c r="CJ44" s="23">
        <f t="shared" si="58"/>
        <v>0.77145866245392303</v>
      </c>
      <c r="CK44" s="105">
        <f t="shared" si="58"/>
        <v>0.77273580772360273</v>
      </c>
      <c r="CL44" s="23">
        <f t="shared" si="58"/>
        <v>0.82722513089005234</v>
      </c>
      <c r="CM44" s="104">
        <f>CN44</f>
        <v>0.78</v>
      </c>
      <c r="CN44" s="104">
        <f>CO44</f>
        <v>0.78</v>
      </c>
      <c r="CO44" s="104">
        <f>CP44</f>
        <v>0.78</v>
      </c>
      <c r="CP44" s="103">
        <v>0.78</v>
      </c>
      <c r="CQ44" s="103">
        <v>0.78</v>
      </c>
      <c r="CR44" s="103">
        <v>0.78</v>
      </c>
      <c r="CS44" s="103">
        <v>0.78</v>
      </c>
    </row>
    <row r="45" spans="2:97" s="14" customFormat="1">
      <c r="B45" s="108" t="s">
        <v>91</v>
      </c>
      <c r="C45" s="101"/>
      <c r="D45" s="101"/>
      <c r="E45" s="101"/>
      <c r="F45" s="101"/>
      <c r="G45" s="101"/>
      <c r="H45" s="101"/>
      <c r="I45" s="101"/>
      <c r="J45" s="20"/>
      <c r="K45" s="20"/>
      <c r="L45" s="20"/>
      <c r="M45" s="20"/>
      <c r="N45" s="101"/>
      <c r="O45" s="20"/>
      <c r="P45" s="20"/>
      <c r="Q45" s="20"/>
      <c r="R45" s="20"/>
      <c r="S45" s="101"/>
      <c r="T45" s="20"/>
      <c r="U45" s="20"/>
      <c r="V45" s="20"/>
      <c r="W45" s="20"/>
      <c r="X45" s="101"/>
      <c r="Y45" s="100">
        <f t="shared" ref="Y45:AT45" si="59">Y14/Y15</f>
        <v>0.27708333333333335</v>
      </c>
      <c r="Z45" s="100">
        <f t="shared" si="59"/>
        <v>0.28442146089204917</v>
      </c>
      <c r="AA45" s="100">
        <f t="shared" si="59"/>
        <v>0.28010471204188475</v>
      </c>
      <c r="AB45" s="100">
        <f t="shared" si="59"/>
        <v>0.23429242513211976</v>
      </c>
      <c r="AC45" s="99">
        <f t="shared" si="59"/>
        <v>0.2679318108716629</v>
      </c>
      <c r="AD45" s="100">
        <f t="shared" si="59"/>
        <v>0.25169359041167266</v>
      </c>
      <c r="AE45" s="100">
        <f t="shared" si="59"/>
        <v>0.25465525918470056</v>
      </c>
      <c r="AF45" s="100">
        <f t="shared" si="59"/>
        <v>0.25269121813031165</v>
      </c>
      <c r="AG45" s="100">
        <f t="shared" si="59"/>
        <v>0.25209497206703912</v>
      </c>
      <c r="AH45" s="99">
        <f t="shared" si="59"/>
        <v>0.25285090806701388</v>
      </c>
      <c r="AI45" s="100">
        <f t="shared" si="59"/>
        <v>0.28933680104031206</v>
      </c>
      <c r="AJ45" s="100">
        <f t="shared" si="59"/>
        <v>0.31712626995645865</v>
      </c>
      <c r="AK45" s="100">
        <f t="shared" si="59"/>
        <v>0.32235294117647062</v>
      </c>
      <c r="AL45" s="100">
        <f t="shared" si="59"/>
        <v>0.30780452224653537</v>
      </c>
      <c r="AM45" s="99">
        <f t="shared" si="59"/>
        <v>0.30834232290542973</v>
      </c>
      <c r="AN45" s="100">
        <f t="shared" si="59"/>
        <v>0.28092105263157896</v>
      </c>
      <c r="AO45" s="100">
        <f t="shared" si="59"/>
        <v>0.29254658385093169</v>
      </c>
      <c r="AP45" s="100">
        <f t="shared" si="59"/>
        <v>0.30012690355329946</v>
      </c>
      <c r="AQ45" s="25">
        <f t="shared" si="59"/>
        <v>0.2768523836875359</v>
      </c>
      <c r="AR45" s="99">
        <f t="shared" si="59"/>
        <v>0.28742050566154803</v>
      </c>
      <c r="AS45" s="100">
        <f t="shared" si="59"/>
        <v>0.27530364372469635</v>
      </c>
      <c r="AT45" s="100">
        <f t="shared" si="59"/>
        <v>0.27382098171318575</v>
      </c>
      <c r="AU45" s="100">
        <f t="shared" ref="AU45:BZ45" si="60">1-AU44</f>
        <v>0.33269045323047253</v>
      </c>
      <c r="AV45" s="100">
        <f t="shared" si="60"/>
        <v>0.27100142382534409</v>
      </c>
      <c r="AW45" s="99">
        <f t="shared" si="60"/>
        <v>0.28828172434729804</v>
      </c>
      <c r="AX45" s="100">
        <f t="shared" si="60"/>
        <v>0.2591828312009905</v>
      </c>
      <c r="AY45" s="100">
        <f t="shared" si="60"/>
        <v>0.26167023554603852</v>
      </c>
      <c r="AZ45" s="100">
        <f t="shared" si="60"/>
        <v>0.29816317812900472</v>
      </c>
      <c r="BA45" s="100">
        <f t="shared" si="60"/>
        <v>0.27625960717335607</v>
      </c>
      <c r="BB45" s="99">
        <f t="shared" si="60"/>
        <v>0.27369981993432901</v>
      </c>
      <c r="BC45" s="100">
        <f t="shared" si="60"/>
        <v>0.24990702863518033</v>
      </c>
      <c r="BD45" s="100">
        <f t="shared" si="60"/>
        <v>0.25666666666666671</v>
      </c>
      <c r="BE45" s="100">
        <f t="shared" si="60"/>
        <v>0.27022900763358781</v>
      </c>
      <c r="BF45" s="100">
        <f t="shared" si="60"/>
        <v>0.25705218617771519</v>
      </c>
      <c r="BG45" s="99">
        <f t="shared" si="60"/>
        <v>0.25836791147994476</v>
      </c>
      <c r="BH45" s="100">
        <f t="shared" si="60"/>
        <v>0.25857519788918215</v>
      </c>
      <c r="BI45" s="100">
        <f t="shared" si="60"/>
        <v>0.26833225178455544</v>
      </c>
      <c r="BJ45" s="100">
        <f t="shared" si="60"/>
        <v>0.28397976391231028</v>
      </c>
      <c r="BK45" s="100">
        <f t="shared" si="60"/>
        <v>0.26805465191932332</v>
      </c>
      <c r="BL45" s="99">
        <f t="shared" si="60"/>
        <v>0.26964535505636478</v>
      </c>
      <c r="BM45" s="100">
        <f t="shared" si="60"/>
        <v>0.25757102716203562</v>
      </c>
      <c r="BN45" s="100">
        <f t="shared" si="60"/>
        <v>0.24853711117955035</v>
      </c>
      <c r="BO45" s="100">
        <f t="shared" si="60"/>
        <v>0.26645468998410182</v>
      </c>
      <c r="BP45" s="100">
        <f t="shared" si="60"/>
        <v>0.24264705882352944</v>
      </c>
      <c r="BQ45" s="99">
        <f t="shared" si="60"/>
        <v>0.25367446924333159</v>
      </c>
      <c r="BR45" s="100">
        <f t="shared" si="60"/>
        <v>0.24550385383956608</v>
      </c>
      <c r="BS45" s="100">
        <f t="shared" si="60"/>
        <v>0.21845318860244234</v>
      </c>
      <c r="BT45" s="100">
        <f t="shared" si="60"/>
        <v>0.23460898502495842</v>
      </c>
      <c r="BU45" s="100">
        <f t="shared" si="60"/>
        <v>0.22206344669905687</v>
      </c>
      <c r="BV45" s="99">
        <f t="shared" si="60"/>
        <v>0.23004267823410063</v>
      </c>
      <c r="BW45" s="100">
        <f t="shared" si="60"/>
        <v>0.22379032258064513</v>
      </c>
      <c r="BX45" s="100">
        <f t="shared" si="60"/>
        <v>0.2154727793696275</v>
      </c>
      <c r="BY45" s="100">
        <f t="shared" si="60"/>
        <v>0.21412365286443558</v>
      </c>
      <c r="BZ45" s="100">
        <f t="shared" si="60"/>
        <v>0.22265300470783722</v>
      </c>
      <c r="CA45" s="99">
        <f t="shared" ref="CA45:CS45" si="61">1-CA44</f>
        <v>0.21902262571813602</v>
      </c>
      <c r="CB45" s="100">
        <f t="shared" si="61"/>
        <v>0.20773451789913766</v>
      </c>
      <c r="CC45" s="100">
        <f t="shared" si="61"/>
        <v>0.21677957269411152</v>
      </c>
      <c r="CD45" s="100">
        <f t="shared" si="61"/>
        <v>0.2342535513267221</v>
      </c>
      <c r="CE45" s="100">
        <f t="shared" si="61"/>
        <v>0.23845355474831342</v>
      </c>
      <c r="CF45" s="99">
        <f t="shared" si="61"/>
        <v>0.22426229508196727</v>
      </c>
      <c r="CG45" s="100">
        <f t="shared" si="61"/>
        <v>0.22166064981949463</v>
      </c>
      <c r="CH45" s="100">
        <f t="shared" si="61"/>
        <v>0.22280912364945982</v>
      </c>
      <c r="CI45" s="100">
        <f t="shared" si="61"/>
        <v>0.23684892459186313</v>
      </c>
      <c r="CJ45" s="100">
        <f t="shared" si="61"/>
        <v>0.22854133754607697</v>
      </c>
      <c r="CK45" s="99">
        <f t="shared" si="61"/>
        <v>0.22726419227639727</v>
      </c>
      <c r="CL45" s="100">
        <f t="shared" si="61"/>
        <v>0.17277486910994766</v>
      </c>
      <c r="CM45" s="100">
        <f t="shared" si="61"/>
        <v>0.21999999999999997</v>
      </c>
      <c r="CN45" s="100">
        <f t="shared" si="61"/>
        <v>0.21999999999999997</v>
      </c>
      <c r="CO45" s="100">
        <f t="shared" si="61"/>
        <v>0.21999999999999997</v>
      </c>
      <c r="CP45" s="99">
        <f t="shared" si="61"/>
        <v>0.21999999999999997</v>
      </c>
      <c r="CQ45" s="99">
        <f t="shared" si="61"/>
        <v>0.21999999999999997</v>
      </c>
      <c r="CR45" s="99">
        <f t="shared" si="61"/>
        <v>0.21999999999999997</v>
      </c>
      <c r="CS45" s="99">
        <f t="shared" si="61"/>
        <v>0.21999999999999997</v>
      </c>
    </row>
    <row r="46" spans="2:97" s="14" customFormat="1">
      <c r="B46" s="107" t="s">
        <v>94</v>
      </c>
      <c r="C46" s="28"/>
      <c r="D46" s="28"/>
      <c r="E46" s="28"/>
      <c r="F46" s="28"/>
      <c r="G46" s="28"/>
      <c r="H46" s="28"/>
      <c r="I46" s="28"/>
      <c r="N46" s="28"/>
      <c r="S46" s="28"/>
      <c r="X46" s="28"/>
      <c r="Y46" s="106">
        <f t="shared" ref="Y46:BD46" si="62">SUM(Y44:Y45)</f>
        <v>1</v>
      </c>
      <c r="Z46" s="106">
        <f t="shared" si="62"/>
        <v>1.0000000000000002</v>
      </c>
      <c r="AA46" s="106">
        <f t="shared" si="62"/>
        <v>0.99999999999999978</v>
      </c>
      <c r="AB46" s="106">
        <f t="shared" si="62"/>
        <v>1</v>
      </c>
      <c r="AC46" s="105">
        <f t="shared" si="62"/>
        <v>1</v>
      </c>
      <c r="AD46" s="106">
        <f t="shared" si="62"/>
        <v>1</v>
      </c>
      <c r="AE46" s="106">
        <f t="shared" si="62"/>
        <v>1</v>
      </c>
      <c r="AF46" s="106">
        <f t="shared" si="62"/>
        <v>1</v>
      </c>
      <c r="AG46" s="106">
        <f t="shared" si="62"/>
        <v>1</v>
      </c>
      <c r="AH46" s="105">
        <f t="shared" si="62"/>
        <v>1</v>
      </c>
      <c r="AI46" s="106">
        <f t="shared" si="62"/>
        <v>1</v>
      </c>
      <c r="AJ46" s="106">
        <f t="shared" si="62"/>
        <v>0.99999999999999989</v>
      </c>
      <c r="AK46" s="106">
        <f t="shared" si="62"/>
        <v>1</v>
      </c>
      <c r="AL46" s="106">
        <f t="shared" si="62"/>
        <v>1</v>
      </c>
      <c r="AM46" s="105">
        <f t="shared" si="62"/>
        <v>1</v>
      </c>
      <c r="AN46" s="106">
        <f t="shared" si="62"/>
        <v>1</v>
      </c>
      <c r="AO46" s="106">
        <f t="shared" si="62"/>
        <v>1</v>
      </c>
      <c r="AP46" s="106">
        <f t="shared" si="62"/>
        <v>1</v>
      </c>
      <c r="AQ46" s="23">
        <f t="shared" si="62"/>
        <v>1</v>
      </c>
      <c r="AR46" s="105">
        <f t="shared" si="62"/>
        <v>1</v>
      </c>
      <c r="AS46" s="106">
        <f t="shared" si="62"/>
        <v>1</v>
      </c>
      <c r="AT46" s="106">
        <f t="shared" si="62"/>
        <v>1</v>
      </c>
      <c r="AU46" s="106">
        <f t="shared" si="62"/>
        <v>1</v>
      </c>
      <c r="AV46" s="106">
        <f t="shared" si="62"/>
        <v>1</v>
      </c>
      <c r="AW46" s="105">
        <f t="shared" si="62"/>
        <v>1</v>
      </c>
      <c r="AX46" s="106">
        <f t="shared" si="62"/>
        <v>1</v>
      </c>
      <c r="AY46" s="106">
        <f t="shared" si="62"/>
        <v>1</v>
      </c>
      <c r="AZ46" s="106">
        <f t="shared" si="62"/>
        <v>1</v>
      </c>
      <c r="BA46" s="106">
        <f t="shared" si="62"/>
        <v>1</v>
      </c>
      <c r="BB46" s="105">
        <f t="shared" si="62"/>
        <v>1</v>
      </c>
      <c r="BC46" s="106">
        <f t="shared" si="62"/>
        <v>1</v>
      </c>
      <c r="BD46" s="106">
        <f t="shared" si="62"/>
        <v>1</v>
      </c>
      <c r="BE46" s="106">
        <f t="shared" ref="BE46:CJ46" si="63">SUM(BE44:BE45)</f>
        <v>1</v>
      </c>
      <c r="BF46" s="106">
        <f t="shared" si="63"/>
        <v>1</v>
      </c>
      <c r="BG46" s="105">
        <f t="shared" si="63"/>
        <v>1</v>
      </c>
      <c r="BH46" s="106">
        <f t="shared" si="63"/>
        <v>1</v>
      </c>
      <c r="BI46" s="106">
        <f t="shared" si="63"/>
        <v>1</v>
      </c>
      <c r="BJ46" s="106">
        <f t="shared" si="63"/>
        <v>1</v>
      </c>
      <c r="BK46" s="106">
        <f t="shared" si="63"/>
        <v>1</v>
      </c>
      <c r="BL46" s="105">
        <f t="shared" si="63"/>
        <v>1</v>
      </c>
      <c r="BM46" s="106">
        <f t="shared" si="63"/>
        <v>1</v>
      </c>
      <c r="BN46" s="106">
        <f t="shared" si="63"/>
        <v>1</v>
      </c>
      <c r="BO46" s="106">
        <f t="shared" si="63"/>
        <v>1</v>
      </c>
      <c r="BP46" s="106">
        <f t="shared" si="63"/>
        <v>1</v>
      </c>
      <c r="BQ46" s="105">
        <f t="shared" si="63"/>
        <v>1</v>
      </c>
      <c r="BR46" s="106">
        <f t="shared" si="63"/>
        <v>1</v>
      </c>
      <c r="BS46" s="106">
        <f t="shared" si="63"/>
        <v>1</v>
      </c>
      <c r="BT46" s="106">
        <f t="shared" si="63"/>
        <v>1</v>
      </c>
      <c r="BU46" s="106">
        <f t="shared" si="63"/>
        <v>1</v>
      </c>
      <c r="BV46" s="105">
        <f t="shared" si="63"/>
        <v>1</v>
      </c>
      <c r="BW46" s="106">
        <f t="shared" si="63"/>
        <v>1</v>
      </c>
      <c r="BX46" s="106">
        <f t="shared" si="63"/>
        <v>1</v>
      </c>
      <c r="BY46" s="106">
        <f t="shared" si="63"/>
        <v>1</v>
      </c>
      <c r="BZ46" s="106">
        <f t="shared" si="63"/>
        <v>1</v>
      </c>
      <c r="CA46" s="105">
        <f t="shared" si="63"/>
        <v>1</v>
      </c>
      <c r="CB46" s="106">
        <f t="shared" si="63"/>
        <v>1</v>
      </c>
      <c r="CC46" s="106">
        <f t="shared" si="63"/>
        <v>1</v>
      </c>
      <c r="CD46" s="106">
        <f t="shared" si="63"/>
        <v>1</v>
      </c>
      <c r="CE46" s="106">
        <f t="shared" si="63"/>
        <v>1</v>
      </c>
      <c r="CF46" s="105">
        <f t="shared" si="63"/>
        <v>1</v>
      </c>
      <c r="CG46" s="106">
        <f t="shared" si="63"/>
        <v>1</v>
      </c>
      <c r="CH46" s="106">
        <f t="shared" si="63"/>
        <v>1</v>
      </c>
      <c r="CI46" s="106">
        <f t="shared" si="63"/>
        <v>1</v>
      </c>
      <c r="CJ46" s="106">
        <f t="shared" si="63"/>
        <v>1</v>
      </c>
      <c r="CK46" s="105">
        <f t="shared" ref="CK46:CS46" si="64">SUM(CK44:CK45)</f>
        <v>1</v>
      </c>
      <c r="CL46" s="106">
        <f t="shared" si="64"/>
        <v>1</v>
      </c>
      <c r="CM46" s="106">
        <f t="shared" si="64"/>
        <v>1</v>
      </c>
      <c r="CN46" s="106">
        <f t="shared" si="64"/>
        <v>1</v>
      </c>
      <c r="CO46" s="106">
        <f t="shared" si="64"/>
        <v>1</v>
      </c>
      <c r="CP46" s="105">
        <f t="shared" si="64"/>
        <v>1</v>
      </c>
      <c r="CQ46" s="105">
        <f t="shared" si="64"/>
        <v>1</v>
      </c>
      <c r="CR46" s="105">
        <f t="shared" si="64"/>
        <v>1</v>
      </c>
      <c r="CS46" s="105">
        <f t="shared" si="64"/>
        <v>1</v>
      </c>
    </row>
    <row r="47" spans="2:97" s="14" customFormat="1" ht="6" customHeight="1">
      <c r="B47" s="107"/>
      <c r="C47" s="28"/>
      <c r="D47" s="28"/>
      <c r="E47" s="28"/>
      <c r="F47" s="28"/>
      <c r="G47" s="28"/>
      <c r="H47" s="28"/>
      <c r="I47" s="28"/>
      <c r="N47" s="28"/>
      <c r="S47" s="28"/>
      <c r="X47" s="28"/>
      <c r="Y47" s="106"/>
      <c r="Z47" s="106"/>
      <c r="AA47" s="106"/>
      <c r="AB47" s="106"/>
      <c r="AC47" s="105"/>
      <c r="AD47" s="106"/>
      <c r="AE47" s="106"/>
      <c r="AF47" s="106"/>
      <c r="AG47" s="106"/>
      <c r="AH47" s="105"/>
      <c r="AI47" s="106"/>
      <c r="AJ47" s="106"/>
      <c r="AK47" s="106"/>
      <c r="AL47" s="106"/>
      <c r="AM47" s="105"/>
      <c r="AN47" s="106"/>
      <c r="AO47" s="106"/>
      <c r="AP47" s="106"/>
      <c r="AQ47" s="23"/>
      <c r="AR47" s="105"/>
      <c r="AS47" s="106"/>
      <c r="AT47" s="106"/>
      <c r="AU47" s="106"/>
      <c r="AV47" s="106"/>
      <c r="AW47" s="105"/>
      <c r="AX47" s="106"/>
      <c r="AY47" s="106"/>
      <c r="AZ47" s="106"/>
      <c r="BA47" s="106"/>
      <c r="BB47" s="105"/>
      <c r="BC47" s="106"/>
      <c r="BD47" s="106"/>
      <c r="BE47" s="106"/>
      <c r="BF47" s="106"/>
      <c r="BG47" s="105"/>
      <c r="BH47" s="106"/>
      <c r="BI47" s="106"/>
      <c r="BJ47" s="106"/>
      <c r="BK47" s="106"/>
      <c r="BL47" s="105"/>
      <c r="BM47" s="106"/>
      <c r="BN47" s="106"/>
      <c r="BO47" s="106"/>
      <c r="BP47" s="106"/>
      <c r="BQ47" s="105"/>
      <c r="BR47" s="106"/>
      <c r="BS47" s="106"/>
      <c r="BT47" s="106"/>
      <c r="BU47" s="106"/>
      <c r="BV47" s="105"/>
      <c r="BW47" s="106"/>
      <c r="BX47" s="106"/>
      <c r="BY47" s="106"/>
      <c r="BZ47" s="106"/>
      <c r="CA47" s="105"/>
      <c r="CB47" s="106"/>
      <c r="CC47" s="106"/>
      <c r="CD47" s="106"/>
      <c r="CE47" s="106"/>
      <c r="CF47" s="105"/>
      <c r="CG47" s="106"/>
      <c r="CH47" s="106"/>
      <c r="CI47" s="106"/>
      <c r="CJ47" s="106"/>
      <c r="CK47" s="105"/>
      <c r="CL47" s="106"/>
      <c r="CM47" s="106"/>
      <c r="CN47" s="106"/>
      <c r="CO47" s="106"/>
      <c r="CP47" s="105"/>
      <c r="CQ47" s="105"/>
      <c r="CR47" s="105"/>
      <c r="CS47" s="105"/>
    </row>
    <row r="48" spans="2:97" s="14" customFormat="1">
      <c r="B48" s="102" t="s">
        <v>90</v>
      </c>
      <c r="C48" s="28"/>
      <c r="D48" s="28"/>
      <c r="E48" s="28"/>
      <c r="F48" s="28"/>
      <c r="G48" s="28"/>
      <c r="H48" s="28"/>
      <c r="I48" s="28"/>
      <c r="N48" s="28"/>
      <c r="S48" s="28"/>
      <c r="X48" s="28"/>
      <c r="Y48" s="106">
        <f t="shared" ref="Y48:BD48" si="65">Y16/Y18</f>
        <v>0.99460188933873139</v>
      </c>
      <c r="Z48" s="106">
        <f t="shared" si="65"/>
        <v>0.99604743083003955</v>
      </c>
      <c r="AA48" s="106">
        <f t="shared" si="65"/>
        <v>0.9955817378497791</v>
      </c>
      <c r="AB48" s="106">
        <f t="shared" si="65"/>
        <v>0.99603698811096442</v>
      </c>
      <c r="AC48" s="105">
        <f t="shared" si="65"/>
        <v>0.99557220708446859</v>
      </c>
      <c r="AD48" s="106">
        <f t="shared" si="65"/>
        <v>0.98341836734693877</v>
      </c>
      <c r="AE48" s="106">
        <f t="shared" si="65"/>
        <v>0.98717948717948723</v>
      </c>
      <c r="AF48" s="106">
        <f t="shared" si="65"/>
        <v>0.98612862547288782</v>
      </c>
      <c r="AG48" s="106">
        <f t="shared" si="65"/>
        <v>0.99277456647398843</v>
      </c>
      <c r="AH48" s="105">
        <f t="shared" si="65"/>
        <v>0.98720818676047328</v>
      </c>
      <c r="AI48" s="106">
        <f t="shared" si="65"/>
        <v>0.9934383202099738</v>
      </c>
      <c r="AJ48" s="106">
        <f t="shared" si="65"/>
        <v>0.99382716049382702</v>
      </c>
      <c r="AK48" s="106">
        <f t="shared" si="65"/>
        <v>0.99637023593466423</v>
      </c>
      <c r="AL48" s="106">
        <f t="shared" si="65"/>
        <v>0.99646017699115041</v>
      </c>
      <c r="AM48" s="105">
        <f t="shared" si="65"/>
        <v>0.99485352335708621</v>
      </c>
      <c r="AN48" s="106">
        <f t="shared" si="65"/>
        <v>0.98701298701298701</v>
      </c>
      <c r="AO48" s="106">
        <f t="shared" si="65"/>
        <v>0.9938176197836166</v>
      </c>
      <c r="AP48" s="106">
        <f t="shared" si="65"/>
        <v>0.98720000000000008</v>
      </c>
      <c r="AQ48" s="23">
        <f t="shared" si="65"/>
        <v>0.98292220113851991</v>
      </c>
      <c r="AR48" s="105">
        <f t="shared" si="65"/>
        <v>0.98809523809523814</v>
      </c>
      <c r="AS48" s="106">
        <f t="shared" si="65"/>
        <v>0.9797421731123388</v>
      </c>
      <c r="AT48" s="106">
        <f t="shared" si="65"/>
        <v>0.98753894080996873</v>
      </c>
      <c r="AU48" s="106">
        <f t="shared" si="65"/>
        <v>0.99685039370078732</v>
      </c>
      <c r="AV48" s="106">
        <f t="shared" si="65"/>
        <v>0.99555555555555564</v>
      </c>
      <c r="AW48" s="105">
        <f t="shared" si="65"/>
        <v>0.9903807615230461</v>
      </c>
      <c r="AX48" s="106">
        <f t="shared" si="65"/>
        <v>0.99862825788751719</v>
      </c>
      <c r="AY48" s="106">
        <f t="shared" si="65"/>
        <v>0.99355670103092786</v>
      </c>
      <c r="AZ48" s="106">
        <f t="shared" si="65"/>
        <v>1</v>
      </c>
      <c r="BA48" s="23">
        <f t="shared" si="65"/>
        <v>1</v>
      </c>
      <c r="BB48" s="105">
        <f t="shared" si="65"/>
        <v>0.99783471670876933</v>
      </c>
      <c r="BC48" s="23">
        <f t="shared" si="65"/>
        <v>0.97480620155038766</v>
      </c>
      <c r="BD48" s="23">
        <f t="shared" si="65"/>
        <v>0.96064400715563503</v>
      </c>
      <c r="BE48" s="23">
        <f t="shared" ref="BE48:CL48" si="66">BE16/BE18</f>
        <v>0.96243291592128799</v>
      </c>
      <c r="BF48" s="23">
        <f t="shared" si="66"/>
        <v>0.97242647058823528</v>
      </c>
      <c r="BG48" s="105">
        <f t="shared" si="66"/>
        <v>0.96740128558310379</v>
      </c>
      <c r="BH48" s="23">
        <f t="shared" si="66"/>
        <v>1</v>
      </c>
      <c r="BI48" s="23">
        <f t="shared" si="66"/>
        <v>0.99283667621776506</v>
      </c>
      <c r="BJ48" s="23">
        <f t="shared" si="66"/>
        <v>0.99402092675635267</v>
      </c>
      <c r="BK48" s="23">
        <f t="shared" si="66"/>
        <v>0.97222222222222221</v>
      </c>
      <c r="BL48" s="105">
        <f t="shared" si="66"/>
        <v>0.98978819969742815</v>
      </c>
      <c r="BM48" s="23">
        <f t="shared" si="66"/>
        <v>0.95686900958466448</v>
      </c>
      <c r="BN48" s="23">
        <f t="shared" si="66"/>
        <v>0.98571428571428577</v>
      </c>
      <c r="BO48" s="23">
        <f t="shared" si="66"/>
        <v>1</v>
      </c>
      <c r="BP48" s="23">
        <f t="shared" si="66"/>
        <v>1</v>
      </c>
      <c r="BQ48" s="105">
        <f t="shared" si="66"/>
        <v>0.98487394957983199</v>
      </c>
      <c r="BR48" s="23">
        <f t="shared" si="66"/>
        <v>1</v>
      </c>
      <c r="BS48" s="23">
        <f t="shared" si="66"/>
        <v>1</v>
      </c>
      <c r="BT48" s="23">
        <f t="shared" si="66"/>
        <v>1</v>
      </c>
      <c r="BU48" s="23">
        <f t="shared" si="66"/>
        <v>0.9963302752293578</v>
      </c>
      <c r="BV48" s="105">
        <f t="shared" si="66"/>
        <v>0.99921042242400315</v>
      </c>
      <c r="BW48" s="23">
        <f t="shared" si="66"/>
        <v>0.99817850637522765</v>
      </c>
      <c r="BX48" s="23">
        <f t="shared" si="66"/>
        <v>1</v>
      </c>
      <c r="BY48" s="23">
        <f t="shared" si="66"/>
        <v>1</v>
      </c>
      <c r="BZ48" s="23">
        <f t="shared" si="66"/>
        <v>0.99815498154981552</v>
      </c>
      <c r="CA48" s="105">
        <f t="shared" si="66"/>
        <v>0.99909008189262971</v>
      </c>
      <c r="CB48" s="23">
        <f t="shared" si="66"/>
        <v>1</v>
      </c>
      <c r="CC48" s="23">
        <f t="shared" si="66"/>
        <v>1</v>
      </c>
      <c r="CD48" s="23">
        <f t="shared" si="66"/>
        <v>1</v>
      </c>
      <c r="CE48" s="23">
        <f t="shared" si="66"/>
        <v>1</v>
      </c>
      <c r="CF48" s="105">
        <f t="shared" si="66"/>
        <v>1</v>
      </c>
      <c r="CG48" s="23">
        <f t="shared" si="66"/>
        <v>1</v>
      </c>
      <c r="CH48" s="23">
        <f t="shared" si="66"/>
        <v>1</v>
      </c>
      <c r="CI48" s="23">
        <f t="shared" si="66"/>
        <v>0.97135416666666663</v>
      </c>
      <c r="CJ48" s="23">
        <f t="shared" si="66"/>
        <v>0.98988439306358378</v>
      </c>
      <c r="CK48" s="105">
        <f t="shared" si="66"/>
        <v>0.99074369613788704</v>
      </c>
      <c r="CL48" s="23">
        <f t="shared" si="66"/>
        <v>0.97894736842105257</v>
      </c>
      <c r="CM48" s="104">
        <f>CN48</f>
        <v>0.99</v>
      </c>
      <c r="CN48" s="104">
        <f>CO48</f>
        <v>0.99</v>
      </c>
      <c r="CO48" s="104">
        <f>CP48</f>
        <v>0.99</v>
      </c>
      <c r="CP48" s="103">
        <v>0.99</v>
      </c>
      <c r="CQ48" s="103">
        <v>0.99</v>
      </c>
      <c r="CR48" s="103">
        <v>0.99</v>
      </c>
      <c r="CS48" s="103">
        <v>0.99</v>
      </c>
    </row>
    <row r="49" spans="2:97" s="14" customFormat="1">
      <c r="B49" s="102" t="s">
        <v>91</v>
      </c>
      <c r="C49" s="101"/>
      <c r="D49" s="101"/>
      <c r="E49" s="101"/>
      <c r="F49" s="101"/>
      <c r="G49" s="101"/>
      <c r="H49" s="101"/>
      <c r="I49" s="101"/>
      <c r="J49" s="20"/>
      <c r="K49" s="20"/>
      <c r="L49" s="20"/>
      <c r="M49" s="20"/>
      <c r="N49" s="101"/>
      <c r="O49" s="20"/>
      <c r="P49" s="20"/>
      <c r="Q49" s="20"/>
      <c r="R49" s="20"/>
      <c r="S49" s="101"/>
      <c r="T49" s="20"/>
      <c r="U49" s="20"/>
      <c r="V49" s="20"/>
      <c r="W49" s="20"/>
      <c r="X49" s="101"/>
      <c r="Y49" s="100">
        <f t="shared" ref="Y49:AT49" si="67">Y17/Y18</f>
        <v>5.3981106612685558E-3</v>
      </c>
      <c r="Z49" s="100">
        <f t="shared" si="67"/>
        <v>3.9525691699604749E-3</v>
      </c>
      <c r="AA49" s="100">
        <f t="shared" si="67"/>
        <v>4.4182621502209139E-3</v>
      </c>
      <c r="AB49" s="100">
        <f t="shared" si="67"/>
        <v>3.9630118890356669E-3</v>
      </c>
      <c r="AC49" s="99">
        <f t="shared" si="67"/>
        <v>4.4277929155313346E-3</v>
      </c>
      <c r="AD49" s="100">
        <f t="shared" si="67"/>
        <v>1.6581632653061226E-2</v>
      </c>
      <c r="AE49" s="100">
        <f t="shared" si="67"/>
        <v>1.2820512820512822E-2</v>
      </c>
      <c r="AF49" s="100">
        <f t="shared" si="67"/>
        <v>1.3871374527112233E-2</v>
      </c>
      <c r="AG49" s="100">
        <f t="shared" si="67"/>
        <v>7.2254335260115606E-3</v>
      </c>
      <c r="AH49" s="99">
        <f t="shared" si="67"/>
        <v>1.2791813239526703E-2</v>
      </c>
      <c r="AI49" s="100">
        <f t="shared" si="67"/>
        <v>6.5616797900262466E-3</v>
      </c>
      <c r="AJ49" s="100">
        <f t="shared" si="67"/>
        <v>6.1728395061728392E-3</v>
      </c>
      <c r="AK49" s="100">
        <f t="shared" si="67"/>
        <v>3.6297640653357535E-3</v>
      </c>
      <c r="AL49" s="100">
        <f t="shared" si="67"/>
        <v>3.5398230088495579E-3</v>
      </c>
      <c r="AM49" s="99">
        <f t="shared" si="67"/>
        <v>5.1464766429136976E-3</v>
      </c>
      <c r="AN49" s="100">
        <f t="shared" si="67"/>
        <v>1.2987012987012988E-2</v>
      </c>
      <c r="AO49" s="100">
        <f t="shared" si="67"/>
        <v>6.1823802163833074E-3</v>
      </c>
      <c r="AP49" s="100">
        <f t="shared" si="67"/>
        <v>1.2800000000000001E-2</v>
      </c>
      <c r="AQ49" s="25">
        <f t="shared" si="67"/>
        <v>1.7077798861480076E-2</v>
      </c>
      <c r="AR49" s="99">
        <f t="shared" si="67"/>
        <v>1.1904761904761904E-2</v>
      </c>
      <c r="AS49" s="100">
        <f t="shared" si="67"/>
        <v>2.0257826887661142E-2</v>
      </c>
      <c r="AT49" s="100">
        <f t="shared" si="67"/>
        <v>1.2461059190031152E-2</v>
      </c>
      <c r="AU49" s="100">
        <f t="shared" ref="AU49:BZ49" si="68">1-AU48</f>
        <v>3.1496062992126816E-3</v>
      </c>
      <c r="AV49" s="100">
        <f t="shared" si="68"/>
        <v>4.444444444444362E-3</v>
      </c>
      <c r="AW49" s="99">
        <f t="shared" si="68"/>
        <v>9.6192384769538952E-3</v>
      </c>
      <c r="AX49" s="100">
        <f t="shared" si="68"/>
        <v>1.37174211248281E-3</v>
      </c>
      <c r="AY49" s="100">
        <f t="shared" si="68"/>
        <v>6.4432989690721421E-3</v>
      </c>
      <c r="AZ49" s="100">
        <f t="shared" si="68"/>
        <v>0</v>
      </c>
      <c r="BA49" s="100">
        <f t="shared" si="68"/>
        <v>0</v>
      </c>
      <c r="BB49" s="99">
        <f t="shared" si="68"/>
        <v>2.1652832912306685E-3</v>
      </c>
      <c r="BC49" s="100">
        <f t="shared" si="68"/>
        <v>2.5193798449612337E-2</v>
      </c>
      <c r="BD49" s="100">
        <f t="shared" si="68"/>
        <v>3.9355992844364973E-2</v>
      </c>
      <c r="BE49" s="100">
        <f t="shared" si="68"/>
        <v>3.756708407871201E-2</v>
      </c>
      <c r="BF49" s="100">
        <f t="shared" si="68"/>
        <v>2.7573529411764719E-2</v>
      </c>
      <c r="BG49" s="99">
        <f t="shared" si="68"/>
        <v>3.2598714416896213E-2</v>
      </c>
      <c r="BH49" s="100">
        <f t="shared" si="68"/>
        <v>0</v>
      </c>
      <c r="BI49" s="100">
        <f t="shared" si="68"/>
        <v>7.1633237822349427E-3</v>
      </c>
      <c r="BJ49" s="100">
        <f t="shared" si="68"/>
        <v>5.979073243647326E-3</v>
      </c>
      <c r="BK49" s="100">
        <f t="shared" si="68"/>
        <v>2.777777777777779E-2</v>
      </c>
      <c r="BL49" s="99">
        <f t="shared" si="68"/>
        <v>1.021180030257185E-2</v>
      </c>
      <c r="BM49" s="100">
        <f t="shared" si="68"/>
        <v>4.3130990415335524E-2</v>
      </c>
      <c r="BN49" s="100">
        <f t="shared" si="68"/>
        <v>1.4285714285714235E-2</v>
      </c>
      <c r="BO49" s="100">
        <f t="shared" si="68"/>
        <v>0</v>
      </c>
      <c r="BP49" s="100">
        <f t="shared" si="68"/>
        <v>0</v>
      </c>
      <c r="BQ49" s="99">
        <f t="shared" si="68"/>
        <v>1.5126050420168013E-2</v>
      </c>
      <c r="BR49" s="100">
        <f t="shared" si="68"/>
        <v>0</v>
      </c>
      <c r="BS49" s="100">
        <f t="shared" si="68"/>
        <v>0</v>
      </c>
      <c r="BT49" s="100">
        <f t="shared" si="68"/>
        <v>0</v>
      </c>
      <c r="BU49" s="100">
        <f t="shared" si="68"/>
        <v>3.669724770642202E-3</v>
      </c>
      <c r="BV49" s="99">
        <f t="shared" si="68"/>
        <v>7.8957757599684708E-4</v>
      </c>
      <c r="BW49" s="100">
        <f t="shared" si="68"/>
        <v>1.8214936247723523E-3</v>
      </c>
      <c r="BX49" s="100">
        <f t="shared" si="68"/>
        <v>0</v>
      </c>
      <c r="BY49" s="100">
        <f t="shared" si="68"/>
        <v>0</v>
      </c>
      <c r="BZ49" s="100">
        <f t="shared" si="68"/>
        <v>1.8450184501844769E-3</v>
      </c>
      <c r="CA49" s="99">
        <f t="shared" ref="CA49:CS49" si="69">1-CA48</f>
        <v>9.0991810737028889E-4</v>
      </c>
      <c r="CB49" s="100">
        <f t="shared" si="69"/>
        <v>0</v>
      </c>
      <c r="CC49" s="100">
        <f t="shared" si="69"/>
        <v>0</v>
      </c>
      <c r="CD49" s="100">
        <f t="shared" si="69"/>
        <v>0</v>
      </c>
      <c r="CE49" s="100">
        <f t="shared" si="69"/>
        <v>0</v>
      </c>
      <c r="CF49" s="99">
        <f t="shared" si="69"/>
        <v>0</v>
      </c>
      <c r="CG49" s="100">
        <f t="shared" si="69"/>
        <v>0</v>
      </c>
      <c r="CH49" s="100">
        <f t="shared" si="69"/>
        <v>0</v>
      </c>
      <c r="CI49" s="100">
        <f t="shared" si="69"/>
        <v>2.864583333333337E-2</v>
      </c>
      <c r="CJ49" s="100">
        <f t="shared" si="69"/>
        <v>1.0115606936416222E-2</v>
      </c>
      <c r="CK49" s="99">
        <f t="shared" si="69"/>
        <v>9.2563038621129579E-3</v>
      </c>
      <c r="CL49" s="100">
        <f t="shared" si="69"/>
        <v>2.1052631578947434E-2</v>
      </c>
      <c r="CM49" s="100">
        <f t="shared" si="69"/>
        <v>1.0000000000000009E-2</v>
      </c>
      <c r="CN49" s="100">
        <f t="shared" si="69"/>
        <v>1.0000000000000009E-2</v>
      </c>
      <c r="CO49" s="100">
        <f t="shared" si="69"/>
        <v>1.0000000000000009E-2</v>
      </c>
      <c r="CP49" s="99">
        <f t="shared" si="69"/>
        <v>1.0000000000000009E-2</v>
      </c>
      <c r="CQ49" s="99">
        <f t="shared" si="69"/>
        <v>1.0000000000000009E-2</v>
      </c>
      <c r="CR49" s="99">
        <f t="shared" si="69"/>
        <v>1.0000000000000009E-2</v>
      </c>
      <c r="CS49" s="99">
        <f t="shared" si="69"/>
        <v>1.0000000000000009E-2</v>
      </c>
    </row>
    <row r="50" spans="2:97" s="14" customFormat="1">
      <c r="B50" s="107" t="s">
        <v>95</v>
      </c>
      <c r="C50" s="28"/>
      <c r="D50" s="28"/>
      <c r="E50" s="28"/>
      <c r="F50" s="28"/>
      <c r="G50" s="28"/>
      <c r="H50" s="28"/>
      <c r="I50" s="28"/>
      <c r="N50" s="28"/>
      <c r="S50" s="28"/>
      <c r="X50" s="28"/>
      <c r="Y50" s="106">
        <f t="shared" ref="Y50:BD50" si="70">SUM(Y48:Y49)</f>
        <v>1</v>
      </c>
      <c r="Z50" s="106">
        <f t="shared" si="70"/>
        <v>1</v>
      </c>
      <c r="AA50" s="106">
        <f t="shared" si="70"/>
        <v>1</v>
      </c>
      <c r="AB50" s="106">
        <f t="shared" si="70"/>
        <v>1</v>
      </c>
      <c r="AC50" s="105">
        <f t="shared" si="70"/>
        <v>0.99999999999999989</v>
      </c>
      <c r="AD50" s="106">
        <f t="shared" si="70"/>
        <v>1</v>
      </c>
      <c r="AE50" s="106">
        <f t="shared" si="70"/>
        <v>1</v>
      </c>
      <c r="AF50" s="106">
        <f t="shared" si="70"/>
        <v>1</v>
      </c>
      <c r="AG50" s="106">
        <f t="shared" si="70"/>
        <v>1</v>
      </c>
      <c r="AH50" s="105">
        <f t="shared" si="70"/>
        <v>1</v>
      </c>
      <c r="AI50" s="106">
        <f t="shared" si="70"/>
        <v>1</v>
      </c>
      <c r="AJ50" s="106">
        <f t="shared" si="70"/>
        <v>0.99999999999999989</v>
      </c>
      <c r="AK50" s="106">
        <f t="shared" si="70"/>
        <v>1</v>
      </c>
      <c r="AL50" s="106">
        <f t="shared" si="70"/>
        <v>1</v>
      </c>
      <c r="AM50" s="105">
        <f t="shared" si="70"/>
        <v>0.99999999999999989</v>
      </c>
      <c r="AN50" s="106">
        <f t="shared" si="70"/>
        <v>1</v>
      </c>
      <c r="AO50" s="106">
        <f t="shared" si="70"/>
        <v>0.99999999999999989</v>
      </c>
      <c r="AP50" s="106">
        <f t="shared" si="70"/>
        <v>1</v>
      </c>
      <c r="AQ50" s="23">
        <f t="shared" si="70"/>
        <v>1</v>
      </c>
      <c r="AR50" s="105">
        <f t="shared" si="70"/>
        <v>1</v>
      </c>
      <c r="AS50" s="106">
        <f t="shared" si="70"/>
        <v>0.99999999999999989</v>
      </c>
      <c r="AT50" s="106">
        <f t="shared" si="70"/>
        <v>0.99999999999999989</v>
      </c>
      <c r="AU50" s="106">
        <f t="shared" si="70"/>
        <v>1</v>
      </c>
      <c r="AV50" s="106">
        <f t="shared" si="70"/>
        <v>1</v>
      </c>
      <c r="AW50" s="105">
        <f t="shared" si="70"/>
        <v>1</v>
      </c>
      <c r="AX50" s="106">
        <f t="shared" si="70"/>
        <v>1</v>
      </c>
      <c r="AY50" s="106">
        <f t="shared" si="70"/>
        <v>1</v>
      </c>
      <c r="AZ50" s="106">
        <f t="shared" si="70"/>
        <v>1</v>
      </c>
      <c r="BA50" s="106">
        <f t="shared" si="70"/>
        <v>1</v>
      </c>
      <c r="BB50" s="105">
        <f t="shared" si="70"/>
        <v>1</v>
      </c>
      <c r="BC50" s="106">
        <f t="shared" si="70"/>
        <v>1</v>
      </c>
      <c r="BD50" s="106">
        <f t="shared" si="70"/>
        <v>1</v>
      </c>
      <c r="BE50" s="106">
        <f t="shared" ref="BE50:CJ50" si="71">SUM(BE48:BE49)</f>
        <v>1</v>
      </c>
      <c r="BF50" s="106">
        <f t="shared" si="71"/>
        <v>1</v>
      </c>
      <c r="BG50" s="105">
        <f t="shared" si="71"/>
        <v>1</v>
      </c>
      <c r="BH50" s="106">
        <f t="shared" si="71"/>
        <v>1</v>
      </c>
      <c r="BI50" s="106">
        <f t="shared" si="71"/>
        <v>1</v>
      </c>
      <c r="BJ50" s="106">
        <f t="shared" si="71"/>
        <v>1</v>
      </c>
      <c r="BK50" s="106">
        <f t="shared" si="71"/>
        <v>1</v>
      </c>
      <c r="BL50" s="105">
        <f t="shared" si="71"/>
        <v>1</v>
      </c>
      <c r="BM50" s="106">
        <f t="shared" si="71"/>
        <v>1</v>
      </c>
      <c r="BN50" s="106">
        <f t="shared" si="71"/>
        <v>1</v>
      </c>
      <c r="BO50" s="106">
        <f t="shared" si="71"/>
        <v>1</v>
      </c>
      <c r="BP50" s="106">
        <f t="shared" si="71"/>
        <v>1</v>
      </c>
      <c r="BQ50" s="105">
        <f t="shared" si="71"/>
        <v>1</v>
      </c>
      <c r="BR50" s="106">
        <f t="shared" si="71"/>
        <v>1</v>
      </c>
      <c r="BS50" s="106">
        <f t="shared" si="71"/>
        <v>1</v>
      </c>
      <c r="BT50" s="106">
        <f t="shared" si="71"/>
        <v>1</v>
      </c>
      <c r="BU50" s="106">
        <f t="shared" si="71"/>
        <v>1</v>
      </c>
      <c r="BV50" s="105">
        <f t="shared" si="71"/>
        <v>1</v>
      </c>
      <c r="BW50" s="106">
        <f t="shared" si="71"/>
        <v>1</v>
      </c>
      <c r="BX50" s="106">
        <f t="shared" si="71"/>
        <v>1</v>
      </c>
      <c r="BY50" s="106">
        <f t="shared" si="71"/>
        <v>1</v>
      </c>
      <c r="BZ50" s="106">
        <f t="shared" si="71"/>
        <v>1</v>
      </c>
      <c r="CA50" s="105">
        <f t="shared" si="71"/>
        <v>1</v>
      </c>
      <c r="CB50" s="106">
        <f t="shared" si="71"/>
        <v>1</v>
      </c>
      <c r="CC50" s="106">
        <f t="shared" si="71"/>
        <v>1</v>
      </c>
      <c r="CD50" s="106">
        <f t="shared" si="71"/>
        <v>1</v>
      </c>
      <c r="CE50" s="106">
        <f t="shared" si="71"/>
        <v>1</v>
      </c>
      <c r="CF50" s="105">
        <f t="shared" si="71"/>
        <v>1</v>
      </c>
      <c r="CG50" s="106">
        <f t="shared" si="71"/>
        <v>1</v>
      </c>
      <c r="CH50" s="106">
        <f t="shared" si="71"/>
        <v>1</v>
      </c>
      <c r="CI50" s="106">
        <f t="shared" si="71"/>
        <v>1</v>
      </c>
      <c r="CJ50" s="106">
        <f t="shared" si="71"/>
        <v>1</v>
      </c>
      <c r="CK50" s="105">
        <f t="shared" ref="CK50:CS50" si="72">SUM(CK48:CK49)</f>
        <v>1</v>
      </c>
      <c r="CL50" s="106">
        <f t="shared" si="72"/>
        <v>1</v>
      </c>
      <c r="CM50" s="106">
        <f t="shared" si="72"/>
        <v>1</v>
      </c>
      <c r="CN50" s="106">
        <f t="shared" si="72"/>
        <v>1</v>
      </c>
      <c r="CO50" s="106">
        <f t="shared" si="72"/>
        <v>1</v>
      </c>
      <c r="CP50" s="105">
        <f t="shared" si="72"/>
        <v>1</v>
      </c>
      <c r="CQ50" s="105">
        <f t="shared" si="72"/>
        <v>1</v>
      </c>
      <c r="CR50" s="105">
        <f t="shared" si="72"/>
        <v>1</v>
      </c>
      <c r="CS50" s="105">
        <f t="shared" si="72"/>
        <v>1</v>
      </c>
    </row>
    <row r="51" spans="2:97" s="14" customFormat="1" ht="6" customHeight="1">
      <c r="B51" s="107"/>
      <c r="C51" s="28"/>
      <c r="D51" s="28"/>
      <c r="E51" s="28"/>
      <c r="F51" s="28"/>
      <c r="G51" s="28"/>
      <c r="H51" s="28"/>
      <c r="I51" s="28"/>
      <c r="N51" s="28"/>
      <c r="S51" s="28"/>
      <c r="X51" s="28"/>
      <c r="Y51" s="106"/>
      <c r="Z51" s="106"/>
      <c r="AA51" s="106"/>
      <c r="AB51" s="106"/>
      <c r="AC51" s="105"/>
      <c r="AD51" s="106"/>
      <c r="AE51" s="106"/>
      <c r="AF51" s="106"/>
      <c r="AG51" s="106"/>
      <c r="AH51" s="105"/>
      <c r="AI51" s="106"/>
      <c r="AJ51" s="106"/>
      <c r="AK51" s="106"/>
      <c r="AL51" s="106"/>
      <c r="AM51" s="105"/>
      <c r="AN51" s="106"/>
      <c r="AO51" s="106"/>
      <c r="AP51" s="106"/>
      <c r="AQ51" s="23"/>
      <c r="AR51" s="105"/>
      <c r="AS51" s="106"/>
      <c r="AT51" s="106"/>
      <c r="AU51" s="106"/>
      <c r="AV51" s="106"/>
      <c r="AW51" s="105"/>
      <c r="AX51" s="106"/>
      <c r="AY51" s="106"/>
      <c r="AZ51" s="106"/>
      <c r="BA51" s="106"/>
      <c r="BB51" s="105"/>
      <c r="BC51" s="106"/>
      <c r="BD51" s="106"/>
      <c r="BE51" s="106"/>
      <c r="BF51" s="106"/>
      <c r="BG51" s="105"/>
      <c r="BH51" s="106"/>
      <c r="BI51" s="106"/>
      <c r="BJ51" s="106"/>
      <c r="BK51" s="106"/>
      <c r="BL51" s="105"/>
      <c r="BM51" s="106"/>
      <c r="BN51" s="106"/>
      <c r="BO51" s="106"/>
      <c r="BP51" s="106"/>
      <c r="BQ51" s="105"/>
      <c r="BR51" s="106"/>
      <c r="BS51" s="106"/>
      <c r="BT51" s="106"/>
      <c r="BU51" s="106"/>
      <c r="BV51" s="105"/>
      <c r="BW51" s="106"/>
      <c r="BX51" s="106"/>
      <c r="BY51" s="106"/>
      <c r="BZ51" s="106"/>
      <c r="CA51" s="105"/>
      <c r="CB51" s="106"/>
      <c r="CC51" s="106"/>
      <c r="CD51" s="106"/>
      <c r="CE51" s="106"/>
      <c r="CF51" s="105"/>
      <c r="CG51" s="106"/>
      <c r="CH51" s="106"/>
      <c r="CI51" s="106"/>
      <c r="CJ51" s="106"/>
      <c r="CK51" s="105"/>
      <c r="CL51" s="106"/>
      <c r="CM51" s="106"/>
      <c r="CN51" s="106"/>
      <c r="CO51" s="106"/>
      <c r="CP51" s="105"/>
      <c r="CQ51" s="105"/>
      <c r="CR51" s="105"/>
      <c r="CS51" s="105"/>
    </row>
    <row r="52" spans="2:97" s="14" customFormat="1">
      <c r="B52" s="102" t="s">
        <v>90</v>
      </c>
      <c r="C52" s="28"/>
      <c r="D52" s="28"/>
      <c r="E52" s="28"/>
      <c r="F52" s="28"/>
      <c r="G52" s="28"/>
      <c r="H52" s="28"/>
      <c r="I52" s="28"/>
      <c r="N52" s="28"/>
      <c r="S52" s="28"/>
      <c r="X52" s="28"/>
      <c r="Y52" s="106">
        <f t="shared" ref="Y52:BD52" si="73">Y19/Y21</f>
        <v>0.81085271317829455</v>
      </c>
      <c r="Z52" s="106">
        <f t="shared" si="73"/>
        <v>0.77027027027027029</v>
      </c>
      <c r="AA52" s="106">
        <f t="shared" si="73"/>
        <v>0.76821192052980136</v>
      </c>
      <c r="AB52" s="106">
        <f t="shared" si="73"/>
        <v>0.69832402234636881</v>
      </c>
      <c r="AC52" s="105">
        <f t="shared" si="73"/>
        <v>0.75987485334376226</v>
      </c>
      <c r="AD52" s="106">
        <f t="shared" si="73"/>
        <v>0.77088948787062006</v>
      </c>
      <c r="AE52" s="106">
        <f t="shared" si="73"/>
        <v>0.79600000000000004</v>
      </c>
      <c r="AF52" s="106">
        <f t="shared" si="73"/>
        <v>0.77380952380952384</v>
      </c>
      <c r="AG52" s="106">
        <f t="shared" si="73"/>
        <v>0.78469520103761359</v>
      </c>
      <c r="AH52" s="105">
        <f t="shared" si="73"/>
        <v>0.78138456442530646</v>
      </c>
      <c r="AI52" s="106">
        <f t="shared" si="73"/>
        <v>0.76843467011642952</v>
      </c>
      <c r="AJ52" s="106">
        <f t="shared" si="73"/>
        <v>0.74029451137884883</v>
      </c>
      <c r="AK52" s="106">
        <f t="shared" si="73"/>
        <v>0.73154362416107388</v>
      </c>
      <c r="AL52" s="106">
        <f t="shared" si="73"/>
        <v>0.70410958904109588</v>
      </c>
      <c r="AM52" s="105">
        <f t="shared" si="73"/>
        <v>0.73656093489148577</v>
      </c>
      <c r="AN52" s="106">
        <f t="shared" si="73"/>
        <v>0.73241379310344834</v>
      </c>
      <c r="AO52" s="106">
        <f t="shared" si="73"/>
        <v>0.76448362720403018</v>
      </c>
      <c r="AP52" s="106">
        <f t="shared" si="73"/>
        <v>0.70698924731182788</v>
      </c>
      <c r="AQ52" s="23">
        <f t="shared" si="73"/>
        <v>0.74703087885985742</v>
      </c>
      <c r="AR52" s="105">
        <f t="shared" si="73"/>
        <v>0.73848631239935592</v>
      </c>
      <c r="AS52" s="106">
        <f t="shared" si="73"/>
        <v>0.75156838143036386</v>
      </c>
      <c r="AT52" s="106">
        <f t="shared" si="73"/>
        <v>0.77845777233782132</v>
      </c>
      <c r="AU52" s="106">
        <f t="shared" si="73"/>
        <v>0.75030902348578488</v>
      </c>
      <c r="AV52" s="106">
        <f t="shared" si="73"/>
        <v>0.75486381322957208</v>
      </c>
      <c r="AW52" s="105">
        <f t="shared" si="73"/>
        <v>0.75892298058860364</v>
      </c>
      <c r="AX52" s="106">
        <f t="shared" si="73"/>
        <v>0.75265017667844514</v>
      </c>
      <c r="AY52" s="106">
        <f t="shared" si="73"/>
        <v>0.76276958002270157</v>
      </c>
      <c r="AZ52" s="106">
        <f t="shared" si="73"/>
        <v>0.75827814569536434</v>
      </c>
      <c r="BA52" s="23">
        <f t="shared" si="73"/>
        <v>0.73768736616702357</v>
      </c>
      <c r="BB52" s="105">
        <f t="shared" si="73"/>
        <v>0.7526610644257703</v>
      </c>
      <c r="BC52" s="23">
        <f t="shared" si="73"/>
        <v>0.7583333333333333</v>
      </c>
      <c r="BD52" s="23">
        <f t="shared" si="73"/>
        <v>0.72699069286452955</v>
      </c>
      <c r="BE52" s="23">
        <f t="shared" ref="BE52:CL52" si="74">BE19/BE21</f>
        <v>0.71610169491525422</v>
      </c>
      <c r="BF52" s="23">
        <f t="shared" si="74"/>
        <v>0.68918918918918914</v>
      </c>
      <c r="BG52" s="105">
        <f t="shared" si="74"/>
        <v>0.72333067305134346</v>
      </c>
      <c r="BH52" s="23">
        <f t="shared" si="74"/>
        <v>0.71757322175732219</v>
      </c>
      <c r="BI52" s="23">
        <f t="shared" si="74"/>
        <v>0.72529858849077089</v>
      </c>
      <c r="BJ52" s="23">
        <f t="shared" si="74"/>
        <v>0.72429378531073441</v>
      </c>
      <c r="BK52" s="23">
        <f t="shared" si="74"/>
        <v>0.72389558232931728</v>
      </c>
      <c r="BL52" s="105">
        <f t="shared" si="74"/>
        <v>0.72272485364555616</v>
      </c>
      <c r="BM52" s="23">
        <f t="shared" si="74"/>
        <v>0.78402699662542186</v>
      </c>
      <c r="BN52" s="23">
        <f t="shared" si="74"/>
        <v>0.76590909090909098</v>
      </c>
      <c r="BO52" s="23">
        <f t="shared" si="74"/>
        <v>0.77231565329883567</v>
      </c>
      <c r="BP52" s="23">
        <f t="shared" si="74"/>
        <v>0.81588447653429608</v>
      </c>
      <c r="BQ52" s="105">
        <f t="shared" si="74"/>
        <v>0.7844648680699674</v>
      </c>
      <c r="BR52" s="23">
        <f t="shared" si="74"/>
        <v>0.79949558638083229</v>
      </c>
      <c r="BS52" s="23">
        <f t="shared" si="74"/>
        <v>0.79462102689486558</v>
      </c>
      <c r="BT52" s="23">
        <f t="shared" si="74"/>
        <v>0.78282208588957047</v>
      </c>
      <c r="BU52" s="23">
        <f t="shared" si="74"/>
        <v>0.81163084702907706</v>
      </c>
      <c r="BV52" s="105">
        <f t="shared" si="74"/>
        <v>0.7970158532794529</v>
      </c>
      <c r="BW52" s="23">
        <f t="shared" si="74"/>
        <v>0.82398956975228166</v>
      </c>
      <c r="BX52" s="23">
        <f t="shared" si="74"/>
        <v>0.78587699316628701</v>
      </c>
      <c r="BY52" s="23">
        <f t="shared" si="74"/>
        <v>0.79322853688029027</v>
      </c>
      <c r="BZ52" s="23">
        <f t="shared" si="74"/>
        <v>0.81535269709543567</v>
      </c>
      <c r="CA52" s="105">
        <f t="shared" si="74"/>
        <v>0.80442374854481957</v>
      </c>
      <c r="CB52" s="23">
        <f t="shared" si="74"/>
        <v>0.82241953385127631</v>
      </c>
      <c r="CC52" s="23">
        <f t="shared" si="74"/>
        <v>0.79825517993456929</v>
      </c>
      <c r="CD52" s="23">
        <f t="shared" si="74"/>
        <v>0.77544247787610621</v>
      </c>
      <c r="CE52" s="23">
        <f t="shared" si="74"/>
        <v>0.77789150460593648</v>
      </c>
      <c r="CF52" s="105">
        <f t="shared" si="74"/>
        <v>0.79318734793187351</v>
      </c>
      <c r="CG52" s="23">
        <f t="shared" si="74"/>
        <v>0.72077922077922074</v>
      </c>
      <c r="CH52" s="23">
        <f t="shared" si="74"/>
        <v>0.71198568872987478</v>
      </c>
      <c r="CI52" s="23">
        <f t="shared" si="74"/>
        <v>0.71857923497267762</v>
      </c>
      <c r="CJ52" s="23">
        <f t="shared" si="74"/>
        <v>0.71032090199479625</v>
      </c>
      <c r="CK52" s="105">
        <f t="shared" si="74"/>
        <v>0.71531369462559025</v>
      </c>
      <c r="CL52" s="23">
        <f t="shared" si="74"/>
        <v>0.65591397849462374</v>
      </c>
      <c r="CM52" s="104">
        <f>CN52</f>
        <v>0.78</v>
      </c>
      <c r="CN52" s="104">
        <f>CO52</f>
        <v>0.78</v>
      </c>
      <c r="CO52" s="104">
        <f>CP52</f>
        <v>0.78</v>
      </c>
      <c r="CP52" s="103">
        <v>0.78</v>
      </c>
      <c r="CQ52" s="103">
        <v>0.78</v>
      </c>
      <c r="CR52" s="103">
        <v>0.78</v>
      </c>
      <c r="CS52" s="103">
        <v>0.78</v>
      </c>
    </row>
    <row r="53" spans="2:97" s="14" customFormat="1">
      <c r="B53" s="102" t="s">
        <v>91</v>
      </c>
      <c r="C53" s="101"/>
      <c r="D53" s="101"/>
      <c r="E53" s="101"/>
      <c r="F53" s="101"/>
      <c r="G53" s="101"/>
      <c r="H53" s="101"/>
      <c r="I53" s="101"/>
      <c r="J53" s="20"/>
      <c r="K53" s="20"/>
      <c r="L53" s="20"/>
      <c r="M53" s="20"/>
      <c r="N53" s="101"/>
      <c r="O53" s="20"/>
      <c r="P53" s="20"/>
      <c r="Q53" s="20"/>
      <c r="R53" s="20"/>
      <c r="S53" s="101"/>
      <c r="T53" s="20"/>
      <c r="U53" s="20"/>
      <c r="V53" s="20"/>
      <c r="W53" s="20"/>
      <c r="X53" s="101"/>
      <c r="Y53" s="100">
        <f t="shared" ref="Y53:AU53" si="75">Y20/Y21</f>
        <v>0.18914728682170542</v>
      </c>
      <c r="Z53" s="100">
        <f t="shared" si="75"/>
        <v>0.22972972972972971</v>
      </c>
      <c r="AA53" s="100">
        <f t="shared" si="75"/>
        <v>0.23178807947019869</v>
      </c>
      <c r="AB53" s="100">
        <f t="shared" si="75"/>
        <v>0.30167597765363136</v>
      </c>
      <c r="AC53" s="99">
        <f t="shared" si="75"/>
        <v>0.24012514665623777</v>
      </c>
      <c r="AD53" s="100">
        <f t="shared" si="75"/>
        <v>0.22911051212938</v>
      </c>
      <c r="AE53" s="100">
        <f t="shared" si="75"/>
        <v>0.20400000000000001</v>
      </c>
      <c r="AF53" s="100">
        <f t="shared" si="75"/>
        <v>0.22619047619047622</v>
      </c>
      <c r="AG53" s="100">
        <f t="shared" si="75"/>
        <v>0.21530479896238655</v>
      </c>
      <c r="AH53" s="99">
        <f t="shared" si="75"/>
        <v>0.21861543557469362</v>
      </c>
      <c r="AI53" s="100">
        <f t="shared" si="75"/>
        <v>0.23156532988357048</v>
      </c>
      <c r="AJ53" s="100">
        <f t="shared" si="75"/>
        <v>0.25970548862115128</v>
      </c>
      <c r="AK53" s="100">
        <f t="shared" si="75"/>
        <v>0.26845637583892618</v>
      </c>
      <c r="AL53" s="100">
        <f t="shared" si="75"/>
        <v>0.29589041095890412</v>
      </c>
      <c r="AM53" s="99">
        <f t="shared" si="75"/>
        <v>0.26343906510851423</v>
      </c>
      <c r="AN53" s="100">
        <f t="shared" si="75"/>
        <v>0.26758620689655171</v>
      </c>
      <c r="AO53" s="100">
        <f t="shared" si="75"/>
        <v>0.23551637279596974</v>
      </c>
      <c r="AP53" s="100">
        <f t="shared" si="75"/>
        <v>0.293010752688172</v>
      </c>
      <c r="AQ53" s="25">
        <f t="shared" si="75"/>
        <v>0.25296912114014253</v>
      </c>
      <c r="AR53" s="99">
        <f t="shared" si="75"/>
        <v>0.26151368760064408</v>
      </c>
      <c r="AS53" s="100">
        <f t="shared" si="75"/>
        <v>0.24843161856963614</v>
      </c>
      <c r="AT53" s="100">
        <f t="shared" si="75"/>
        <v>0.22154222766217871</v>
      </c>
      <c r="AU53" s="100">
        <f t="shared" si="75"/>
        <v>0.24969097651421504</v>
      </c>
      <c r="AV53" s="100">
        <f t="shared" ref="AV53:CA53" si="76">1-AV52</f>
        <v>0.24513618677042792</v>
      </c>
      <c r="AW53" s="99">
        <f t="shared" si="76"/>
        <v>0.24107701941139636</v>
      </c>
      <c r="AX53" s="100">
        <f t="shared" si="76"/>
        <v>0.24734982332155486</v>
      </c>
      <c r="AY53" s="100">
        <f t="shared" si="76"/>
        <v>0.23723041997729843</v>
      </c>
      <c r="AZ53" s="100">
        <f t="shared" si="76"/>
        <v>0.24172185430463566</v>
      </c>
      <c r="BA53" s="100">
        <f t="shared" si="76"/>
        <v>0.26231263383297643</v>
      </c>
      <c r="BB53" s="99">
        <f t="shared" si="76"/>
        <v>0.2473389355742297</v>
      </c>
      <c r="BC53" s="100">
        <f t="shared" si="76"/>
        <v>0.2416666666666667</v>
      </c>
      <c r="BD53" s="100">
        <f t="shared" si="76"/>
        <v>0.27300930713547045</v>
      </c>
      <c r="BE53" s="100">
        <f t="shared" si="76"/>
        <v>0.28389830508474578</v>
      </c>
      <c r="BF53" s="100">
        <f t="shared" si="76"/>
        <v>0.31081081081081086</v>
      </c>
      <c r="BG53" s="99">
        <f t="shared" si="76"/>
        <v>0.27666932694865654</v>
      </c>
      <c r="BH53" s="100">
        <f t="shared" si="76"/>
        <v>0.28242677824267781</v>
      </c>
      <c r="BI53" s="100">
        <f t="shared" si="76"/>
        <v>0.27470141150922911</v>
      </c>
      <c r="BJ53" s="100">
        <f t="shared" si="76"/>
        <v>0.27570621468926559</v>
      </c>
      <c r="BK53" s="100">
        <f t="shared" si="76"/>
        <v>0.27610441767068272</v>
      </c>
      <c r="BL53" s="99">
        <f t="shared" si="76"/>
        <v>0.27727514635444384</v>
      </c>
      <c r="BM53" s="100">
        <f t="shared" si="76"/>
        <v>0.21597300337457814</v>
      </c>
      <c r="BN53" s="100">
        <f t="shared" si="76"/>
        <v>0.23409090909090902</v>
      </c>
      <c r="BO53" s="100">
        <f t="shared" si="76"/>
        <v>0.22768434670116433</v>
      </c>
      <c r="BP53" s="100">
        <f t="shared" si="76"/>
        <v>0.18411552346570392</v>
      </c>
      <c r="BQ53" s="99">
        <f t="shared" si="76"/>
        <v>0.2155351319300326</v>
      </c>
      <c r="BR53" s="100">
        <f t="shared" si="76"/>
        <v>0.20050441361916771</v>
      </c>
      <c r="BS53" s="100">
        <f t="shared" si="76"/>
        <v>0.20537897310513442</v>
      </c>
      <c r="BT53" s="100">
        <f t="shared" si="76"/>
        <v>0.21717791411042953</v>
      </c>
      <c r="BU53" s="100">
        <f t="shared" si="76"/>
        <v>0.18836915297092294</v>
      </c>
      <c r="BV53" s="99">
        <f t="shared" si="76"/>
        <v>0.2029841467205471</v>
      </c>
      <c r="BW53" s="100">
        <f t="shared" si="76"/>
        <v>0.17601043024771834</v>
      </c>
      <c r="BX53" s="100">
        <f t="shared" si="76"/>
        <v>0.21412300683371299</v>
      </c>
      <c r="BY53" s="100">
        <f t="shared" si="76"/>
        <v>0.20677146311970973</v>
      </c>
      <c r="BZ53" s="100">
        <f t="shared" si="76"/>
        <v>0.18464730290456433</v>
      </c>
      <c r="CA53" s="99">
        <f t="shared" si="76"/>
        <v>0.19557625145518043</v>
      </c>
      <c r="CB53" s="100">
        <f t="shared" ref="CB53:CS53" si="77">1-CB52</f>
        <v>0.17758046614872369</v>
      </c>
      <c r="CC53" s="100">
        <f t="shared" si="77"/>
        <v>0.20174482006543071</v>
      </c>
      <c r="CD53" s="100">
        <f t="shared" si="77"/>
        <v>0.22455752212389379</v>
      </c>
      <c r="CE53" s="100">
        <f t="shared" si="77"/>
        <v>0.22210849539406352</v>
      </c>
      <c r="CF53" s="99">
        <f t="shared" si="77"/>
        <v>0.20681265206812649</v>
      </c>
      <c r="CG53" s="100">
        <f t="shared" si="77"/>
        <v>0.27922077922077926</v>
      </c>
      <c r="CH53" s="100">
        <f t="shared" si="77"/>
        <v>0.28801431127012522</v>
      </c>
      <c r="CI53" s="100">
        <f t="shared" si="77"/>
        <v>0.28142076502732238</v>
      </c>
      <c r="CJ53" s="100">
        <f t="shared" si="77"/>
        <v>0.28967909800520375</v>
      </c>
      <c r="CK53" s="99">
        <f t="shared" si="77"/>
        <v>0.28468630537440975</v>
      </c>
      <c r="CL53" s="100">
        <f t="shared" si="77"/>
        <v>0.34408602150537626</v>
      </c>
      <c r="CM53" s="100">
        <f t="shared" si="77"/>
        <v>0.21999999999999997</v>
      </c>
      <c r="CN53" s="100">
        <f t="shared" si="77"/>
        <v>0.21999999999999997</v>
      </c>
      <c r="CO53" s="100">
        <f t="shared" si="77"/>
        <v>0.21999999999999997</v>
      </c>
      <c r="CP53" s="99">
        <f t="shared" si="77"/>
        <v>0.21999999999999997</v>
      </c>
      <c r="CQ53" s="99">
        <f t="shared" si="77"/>
        <v>0.21999999999999997</v>
      </c>
      <c r="CR53" s="99">
        <f t="shared" si="77"/>
        <v>0.21999999999999997</v>
      </c>
      <c r="CS53" s="99">
        <f t="shared" si="77"/>
        <v>0.21999999999999997</v>
      </c>
    </row>
    <row r="54" spans="2:97" s="14" customFormat="1">
      <c r="B54" s="98" t="s">
        <v>109</v>
      </c>
      <c r="C54" s="96"/>
      <c r="D54" s="96"/>
      <c r="E54" s="96"/>
      <c r="F54" s="96"/>
      <c r="G54" s="96"/>
      <c r="H54" s="96"/>
      <c r="I54" s="96"/>
      <c r="J54" s="97"/>
      <c r="K54" s="97"/>
      <c r="L54" s="97"/>
      <c r="M54" s="97"/>
      <c r="N54" s="96"/>
      <c r="O54" s="97"/>
      <c r="P54" s="97"/>
      <c r="Q54" s="97"/>
      <c r="R54" s="97"/>
      <c r="S54" s="96"/>
      <c r="T54" s="97"/>
      <c r="U54" s="97"/>
      <c r="V54" s="97"/>
      <c r="W54" s="97"/>
      <c r="X54" s="96"/>
      <c r="Y54" s="94">
        <f t="shared" ref="Y54:BD54" si="78">SUM(Y52:Y53)</f>
        <v>1</v>
      </c>
      <c r="Z54" s="94">
        <f t="shared" si="78"/>
        <v>1</v>
      </c>
      <c r="AA54" s="94">
        <f t="shared" si="78"/>
        <v>1</v>
      </c>
      <c r="AB54" s="94">
        <f t="shared" si="78"/>
        <v>1.0000000000000002</v>
      </c>
      <c r="AC54" s="93">
        <f t="shared" si="78"/>
        <v>1</v>
      </c>
      <c r="AD54" s="94">
        <f t="shared" si="78"/>
        <v>1</v>
      </c>
      <c r="AE54" s="94">
        <f t="shared" si="78"/>
        <v>1</v>
      </c>
      <c r="AF54" s="94">
        <f t="shared" si="78"/>
        <v>1</v>
      </c>
      <c r="AG54" s="94">
        <f t="shared" si="78"/>
        <v>1.0000000000000002</v>
      </c>
      <c r="AH54" s="93">
        <f t="shared" si="78"/>
        <v>1</v>
      </c>
      <c r="AI54" s="94">
        <f t="shared" si="78"/>
        <v>1</v>
      </c>
      <c r="AJ54" s="94">
        <f t="shared" si="78"/>
        <v>1</v>
      </c>
      <c r="AK54" s="94">
        <f t="shared" si="78"/>
        <v>1</v>
      </c>
      <c r="AL54" s="94">
        <f t="shared" si="78"/>
        <v>1</v>
      </c>
      <c r="AM54" s="93">
        <f t="shared" si="78"/>
        <v>1</v>
      </c>
      <c r="AN54" s="94">
        <f t="shared" si="78"/>
        <v>1</v>
      </c>
      <c r="AO54" s="94">
        <f t="shared" si="78"/>
        <v>0.99999999999999989</v>
      </c>
      <c r="AP54" s="94">
        <f t="shared" si="78"/>
        <v>0.99999999999999989</v>
      </c>
      <c r="AQ54" s="95">
        <f t="shared" si="78"/>
        <v>1</v>
      </c>
      <c r="AR54" s="93">
        <f t="shared" si="78"/>
        <v>1</v>
      </c>
      <c r="AS54" s="94">
        <f t="shared" si="78"/>
        <v>1</v>
      </c>
      <c r="AT54" s="94">
        <f t="shared" si="78"/>
        <v>1</v>
      </c>
      <c r="AU54" s="94">
        <f t="shared" si="78"/>
        <v>0.99999999999999989</v>
      </c>
      <c r="AV54" s="94">
        <f t="shared" si="78"/>
        <v>1</v>
      </c>
      <c r="AW54" s="93">
        <f t="shared" si="78"/>
        <v>1</v>
      </c>
      <c r="AX54" s="94">
        <f t="shared" si="78"/>
        <v>1</v>
      </c>
      <c r="AY54" s="94">
        <f t="shared" si="78"/>
        <v>1</v>
      </c>
      <c r="AZ54" s="94">
        <f t="shared" si="78"/>
        <v>1</v>
      </c>
      <c r="BA54" s="94">
        <f t="shared" si="78"/>
        <v>1</v>
      </c>
      <c r="BB54" s="93">
        <f t="shared" si="78"/>
        <v>1</v>
      </c>
      <c r="BC54" s="94">
        <f t="shared" si="78"/>
        <v>1</v>
      </c>
      <c r="BD54" s="94">
        <f t="shared" si="78"/>
        <v>1</v>
      </c>
      <c r="BE54" s="94">
        <f t="shared" ref="BE54:CJ54" si="79">SUM(BE52:BE53)</f>
        <v>1</v>
      </c>
      <c r="BF54" s="94">
        <f t="shared" si="79"/>
        <v>1</v>
      </c>
      <c r="BG54" s="93">
        <f t="shared" si="79"/>
        <v>1</v>
      </c>
      <c r="BH54" s="94">
        <f t="shared" si="79"/>
        <v>1</v>
      </c>
      <c r="BI54" s="94">
        <f t="shared" si="79"/>
        <v>1</v>
      </c>
      <c r="BJ54" s="94">
        <f t="shared" si="79"/>
        <v>1</v>
      </c>
      <c r="BK54" s="94">
        <f t="shared" si="79"/>
        <v>1</v>
      </c>
      <c r="BL54" s="93">
        <f t="shared" si="79"/>
        <v>1</v>
      </c>
      <c r="BM54" s="94">
        <f t="shared" si="79"/>
        <v>1</v>
      </c>
      <c r="BN54" s="94">
        <f t="shared" si="79"/>
        <v>1</v>
      </c>
      <c r="BO54" s="94">
        <f t="shared" si="79"/>
        <v>1</v>
      </c>
      <c r="BP54" s="94">
        <f t="shared" si="79"/>
        <v>1</v>
      </c>
      <c r="BQ54" s="93">
        <f t="shared" si="79"/>
        <v>1</v>
      </c>
      <c r="BR54" s="94">
        <f t="shared" si="79"/>
        <v>1</v>
      </c>
      <c r="BS54" s="94">
        <f t="shared" si="79"/>
        <v>1</v>
      </c>
      <c r="BT54" s="94">
        <f t="shared" si="79"/>
        <v>1</v>
      </c>
      <c r="BU54" s="94">
        <f t="shared" si="79"/>
        <v>1</v>
      </c>
      <c r="BV54" s="93">
        <f t="shared" si="79"/>
        <v>1</v>
      </c>
      <c r="BW54" s="94">
        <f t="shared" si="79"/>
        <v>1</v>
      </c>
      <c r="BX54" s="94">
        <f t="shared" si="79"/>
        <v>1</v>
      </c>
      <c r="BY54" s="94">
        <f t="shared" si="79"/>
        <v>1</v>
      </c>
      <c r="BZ54" s="94">
        <f t="shared" si="79"/>
        <v>1</v>
      </c>
      <c r="CA54" s="93">
        <f t="shared" si="79"/>
        <v>1</v>
      </c>
      <c r="CB54" s="94">
        <f t="shared" si="79"/>
        <v>1</v>
      </c>
      <c r="CC54" s="94">
        <f t="shared" si="79"/>
        <v>1</v>
      </c>
      <c r="CD54" s="94">
        <f t="shared" si="79"/>
        <v>1</v>
      </c>
      <c r="CE54" s="94">
        <f t="shared" si="79"/>
        <v>1</v>
      </c>
      <c r="CF54" s="93">
        <f t="shared" si="79"/>
        <v>1</v>
      </c>
      <c r="CG54" s="94">
        <f t="shared" si="79"/>
        <v>1</v>
      </c>
      <c r="CH54" s="94">
        <f t="shared" si="79"/>
        <v>1</v>
      </c>
      <c r="CI54" s="94">
        <f t="shared" si="79"/>
        <v>1</v>
      </c>
      <c r="CJ54" s="94">
        <f t="shared" si="79"/>
        <v>1</v>
      </c>
      <c r="CK54" s="93">
        <f t="shared" ref="CK54:CS54" si="80">SUM(CK52:CK53)</f>
        <v>1</v>
      </c>
      <c r="CL54" s="94">
        <f t="shared" si="80"/>
        <v>1</v>
      </c>
      <c r="CM54" s="94">
        <f t="shared" si="80"/>
        <v>1</v>
      </c>
      <c r="CN54" s="94">
        <f t="shared" si="80"/>
        <v>1</v>
      </c>
      <c r="CO54" s="94">
        <f t="shared" si="80"/>
        <v>1</v>
      </c>
      <c r="CP54" s="93">
        <f t="shared" si="80"/>
        <v>1</v>
      </c>
      <c r="CQ54" s="93">
        <f t="shared" si="80"/>
        <v>1</v>
      </c>
      <c r="CR54" s="93">
        <f t="shared" si="80"/>
        <v>1</v>
      </c>
      <c r="CS54" s="93">
        <f t="shared" si="80"/>
        <v>1</v>
      </c>
    </row>
    <row r="55" spans="2:97" ht="6" customHeight="1" thickBot="1">
      <c r="C55" s="4"/>
      <c r="D55" s="4"/>
      <c r="E55" s="4"/>
      <c r="F55" s="4"/>
      <c r="G55" s="4"/>
      <c r="H55" s="4"/>
      <c r="I55" s="4"/>
      <c r="N55" s="4"/>
      <c r="S55" s="4"/>
      <c r="X55" s="4"/>
      <c r="AC55" s="4"/>
      <c r="AH55" s="4"/>
      <c r="AL55" s="30"/>
      <c r="AM55" s="92"/>
      <c r="AN55" s="30"/>
      <c r="AO55" s="30"/>
      <c r="AP55" s="30"/>
      <c r="AQ55" s="30"/>
      <c r="AR55" s="92"/>
      <c r="AS55" s="30"/>
      <c r="AT55" s="30"/>
      <c r="AU55" s="30"/>
      <c r="AV55" s="30"/>
      <c r="AW55" s="92"/>
      <c r="AX55" s="30"/>
      <c r="AY55" s="30"/>
      <c r="AZ55" s="30"/>
      <c r="BA55" s="30"/>
      <c r="BB55" s="92"/>
      <c r="BC55" s="30"/>
      <c r="BD55" s="30"/>
      <c r="BE55" s="30"/>
      <c r="BF55" s="30"/>
      <c r="BG55" s="92"/>
      <c r="BH55" s="30"/>
      <c r="BI55" s="30"/>
      <c r="BJ55" s="30"/>
      <c r="BK55" s="30"/>
      <c r="BL55" s="92"/>
      <c r="BM55" s="30"/>
      <c r="BN55" s="30"/>
      <c r="BO55" s="30"/>
      <c r="BP55" s="30"/>
      <c r="BQ55" s="92"/>
      <c r="BR55" s="30"/>
      <c r="BS55" s="30"/>
      <c r="BT55" s="30"/>
      <c r="BU55" s="30"/>
      <c r="BV55" s="92"/>
      <c r="BW55" s="30"/>
      <c r="BX55" s="30"/>
      <c r="BY55" s="30"/>
      <c r="BZ55" s="30"/>
      <c r="CA55" s="92"/>
      <c r="CB55" s="30"/>
      <c r="CC55" s="30"/>
      <c r="CD55" s="30"/>
      <c r="CE55" s="30"/>
      <c r="CF55" s="92"/>
      <c r="CG55" s="30"/>
      <c r="CH55" s="30"/>
      <c r="CI55" s="30"/>
      <c r="CJ55" s="30"/>
      <c r="CK55" s="92"/>
      <c r="CL55" s="30"/>
      <c r="CM55" s="30"/>
      <c r="CN55" s="30"/>
      <c r="CO55" s="30"/>
      <c r="CP55" s="92"/>
      <c r="CQ55" s="92"/>
      <c r="CR55" s="92"/>
      <c r="CS55" s="92"/>
    </row>
    <row r="56" spans="2:97"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</row>
  </sheetData>
  <pageMargins left="0.8" right="0.3" top="0.7" bottom="0.7" header="0.5" footer="0.5"/>
  <pageSetup scale="23" orientation="portrait" r:id="rId1"/>
  <headerFooter alignWithMargins="0"/>
  <customProperties>
    <customPr name="Qube.Worksheet.Visibility" r:id="rId2"/>
  </customPropertie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D9C1-6ACA-5B44-9D41-CC3DA5C49C43}">
  <sheetPr>
    <pageSetUpPr fitToPage="1"/>
  </sheetPr>
  <dimension ref="A1:CZ184"/>
  <sheetViews>
    <sheetView showGridLines="0" zoomScaleNormal="100" workbookViewId="0">
      <pane xSplit="2" ySplit="4" topLeftCell="CF145" activePane="bottomRight" state="frozen"/>
      <selection activeCell="CT39" sqref="CT39:CT40"/>
      <selection pane="topRight" activeCell="CT39" sqref="CT39:CT40"/>
      <selection pane="bottomLeft" activeCell="CT39" sqref="CT39:CT40"/>
      <selection pane="bottomRight" activeCell="CZ184" sqref="CZ184"/>
    </sheetView>
  </sheetViews>
  <sheetFormatPr defaultColWidth="9.85546875" defaultRowHeight="14.25" outlineLevelRow="2" outlineLevelCol="1"/>
  <cols>
    <col min="1" max="1" width="1.85546875" style="433" customWidth="1"/>
    <col min="2" max="2" width="41.85546875" style="433" customWidth="1"/>
    <col min="3" max="9" width="9.85546875" style="433" hidden="1" customWidth="1"/>
    <col min="10" max="13" width="9.85546875" style="433" hidden="1" customWidth="1" outlineLevel="1"/>
    <col min="14" max="14" width="9.85546875" style="433" hidden="1" customWidth="1" collapsed="1"/>
    <col min="15" max="18" width="9.85546875" style="433" hidden="1" customWidth="1" outlineLevel="1"/>
    <col min="19" max="19" width="9.85546875" style="433" hidden="1" customWidth="1" collapsed="1"/>
    <col min="20" max="23" width="9.85546875" style="433" hidden="1" customWidth="1" outlineLevel="1"/>
    <col min="24" max="24" width="9.85546875" style="433" hidden="1" customWidth="1" collapsed="1"/>
    <col min="25" max="28" width="9.85546875" style="433" hidden="1" customWidth="1" outlineLevel="1"/>
    <col min="29" max="29" width="9.85546875" style="433" hidden="1" customWidth="1" collapsed="1"/>
    <col min="30" max="33" width="9.85546875" style="433" hidden="1" customWidth="1" outlineLevel="1"/>
    <col min="34" max="34" width="9.85546875" style="433" hidden="1" customWidth="1" collapsed="1"/>
    <col min="35" max="38" width="9.85546875" style="433" hidden="1" customWidth="1" outlineLevel="1"/>
    <col min="39" max="39" width="9.85546875" style="433" hidden="1" customWidth="1" collapsed="1"/>
    <col min="40" max="43" width="9.85546875" style="433" hidden="1" customWidth="1" outlineLevel="1"/>
    <col min="44" max="44" width="9.85546875" style="433" hidden="1" customWidth="1" collapsed="1"/>
    <col min="45" max="48" width="9.85546875" style="433" hidden="1" customWidth="1" outlineLevel="1"/>
    <col min="49" max="49" width="9.85546875" style="433" hidden="1" customWidth="1" collapsed="1"/>
    <col min="50" max="53" width="9.85546875" style="433" customWidth="1" outlineLevel="1"/>
    <col min="54" max="54" width="9.85546875" style="433"/>
    <col min="55" max="58" width="9.85546875" style="433" hidden="1" customWidth="1" outlineLevel="1"/>
    <col min="59" max="59" width="13.28515625" style="433" customWidth="1" collapsed="1"/>
    <col min="60" max="63" width="9.85546875" style="433" hidden="1" customWidth="1" outlineLevel="1"/>
    <col min="64" max="64" width="11.140625" style="433" bestFit="1" customWidth="1" collapsed="1"/>
    <col min="65" max="68" width="9.85546875" style="433" hidden="1" customWidth="1" outlineLevel="1"/>
    <col min="69" max="69" width="11.140625" style="433" bestFit="1" customWidth="1" collapsed="1"/>
    <col min="70" max="73" width="9.85546875" style="433" hidden="1" customWidth="1" outlineLevel="1"/>
    <col min="74" max="74" width="11.140625" style="433" bestFit="1" customWidth="1" collapsed="1"/>
    <col min="75" max="78" width="9.85546875" style="433" hidden="1" customWidth="1" outlineLevel="1"/>
    <col min="79" max="79" width="11.140625" style="433" bestFit="1" customWidth="1" collapsed="1"/>
    <col min="80" max="83" width="9.85546875" style="433" hidden="1" customWidth="1" outlineLevel="1"/>
    <col min="84" max="84" width="11.140625" style="433" bestFit="1" customWidth="1" collapsed="1"/>
    <col min="85" max="88" width="9.85546875" style="433" hidden="1" customWidth="1" outlineLevel="1"/>
    <col min="89" max="89" width="11.140625" style="433" bestFit="1" customWidth="1" collapsed="1"/>
    <col min="90" max="93" width="9.85546875" style="433" customWidth="1" outlineLevel="1"/>
    <col min="94" max="16384" width="9.85546875" style="433"/>
  </cols>
  <sheetData>
    <row r="1" spans="2:97" ht="12" customHeight="1" thickBot="1">
      <c r="CF1" s="434"/>
      <c r="CG1" s="434"/>
      <c r="CH1" s="434"/>
      <c r="CI1" s="434"/>
      <c r="CJ1" s="434"/>
      <c r="CK1" s="434"/>
      <c r="CL1" s="434"/>
      <c r="CM1" s="434"/>
      <c r="CN1" s="434"/>
      <c r="CO1" s="434"/>
      <c r="CP1" s="434"/>
      <c r="CQ1" s="434"/>
      <c r="CR1" s="434"/>
      <c r="CS1" s="434"/>
    </row>
    <row r="2" spans="2:97" ht="6" customHeight="1">
      <c r="C2" s="435"/>
      <c r="D2" s="435"/>
      <c r="E2" s="435"/>
      <c r="F2" s="435"/>
      <c r="G2" s="435"/>
      <c r="H2" s="435"/>
      <c r="I2" s="435"/>
      <c r="N2" s="435"/>
      <c r="S2" s="435"/>
      <c r="X2" s="435"/>
      <c r="AC2" s="435"/>
      <c r="AH2" s="435"/>
      <c r="AM2" s="435"/>
      <c r="AR2" s="435"/>
      <c r="AW2" s="435"/>
      <c r="BB2" s="435"/>
      <c r="BG2" s="435"/>
      <c r="BL2" s="435"/>
      <c r="BQ2" s="435"/>
      <c r="BV2" s="435"/>
      <c r="CA2" s="435"/>
      <c r="CF2" s="435"/>
      <c r="CK2" s="435"/>
      <c r="CP2" s="435"/>
      <c r="CQ2" s="435"/>
      <c r="CR2" s="435"/>
      <c r="CS2" s="435"/>
    </row>
    <row r="3" spans="2:97">
      <c r="B3" s="436" t="s">
        <v>260</v>
      </c>
      <c r="C3" s="437">
        <v>1997</v>
      </c>
      <c r="D3" s="437">
        <v>1998</v>
      </c>
      <c r="E3" s="437">
        <v>1999</v>
      </c>
      <c r="F3" s="437">
        <v>2000</v>
      </c>
      <c r="G3" s="437">
        <v>2001</v>
      </c>
      <c r="H3" s="437">
        <v>2002</v>
      </c>
      <c r="I3" s="437">
        <v>2003</v>
      </c>
      <c r="J3" s="438" t="s">
        <v>0</v>
      </c>
      <c r="K3" s="438" t="s">
        <v>1</v>
      </c>
      <c r="L3" s="438" t="s">
        <v>2</v>
      </c>
      <c r="M3" s="438" t="s">
        <v>3</v>
      </c>
      <c r="N3" s="437">
        <v>2004</v>
      </c>
      <c r="O3" s="438" t="s">
        <v>4</v>
      </c>
      <c r="P3" s="438" t="s">
        <v>5</v>
      </c>
      <c r="Q3" s="438" t="s">
        <v>6</v>
      </c>
      <c r="R3" s="438" t="s">
        <v>7</v>
      </c>
      <c r="S3" s="437">
        <v>2005</v>
      </c>
      <c r="T3" s="438" t="s">
        <v>8</v>
      </c>
      <c r="U3" s="438" t="s">
        <v>9</v>
      </c>
      <c r="V3" s="438" t="s">
        <v>10</v>
      </c>
      <c r="W3" s="438" t="s">
        <v>11</v>
      </c>
      <c r="X3" s="437">
        <v>2006</v>
      </c>
      <c r="Y3" s="438" t="s">
        <v>12</v>
      </c>
      <c r="Z3" s="438" t="s">
        <v>13</v>
      </c>
      <c r="AA3" s="438" t="s">
        <v>14</v>
      </c>
      <c r="AB3" s="438" t="s">
        <v>15</v>
      </c>
      <c r="AC3" s="437">
        <v>2007</v>
      </c>
      <c r="AD3" s="438" t="s">
        <v>16</v>
      </c>
      <c r="AE3" s="438" t="s">
        <v>17</v>
      </c>
      <c r="AF3" s="438" t="s">
        <v>18</v>
      </c>
      <c r="AG3" s="438" t="s">
        <v>19</v>
      </c>
      <c r="AH3" s="437">
        <v>2008</v>
      </c>
      <c r="AI3" s="438" t="s">
        <v>20</v>
      </c>
      <c r="AJ3" s="438" t="s">
        <v>21</v>
      </c>
      <c r="AK3" s="438" t="s">
        <v>22</v>
      </c>
      <c r="AL3" s="438" t="s">
        <v>23</v>
      </c>
      <c r="AM3" s="437">
        <v>2009</v>
      </c>
      <c r="AN3" s="438" t="s">
        <v>208</v>
      </c>
      <c r="AO3" s="438" t="s">
        <v>209</v>
      </c>
      <c r="AP3" s="438" t="s">
        <v>210</v>
      </c>
      <c r="AQ3" s="438" t="s">
        <v>211</v>
      </c>
      <c r="AR3" s="437">
        <v>2010</v>
      </c>
      <c r="AS3" s="438" t="s">
        <v>212</v>
      </c>
      <c r="AT3" s="438" t="s">
        <v>213</v>
      </c>
      <c r="AU3" s="438" t="s">
        <v>214</v>
      </c>
      <c r="AV3" s="438" t="s">
        <v>215</v>
      </c>
      <c r="AW3" s="437">
        <v>2011</v>
      </c>
      <c r="AX3" s="438" t="s">
        <v>282</v>
      </c>
      <c r="AY3" s="438" t="s">
        <v>283</v>
      </c>
      <c r="AZ3" s="438" t="s">
        <v>284</v>
      </c>
      <c r="BA3" s="438" t="s">
        <v>285</v>
      </c>
      <c r="BB3" s="437">
        <v>2012</v>
      </c>
      <c r="BC3" s="438" t="s">
        <v>308</v>
      </c>
      <c r="BD3" s="438" t="s">
        <v>309</v>
      </c>
      <c r="BE3" s="438" t="s">
        <v>310</v>
      </c>
      <c r="BF3" s="438" t="s">
        <v>311</v>
      </c>
      <c r="BG3" s="437">
        <v>2013</v>
      </c>
      <c r="BH3" s="438" t="s">
        <v>312</v>
      </c>
      <c r="BI3" s="438" t="s">
        <v>313</v>
      </c>
      <c r="BJ3" s="438" t="s">
        <v>314</v>
      </c>
      <c r="BK3" s="438" t="s">
        <v>315</v>
      </c>
      <c r="BL3" s="437">
        <v>2014</v>
      </c>
      <c r="BM3" s="438" t="s">
        <v>382</v>
      </c>
      <c r="BN3" s="438" t="s">
        <v>383</v>
      </c>
      <c r="BO3" s="438" t="s">
        <v>384</v>
      </c>
      <c r="BP3" s="438" t="s">
        <v>385</v>
      </c>
      <c r="BQ3" s="437">
        <v>2015</v>
      </c>
      <c r="BR3" s="438" t="s">
        <v>386</v>
      </c>
      <c r="BS3" s="438" t="s">
        <v>387</v>
      </c>
      <c r="BT3" s="438" t="s">
        <v>388</v>
      </c>
      <c r="BU3" s="438" t="s">
        <v>389</v>
      </c>
      <c r="BV3" s="437">
        <v>2016</v>
      </c>
      <c r="BW3" s="438" t="s">
        <v>390</v>
      </c>
      <c r="BX3" s="438" t="s">
        <v>391</v>
      </c>
      <c r="BY3" s="438" t="s">
        <v>392</v>
      </c>
      <c r="BZ3" s="438" t="s">
        <v>393</v>
      </c>
      <c r="CA3" s="437">
        <v>2017</v>
      </c>
      <c r="CB3" s="438" t="s">
        <v>445</v>
      </c>
      <c r="CC3" s="438" t="s">
        <v>446</v>
      </c>
      <c r="CD3" s="438" t="s">
        <v>447</v>
      </c>
      <c r="CE3" s="438" t="s">
        <v>448</v>
      </c>
      <c r="CF3" s="437">
        <v>2018</v>
      </c>
      <c r="CG3" s="438" t="s">
        <v>459</v>
      </c>
      <c r="CH3" s="438" t="s">
        <v>460</v>
      </c>
      <c r="CI3" s="438" t="s">
        <v>461</v>
      </c>
      <c r="CJ3" s="438" t="s">
        <v>462</v>
      </c>
      <c r="CK3" s="437">
        <v>2019</v>
      </c>
      <c r="CL3" s="438" t="s">
        <v>466</v>
      </c>
      <c r="CM3" s="438" t="s">
        <v>470</v>
      </c>
      <c r="CN3" s="438" t="s">
        <v>471</v>
      </c>
      <c r="CO3" s="438" t="s">
        <v>472</v>
      </c>
      <c r="CP3" s="437" t="s">
        <v>457</v>
      </c>
      <c r="CQ3" s="437" t="s">
        <v>463</v>
      </c>
      <c r="CR3" s="437" t="s">
        <v>464</v>
      </c>
      <c r="CS3" s="437" t="s">
        <v>465</v>
      </c>
    </row>
    <row r="4" spans="2:97">
      <c r="B4" s="439" t="s">
        <v>111</v>
      </c>
      <c r="C4" s="440">
        <v>35795</v>
      </c>
      <c r="D4" s="440">
        <v>36160</v>
      </c>
      <c r="E4" s="440">
        <v>36525</v>
      </c>
      <c r="F4" s="440">
        <v>36891</v>
      </c>
      <c r="G4" s="440">
        <v>37256</v>
      </c>
      <c r="H4" s="440">
        <v>37621</v>
      </c>
      <c r="I4" s="440">
        <v>37986</v>
      </c>
      <c r="J4" s="441">
        <v>38077</v>
      </c>
      <c r="K4" s="441">
        <v>38168</v>
      </c>
      <c r="L4" s="441">
        <v>38260</v>
      </c>
      <c r="M4" s="441">
        <v>38352</v>
      </c>
      <c r="N4" s="440">
        <v>38352</v>
      </c>
      <c r="O4" s="441">
        <v>38442</v>
      </c>
      <c r="P4" s="441">
        <v>38533</v>
      </c>
      <c r="Q4" s="441">
        <v>38625</v>
      </c>
      <c r="R4" s="441">
        <v>38717</v>
      </c>
      <c r="S4" s="440">
        <v>38717</v>
      </c>
      <c r="T4" s="441">
        <v>38807</v>
      </c>
      <c r="U4" s="441">
        <v>38898</v>
      </c>
      <c r="V4" s="441">
        <v>38990</v>
      </c>
      <c r="W4" s="441">
        <v>39082</v>
      </c>
      <c r="X4" s="440">
        <v>39082</v>
      </c>
      <c r="Y4" s="441">
        <v>39172</v>
      </c>
      <c r="Z4" s="441">
        <v>39263</v>
      </c>
      <c r="AA4" s="441">
        <v>39355</v>
      </c>
      <c r="AB4" s="441">
        <v>39447</v>
      </c>
      <c r="AC4" s="440">
        <v>39447</v>
      </c>
      <c r="AD4" s="441">
        <v>39538</v>
      </c>
      <c r="AE4" s="441">
        <v>39629</v>
      </c>
      <c r="AF4" s="441">
        <v>39721</v>
      </c>
      <c r="AG4" s="441">
        <v>39813</v>
      </c>
      <c r="AH4" s="440">
        <v>39813</v>
      </c>
      <c r="AI4" s="441">
        <v>39903</v>
      </c>
      <c r="AJ4" s="441">
        <v>39994</v>
      </c>
      <c r="AK4" s="441">
        <v>40086</v>
      </c>
      <c r="AL4" s="442">
        <v>40178</v>
      </c>
      <c r="AM4" s="443">
        <v>40178</v>
      </c>
      <c r="AN4" s="441">
        <v>40268</v>
      </c>
      <c r="AO4" s="441">
        <v>40359</v>
      </c>
      <c r="AP4" s="441">
        <v>40451</v>
      </c>
      <c r="AQ4" s="442">
        <v>40543</v>
      </c>
      <c r="AR4" s="443">
        <v>40543</v>
      </c>
      <c r="AS4" s="441">
        <v>40633</v>
      </c>
      <c r="AT4" s="441">
        <v>40724</v>
      </c>
      <c r="AU4" s="441">
        <v>40816</v>
      </c>
      <c r="AV4" s="442">
        <v>40908</v>
      </c>
      <c r="AW4" s="443">
        <v>40908</v>
      </c>
      <c r="AX4" s="441">
        <v>40999</v>
      </c>
      <c r="AY4" s="441">
        <v>41090</v>
      </c>
      <c r="AZ4" s="441">
        <v>41182</v>
      </c>
      <c r="BA4" s="442">
        <v>41274</v>
      </c>
      <c r="BB4" s="443">
        <v>41274</v>
      </c>
      <c r="BC4" s="441">
        <v>41364</v>
      </c>
      <c r="BD4" s="441">
        <v>41455</v>
      </c>
      <c r="BE4" s="441">
        <v>41547</v>
      </c>
      <c r="BF4" s="442">
        <v>41639</v>
      </c>
      <c r="BG4" s="443">
        <v>41639</v>
      </c>
      <c r="BH4" s="442">
        <v>41729</v>
      </c>
      <c r="BI4" s="442">
        <v>41820</v>
      </c>
      <c r="BJ4" s="442">
        <v>41912</v>
      </c>
      <c r="BK4" s="442">
        <v>42004</v>
      </c>
      <c r="BL4" s="443">
        <v>42004</v>
      </c>
      <c r="BM4" s="441">
        <v>42094</v>
      </c>
      <c r="BN4" s="441">
        <v>42185</v>
      </c>
      <c r="BO4" s="441">
        <v>42277</v>
      </c>
      <c r="BP4" s="442">
        <v>42369</v>
      </c>
      <c r="BQ4" s="443">
        <v>42369</v>
      </c>
      <c r="BR4" s="441">
        <v>42460</v>
      </c>
      <c r="BS4" s="441">
        <v>42551</v>
      </c>
      <c r="BT4" s="441">
        <v>42643</v>
      </c>
      <c r="BU4" s="442">
        <v>42735</v>
      </c>
      <c r="BV4" s="443">
        <v>42735</v>
      </c>
      <c r="BW4" s="441">
        <v>42825</v>
      </c>
      <c r="BX4" s="441">
        <v>42916</v>
      </c>
      <c r="BY4" s="441">
        <v>43008</v>
      </c>
      <c r="BZ4" s="442">
        <v>43100</v>
      </c>
      <c r="CA4" s="443">
        <v>43100</v>
      </c>
      <c r="CB4" s="441">
        <v>43190</v>
      </c>
      <c r="CC4" s="441">
        <v>43281</v>
      </c>
      <c r="CD4" s="441">
        <v>43373</v>
      </c>
      <c r="CE4" s="442">
        <v>43465</v>
      </c>
      <c r="CF4" s="443">
        <v>43465</v>
      </c>
      <c r="CG4" s="441">
        <v>43554</v>
      </c>
      <c r="CH4" s="441">
        <v>43646</v>
      </c>
      <c r="CI4" s="441">
        <v>43738</v>
      </c>
      <c r="CJ4" s="442">
        <v>43830</v>
      </c>
      <c r="CK4" s="443">
        <v>43830</v>
      </c>
      <c r="CL4" s="441">
        <v>43920</v>
      </c>
      <c r="CM4" s="441">
        <v>44012</v>
      </c>
      <c r="CN4" s="441">
        <v>44104</v>
      </c>
      <c r="CO4" s="442">
        <v>44196</v>
      </c>
      <c r="CP4" s="443">
        <v>44196</v>
      </c>
      <c r="CQ4" s="443">
        <v>44561</v>
      </c>
      <c r="CR4" s="443">
        <v>44926</v>
      </c>
      <c r="CS4" s="443">
        <v>45291</v>
      </c>
    </row>
    <row r="5" spans="2:97">
      <c r="C5" s="444"/>
      <c r="D5" s="444"/>
      <c r="E5" s="444"/>
      <c r="F5" s="444"/>
      <c r="G5" s="444"/>
      <c r="H5" s="444"/>
      <c r="I5" s="444"/>
      <c r="N5" s="444"/>
      <c r="S5" s="444"/>
      <c r="X5" s="444"/>
      <c r="AC5" s="444"/>
      <c r="AH5" s="444"/>
      <c r="AM5" s="444"/>
      <c r="AR5" s="444"/>
      <c r="AW5" s="444"/>
      <c r="BB5" s="444"/>
      <c r="BG5" s="444"/>
      <c r="BL5" s="444"/>
      <c r="BQ5" s="444"/>
      <c r="BV5" s="444"/>
      <c r="CA5" s="444"/>
      <c r="CF5" s="444"/>
      <c r="CK5" s="444"/>
      <c r="CP5" s="444"/>
      <c r="CQ5" s="444"/>
      <c r="CR5" s="444"/>
      <c r="CS5" s="444"/>
    </row>
    <row r="6" spans="2:97">
      <c r="B6" s="445" t="s">
        <v>117</v>
      </c>
      <c r="C6" s="444"/>
      <c r="D6" s="444"/>
      <c r="E6" s="444"/>
      <c r="F6" s="444"/>
      <c r="G6" s="444"/>
      <c r="H6" s="444"/>
      <c r="I6" s="444"/>
      <c r="N6" s="444"/>
      <c r="S6" s="444"/>
      <c r="X6" s="444"/>
      <c r="AC6" s="444"/>
      <c r="AH6" s="444"/>
      <c r="AM6" s="444"/>
      <c r="AR6" s="444"/>
      <c r="AW6" s="444"/>
      <c r="BB6" s="444"/>
      <c r="BG6" s="444"/>
      <c r="BL6" s="444"/>
      <c r="BQ6" s="444"/>
      <c r="BV6" s="444"/>
      <c r="CA6" s="444"/>
      <c r="CF6" s="444"/>
      <c r="CK6" s="444"/>
      <c r="CP6" s="444"/>
      <c r="CQ6" s="444"/>
      <c r="CR6" s="444"/>
      <c r="CS6" s="444"/>
    </row>
    <row r="7" spans="2:97" s="448" customFormat="1" ht="12" hidden="1" customHeight="1" outlineLevel="1">
      <c r="B7" s="446"/>
      <c r="C7" s="447"/>
      <c r="D7" s="447"/>
      <c r="E7" s="447"/>
      <c r="F7" s="447"/>
      <c r="G7" s="447"/>
      <c r="H7" s="447"/>
      <c r="I7" s="447"/>
      <c r="N7" s="447"/>
      <c r="S7" s="447"/>
      <c r="X7" s="447"/>
      <c r="AC7" s="447"/>
      <c r="AH7" s="447"/>
      <c r="AM7" s="447"/>
      <c r="AR7" s="447"/>
      <c r="AW7" s="447"/>
      <c r="BB7" s="449"/>
      <c r="BG7" s="447"/>
      <c r="BL7" s="447"/>
      <c r="BQ7" s="447"/>
      <c r="BV7" s="447"/>
      <c r="CA7" s="447"/>
      <c r="CF7" s="447"/>
      <c r="CK7" s="447"/>
      <c r="CP7" s="447"/>
      <c r="CQ7" s="447"/>
      <c r="CR7" s="447"/>
      <c r="CS7" s="447"/>
    </row>
    <row r="8" spans="2:97" ht="12" hidden="1" customHeight="1" outlineLevel="1">
      <c r="B8" s="450" t="s">
        <v>112</v>
      </c>
      <c r="C8" s="444"/>
      <c r="D8" s="444"/>
      <c r="E8" s="444"/>
      <c r="F8" s="444"/>
      <c r="G8" s="444"/>
      <c r="H8" s="444"/>
      <c r="I8" s="444"/>
      <c r="N8" s="444"/>
      <c r="S8" s="444"/>
      <c r="X8" s="444"/>
      <c r="AC8" s="444"/>
      <c r="AH8" s="444"/>
      <c r="AM8" s="444"/>
      <c r="AR8" s="444"/>
      <c r="AW8" s="444"/>
      <c r="BB8" s="444"/>
      <c r="BG8" s="444"/>
      <c r="BL8" s="444"/>
      <c r="BQ8" s="444"/>
      <c r="BV8" s="444"/>
      <c r="CA8" s="444"/>
      <c r="CF8" s="444"/>
      <c r="CK8" s="444"/>
      <c r="CP8" s="444"/>
      <c r="CQ8" s="444"/>
      <c r="CR8" s="444"/>
      <c r="CS8" s="444"/>
    </row>
    <row r="9" spans="2:97" ht="12" hidden="1" customHeight="1" outlineLevel="1">
      <c r="B9" s="451"/>
      <c r="C9" s="444"/>
      <c r="D9" s="444"/>
      <c r="E9" s="444"/>
      <c r="F9" s="452"/>
      <c r="G9" s="452"/>
      <c r="H9" s="444"/>
      <c r="I9" s="444"/>
      <c r="N9" s="444"/>
      <c r="S9" s="444"/>
      <c r="X9" s="444"/>
      <c r="AC9" s="444"/>
      <c r="AH9" s="444"/>
      <c r="AM9" s="444"/>
      <c r="AO9" s="453"/>
      <c r="AR9" s="444"/>
      <c r="AS9" s="453"/>
      <c r="AT9" s="454"/>
      <c r="AU9" s="454"/>
      <c r="AV9" s="453"/>
      <c r="AW9" s="444"/>
      <c r="AX9" s="453"/>
      <c r="AY9" s="453"/>
      <c r="AZ9" s="453"/>
      <c r="BB9" s="444"/>
      <c r="BD9" s="453"/>
      <c r="BE9" s="453"/>
      <c r="BF9" s="453"/>
      <c r="BG9" s="444"/>
      <c r="BH9" s="453"/>
      <c r="BI9" s="453"/>
      <c r="BJ9" s="453"/>
      <c r="BK9" s="453"/>
      <c r="BL9" s="444"/>
      <c r="BM9" s="453"/>
      <c r="BN9" s="453"/>
      <c r="BO9" s="453"/>
      <c r="BP9" s="453"/>
      <c r="BQ9" s="455"/>
      <c r="BR9" s="456"/>
      <c r="BS9" s="456"/>
      <c r="BT9" s="456"/>
      <c r="BU9" s="456"/>
      <c r="BV9" s="457"/>
      <c r="BW9" s="453"/>
      <c r="BX9" s="453"/>
      <c r="BY9" s="453"/>
      <c r="BZ9" s="453"/>
      <c r="CA9" s="455"/>
      <c r="CB9" s="453"/>
      <c r="CC9" s="453"/>
      <c r="CD9" s="453"/>
      <c r="CE9" s="453"/>
      <c r="CF9" s="455"/>
      <c r="CG9" s="456"/>
      <c r="CH9" s="456"/>
      <c r="CI9" s="456"/>
      <c r="CJ9" s="456"/>
      <c r="CK9" s="457"/>
      <c r="CL9" s="453"/>
      <c r="CM9" s="453"/>
      <c r="CN9" s="453"/>
      <c r="CO9" s="453"/>
      <c r="CP9" s="455"/>
      <c r="CQ9" s="455"/>
      <c r="CR9" s="455"/>
      <c r="CS9" s="455"/>
    </row>
    <row r="10" spans="2:97" ht="12" hidden="1" customHeight="1" outlineLevel="1">
      <c r="B10" s="451" t="s">
        <v>458</v>
      </c>
      <c r="C10" s="444"/>
      <c r="D10" s="444"/>
      <c r="E10" s="444"/>
      <c r="F10" s="452"/>
      <c r="G10" s="452"/>
      <c r="H10" s="444"/>
      <c r="I10" s="444"/>
      <c r="N10" s="444"/>
      <c r="S10" s="444"/>
      <c r="X10" s="444"/>
      <c r="AC10" s="444"/>
      <c r="AH10" s="444"/>
      <c r="AM10" s="444"/>
      <c r="AO10" s="453"/>
      <c r="AR10" s="444"/>
      <c r="AS10" s="453"/>
      <c r="AT10" s="454"/>
      <c r="AU10" s="454"/>
      <c r="AV10" s="453"/>
      <c r="AW10" s="444"/>
      <c r="AX10" s="453"/>
      <c r="AY10" s="453"/>
      <c r="AZ10" s="453"/>
      <c r="BB10" s="444"/>
      <c r="BD10" s="453"/>
      <c r="BE10" s="453"/>
      <c r="BF10" s="453"/>
      <c r="BG10" s="444"/>
      <c r="BH10" s="453"/>
      <c r="BI10" s="453"/>
      <c r="BJ10" s="453"/>
      <c r="BK10" s="453"/>
      <c r="BL10" s="444"/>
      <c r="BM10" s="453"/>
      <c r="BN10" s="453"/>
      <c r="BO10" s="453"/>
      <c r="BP10" s="453"/>
      <c r="BQ10" s="455"/>
      <c r="BR10" s="456"/>
      <c r="BS10" s="456"/>
      <c r="BT10" s="456"/>
      <c r="BU10" s="456"/>
      <c r="BV10" s="457"/>
      <c r="BW10" s="456"/>
      <c r="BX10" s="456"/>
      <c r="BY10" s="456"/>
      <c r="BZ10" s="456">
        <v>6</v>
      </c>
      <c r="CA10" s="457">
        <f>SUM(BW10:BZ10)</f>
        <v>6</v>
      </c>
      <c r="CB10" s="456">
        <v>6</v>
      </c>
      <c r="CC10" s="456">
        <v>7</v>
      </c>
      <c r="CD10" s="456">
        <v>7</v>
      </c>
      <c r="CE10" s="456"/>
      <c r="CF10" s="457">
        <f>SUM(CB10:CE10)</f>
        <v>20</v>
      </c>
      <c r="CG10" s="456"/>
      <c r="CH10" s="456"/>
      <c r="CI10" s="456"/>
      <c r="CJ10" s="456"/>
      <c r="CK10" s="457"/>
      <c r="CL10" s="456"/>
      <c r="CM10" s="456"/>
      <c r="CN10" s="456"/>
      <c r="CO10" s="456"/>
      <c r="CP10" s="457"/>
      <c r="CQ10" s="455"/>
      <c r="CR10" s="455"/>
      <c r="CS10" s="455"/>
    </row>
    <row r="11" spans="2:97" ht="12" hidden="1" customHeight="1" outlineLevel="1">
      <c r="B11" s="451" t="s">
        <v>394</v>
      </c>
      <c r="C11" s="444"/>
      <c r="D11" s="444"/>
      <c r="E11" s="444"/>
      <c r="F11" s="452"/>
      <c r="G11" s="452"/>
      <c r="H11" s="444"/>
      <c r="I11" s="444"/>
      <c r="N11" s="444"/>
      <c r="S11" s="444"/>
      <c r="X11" s="444"/>
      <c r="AC11" s="444"/>
      <c r="AH11" s="444"/>
      <c r="AM11" s="444"/>
      <c r="AO11" s="453"/>
      <c r="AR11" s="444"/>
      <c r="AS11" s="453"/>
      <c r="AT11" s="454"/>
      <c r="AU11" s="454"/>
      <c r="AV11" s="453"/>
      <c r="AW11" s="444"/>
      <c r="AX11" s="453"/>
      <c r="AY11" s="453"/>
      <c r="AZ11" s="453"/>
      <c r="BB11" s="444"/>
      <c r="BD11" s="453"/>
      <c r="BE11" s="453"/>
      <c r="BF11" s="453"/>
      <c r="BG11" s="444"/>
      <c r="BH11" s="453"/>
      <c r="BI11" s="453"/>
      <c r="BJ11" s="453"/>
      <c r="BK11" s="453"/>
      <c r="BL11" s="444"/>
      <c r="BM11" s="453"/>
      <c r="BN11" s="453"/>
      <c r="BO11" s="453"/>
      <c r="BP11" s="453"/>
      <c r="BQ11" s="455"/>
      <c r="BR11" s="456">
        <v>10</v>
      </c>
      <c r="BS11" s="456">
        <v>10</v>
      </c>
      <c r="BT11" s="456">
        <v>10</v>
      </c>
      <c r="BU11" s="456">
        <v>10</v>
      </c>
      <c r="BV11" s="457">
        <f>SUM(BR11:BU11)</f>
        <v>40</v>
      </c>
      <c r="BW11" s="453"/>
      <c r="BX11" s="453"/>
      <c r="BY11" s="453"/>
      <c r="BZ11" s="453"/>
      <c r="CA11" s="455"/>
      <c r="CB11" s="453"/>
      <c r="CC11" s="453"/>
      <c r="CD11" s="453"/>
      <c r="CE11" s="453"/>
      <c r="CF11" s="455"/>
      <c r="CG11" s="453"/>
      <c r="CH11" s="453"/>
      <c r="CI11" s="453"/>
      <c r="CJ11" s="453"/>
      <c r="CK11" s="455"/>
      <c r="CL11" s="453"/>
      <c r="CM11" s="453"/>
      <c r="CN11" s="453"/>
      <c r="CO11" s="453"/>
      <c r="CP11" s="455"/>
      <c r="CQ11" s="455"/>
      <c r="CR11" s="455"/>
      <c r="CS11" s="455"/>
    </row>
    <row r="12" spans="2:97" ht="12" hidden="1" customHeight="1" outlineLevel="1">
      <c r="B12" s="450" t="s">
        <v>113</v>
      </c>
      <c r="C12" s="444"/>
      <c r="D12" s="444"/>
      <c r="E12" s="444"/>
      <c r="F12" s="444"/>
      <c r="G12" s="444"/>
      <c r="H12" s="444"/>
      <c r="I12" s="444"/>
      <c r="N12" s="444"/>
      <c r="S12" s="444"/>
      <c r="X12" s="444"/>
      <c r="AC12" s="444"/>
      <c r="AH12" s="444"/>
      <c r="AM12" s="444"/>
      <c r="AR12" s="444"/>
      <c r="AW12" s="444"/>
      <c r="BB12" s="444"/>
      <c r="BG12" s="444"/>
      <c r="BL12" s="444"/>
      <c r="BQ12" s="444"/>
      <c r="BV12" s="444"/>
      <c r="CA12" s="444"/>
      <c r="CF12" s="444"/>
      <c r="CK12" s="444"/>
      <c r="CP12" s="444"/>
      <c r="CQ12" s="444"/>
      <c r="CR12" s="444"/>
      <c r="CS12" s="444"/>
    </row>
    <row r="13" spans="2:97" collapsed="1">
      <c r="B13" s="433" t="s">
        <v>90</v>
      </c>
      <c r="C13" s="444"/>
      <c r="D13" s="444"/>
      <c r="E13" s="444"/>
      <c r="F13" s="444"/>
      <c r="G13" s="444"/>
      <c r="H13" s="444"/>
      <c r="I13" s="444"/>
      <c r="N13" s="444"/>
      <c r="S13" s="444"/>
      <c r="T13" s="433">
        <f>'Data (2)'!T132</f>
        <v>254.20000000000005</v>
      </c>
      <c r="U13" s="433">
        <f>'Data (2)'!U132</f>
        <v>227.2</v>
      </c>
      <c r="V13" s="433">
        <f>'Data (2)'!V132</f>
        <v>204.6</v>
      </c>
      <c r="W13" s="433">
        <f>'Data (2)'!W132</f>
        <v>255.89999999999998</v>
      </c>
      <c r="X13" s="444">
        <f>SUM(T13:W13)</f>
        <v>941.9</v>
      </c>
      <c r="Y13" s="433">
        <f>'Data (2)'!Y132</f>
        <v>240</v>
      </c>
      <c r="Z13" s="433">
        <f>'Data (2)'!Z132</f>
        <v>240.3</v>
      </c>
      <c r="AA13" s="433">
        <f>'Data (2)'!AA132</f>
        <v>231.6</v>
      </c>
      <c r="AB13" s="433">
        <f>'Data (2)'!AB132</f>
        <v>264</v>
      </c>
      <c r="AC13" s="444">
        <f>SUM(Y13:AB13)</f>
        <v>975.9</v>
      </c>
      <c r="AD13" s="433">
        <f>'Data (2)'!AD132</f>
        <v>288.89999999999998</v>
      </c>
      <c r="AE13" s="433">
        <f>'Data (2)'!AE132</f>
        <v>303.3</v>
      </c>
      <c r="AF13" s="433">
        <f>'Data (2)'!AF132</f>
        <v>277.8</v>
      </c>
      <c r="AG13" s="433">
        <f>'Data (2)'!AG132</f>
        <v>245.40000000000009</v>
      </c>
      <c r="AH13" s="444">
        <f>SUM(AD13:AG13)</f>
        <v>1115.4000000000001</v>
      </c>
      <c r="AI13" s="433">
        <f>'Data (2)'!AI132</f>
        <v>253.5</v>
      </c>
      <c r="AJ13" s="433">
        <f>'Data (2)'!AJ132</f>
        <v>220.2</v>
      </c>
      <c r="AK13" s="433">
        <f>'Data (2)'!AK132</f>
        <v>202</v>
      </c>
      <c r="AL13" s="433">
        <f>'Data (2)'!AL132</f>
        <v>208.1</v>
      </c>
      <c r="AM13" s="444">
        <f>SUM(AI13:AL13)</f>
        <v>883.80000000000007</v>
      </c>
      <c r="AN13" s="433">
        <f>'Data (2)'!AN132</f>
        <v>209.3</v>
      </c>
      <c r="AO13" s="433">
        <f>'Data (2)'!AO132</f>
        <v>250.4</v>
      </c>
      <c r="AP13" s="433">
        <f>'Data (2)'!AP132</f>
        <v>234.4</v>
      </c>
      <c r="AQ13" s="433">
        <f>'Data (2)'!AQ132</f>
        <v>249.10000000000002</v>
      </c>
      <c r="AR13" s="444">
        <f>SUM(AN13:AQ13)</f>
        <v>943.2</v>
      </c>
      <c r="AS13" s="433">
        <f>'Data (2)'!AS132</f>
        <v>270.2</v>
      </c>
      <c r="AT13" s="454">
        <f>'Data (2)'!AT132</f>
        <v>290.7</v>
      </c>
      <c r="AU13" s="454">
        <f>'Data (2)'!AU132</f>
        <v>277</v>
      </c>
      <c r="AV13" s="454">
        <f>'Data (2)'!AV132</f>
        <v>290.39999999999998</v>
      </c>
      <c r="AW13" s="444">
        <f>SUM(AS13:AV13)</f>
        <v>1128.3</v>
      </c>
      <c r="AX13" s="454">
        <f>'Data (2)'!AX132</f>
        <v>332.1</v>
      </c>
      <c r="AY13" s="433">
        <f>'Data (2)'!AY132</f>
        <v>331.6</v>
      </c>
      <c r="AZ13" s="433">
        <f>'Data (2)'!AZ132</f>
        <v>313.89999999999998</v>
      </c>
      <c r="BA13" s="433">
        <f>'Data (2)'!BA132</f>
        <v>310.10000000000002</v>
      </c>
      <c r="BB13" s="444">
        <f>SUM(AX13:BA13)</f>
        <v>1287.7</v>
      </c>
      <c r="BC13" s="433">
        <f>'Data (2)'!BC132</f>
        <v>341.5</v>
      </c>
      <c r="BD13" s="433">
        <f>'Data (2)'!BD132</f>
        <v>342.7</v>
      </c>
      <c r="BE13" s="433">
        <f>'Data (2)'!BE132</f>
        <v>329.7</v>
      </c>
      <c r="BF13" s="433">
        <f>'Data (2)'!BF132</f>
        <v>341</v>
      </c>
      <c r="BG13" s="444">
        <f>SUM(BC13:BF13)</f>
        <v>1354.9</v>
      </c>
      <c r="BH13" s="433">
        <f>'Data (2)'!BH132</f>
        <v>374.8</v>
      </c>
      <c r="BI13" s="433">
        <f>'Data (2)'!BI132</f>
        <v>379.8</v>
      </c>
      <c r="BJ13" s="433">
        <f>'Data (2)'!BJ132</f>
        <v>359.3</v>
      </c>
      <c r="BK13" s="433">
        <f>'Data (2)'!BK132</f>
        <v>373.7</v>
      </c>
      <c r="BL13" s="444">
        <f>SUM(BH13:BK13)</f>
        <v>1487.6000000000001</v>
      </c>
      <c r="BM13" s="433">
        <f>'Data (2)'!BM132</f>
        <v>387.79999999999995</v>
      </c>
      <c r="BN13" s="433">
        <f>'Data (2)'!BN132</f>
        <v>393.4</v>
      </c>
      <c r="BO13" s="433">
        <f>'Data (2)'!BO132</f>
        <v>363.29999999999995</v>
      </c>
      <c r="BP13" s="433">
        <f>'Data (2)'!BP132</f>
        <v>384.6</v>
      </c>
      <c r="BQ13" s="444">
        <f>SUM(BM13:BP13)</f>
        <v>1529.1</v>
      </c>
      <c r="BR13" s="433">
        <f>'Data (2)'!BR132</f>
        <v>413.9</v>
      </c>
      <c r="BS13" s="433">
        <f>'Data (2)'!BS132</f>
        <v>444.2</v>
      </c>
      <c r="BT13" s="433">
        <f>'Data (2)'!BT132</f>
        <v>414.4</v>
      </c>
      <c r="BU13" s="433">
        <f>'Data (2)'!BU132</f>
        <v>405.1</v>
      </c>
      <c r="BV13" s="444">
        <f>SUM(BR13:BU13)</f>
        <v>1677.6</v>
      </c>
      <c r="BW13" s="433">
        <f>'Data (2)'!BW132</f>
        <v>404.6</v>
      </c>
      <c r="BX13" s="433">
        <f>'Data (2)'!BX132</f>
        <v>412.4</v>
      </c>
      <c r="BY13" s="433">
        <f>'Data (2)'!BY132</f>
        <v>415.3</v>
      </c>
      <c r="BZ13" s="433">
        <f>'Data (2)'!BZ132</f>
        <v>428.4</v>
      </c>
      <c r="CA13" s="444">
        <f>SUM(BW13:BZ13)</f>
        <v>1660.6999999999998</v>
      </c>
      <c r="CB13" s="433">
        <f>'Data (2)'!CB132</f>
        <v>463.8</v>
      </c>
      <c r="CC13" s="433">
        <f>'Data (2)'!CC132</f>
        <v>466.1</v>
      </c>
      <c r="CD13" s="433">
        <f>'Data (2)'!CD132</f>
        <v>450</v>
      </c>
      <c r="CE13" s="433">
        <f>'Data (2)'!CE132</f>
        <v>465.2</v>
      </c>
      <c r="CF13" s="444">
        <f>SUM(CB13:CE13)</f>
        <v>1845.1000000000001</v>
      </c>
      <c r="CG13" s="433">
        <f>'Data (2)'!CG132</f>
        <v>506.9</v>
      </c>
      <c r="CH13" s="433">
        <f>'Data (2)'!CH132</f>
        <v>505.5</v>
      </c>
      <c r="CI13" s="433">
        <f>'Data (2)'!CI132</f>
        <v>471.3</v>
      </c>
      <c r="CJ13" s="433">
        <f>'Data (2)'!CJ132</f>
        <v>462.8</v>
      </c>
      <c r="CK13" s="444">
        <f>SUM(CG13:CJ13)</f>
        <v>1946.5</v>
      </c>
      <c r="CL13" s="433">
        <f>'Data (2)'!CL132</f>
        <v>463.3</v>
      </c>
      <c r="CM13" s="453">
        <f>'End Market (2)'!CM7+CM34+CM29</f>
        <v>266.69438000000002</v>
      </c>
      <c r="CN13" s="453">
        <f>'End Market (2)'!CN7+CN34+CN29</f>
        <v>306.05914000000001</v>
      </c>
      <c r="CO13" s="453">
        <f>'End Market (2)'!CO7+CO29+CO34</f>
        <v>358.43166000000002</v>
      </c>
      <c r="CP13" s="444">
        <f>SUM(CL13:CO13)</f>
        <v>1394.4851800000001</v>
      </c>
      <c r="CQ13" s="455">
        <f>'End Market (2)'!CQ7+CQ29+CQ34</f>
        <v>1505.5979365999999</v>
      </c>
      <c r="CR13" s="455">
        <f>'End Market (2)'!CR7+CR29+CR34</f>
        <v>1634.234342556</v>
      </c>
      <c r="CS13" s="455">
        <f>'End Market (2)'!CS7+CS29+CS34</f>
        <v>1795.5622460085999</v>
      </c>
    </row>
    <row r="14" spans="2:97" s="448" customFormat="1" outlineLevel="1">
      <c r="C14" s="447"/>
      <c r="D14" s="447"/>
      <c r="E14" s="447"/>
      <c r="F14" s="447"/>
      <c r="G14" s="447"/>
      <c r="H14" s="447"/>
      <c r="I14" s="447"/>
      <c r="N14" s="447"/>
      <c r="S14" s="447"/>
      <c r="X14" s="447"/>
      <c r="AC14" s="447"/>
      <c r="AH14" s="447"/>
      <c r="AM14" s="447"/>
      <c r="AN14" s="458"/>
      <c r="AO14" s="458"/>
      <c r="AR14" s="447"/>
      <c r="AS14" s="458"/>
      <c r="AT14" s="454"/>
      <c r="AU14" s="454"/>
      <c r="AV14" s="458"/>
      <c r="AW14" s="447"/>
      <c r="AX14" s="458"/>
      <c r="AY14" s="458"/>
      <c r="AZ14" s="458"/>
      <c r="BB14" s="449"/>
      <c r="BC14" s="434"/>
      <c r="BD14" s="458"/>
      <c r="BE14" s="458"/>
      <c r="BF14" s="458"/>
      <c r="BG14" s="447"/>
      <c r="BH14" s="458"/>
      <c r="BI14" s="458"/>
      <c r="BJ14" s="458"/>
      <c r="BK14" s="458"/>
      <c r="BL14" s="447"/>
      <c r="BM14" s="458"/>
      <c r="BN14" s="458"/>
      <c r="BO14" s="458"/>
      <c r="BP14" s="458"/>
      <c r="BQ14" s="459"/>
      <c r="BR14" s="458"/>
      <c r="BS14" s="458"/>
      <c r="BT14" s="458"/>
      <c r="BU14" s="458"/>
      <c r="BV14" s="459"/>
      <c r="BW14" s="458"/>
      <c r="BX14" s="458"/>
      <c r="BY14" s="458"/>
      <c r="BZ14" s="458"/>
      <c r="CA14" s="459"/>
      <c r="CB14" s="458"/>
      <c r="CC14" s="458"/>
      <c r="CD14" s="458"/>
      <c r="CE14" s="458"/>
      <c r="CF14" s="459"/>
      <c r="CG14" s="458"/>
      <c r="CH14" s="458"/>
      <c r="CI14" s="458"/>
      <c r="CJ14" s="458"/>
      <c r="CK14" s="459"/>
      <c r="CM14" s="458"/>
      <c r="CN14" s="458"/>
      <c r="CO14" s="458"/>
      <c r="CP14" s="459"/>
      <c r="CQ14" s="459"/>
      <c r="CR14" s="459"/>
      <c r="CS14" s="459"/>
    </row>
    <row r="15" spans="2:97" outlineLevel="1">
      <c r="B15" s="450" t="s">
        <v>112</v>
      </c>
      <c r="C15" s="444"/>
      <c r="D15" s="444"/>
      <c r="E15" s="444"/>
      <c r="F15" s="444"/>
      <c r="G15" s="444"/>
      <c r="H15" s="444"/>
      <c r="I15" s="444"/>
      <c r="N15" s="444"/>
      <c r="S15" s="444"/>
      <c r="X15" s="444"/>
      <c r="AC15" s="444"/>
      <c r="AH15" s="444"/>
      <c r="AM15" s="444"/>
      <c r="AO15" s="453"/>
      <c r="AR15" s="444"/>
      <c r="AS15" s="453"/>
      <c r="AT15" s="454"/>
      <c r="AU15" s="454"/>
      <c r="AV15" s="453"/>
      <c r="AW15" s="444"/>
      <c r="AX15" s="453"/>
      <c r="AY15" s="453"/>
      <c r="AZ15" s="453"/>
      <c r="BB15" s="444"/>
      <c r="BD15" s="453"/>
      <c r="BE15" s="453"/>
      <c r="BF15" s="453"/>
      <c r="BG15" s="444"/>
      <c r="BH15" s="453"/>
      <c r="BI15" s="453"/>
      <c r="BJ15" s="453"/>
      <c r="BK15" s="453"/>
      <c r="BL15" s="444"/>
      <c r="BM15" s="453"/>
      <c r="BN15" s="453"/>
      <c r="BO15" s="453"/>
      <c r="BP15" s="453"/>
      <c r="BQ15" s="455"/>
      <c r="BR15" s="453"/>
      <c r="BS15" s="453"/>
      <c r="BT15" s="453"/>
      <c r="BU15" s="453"/>
      <c r="BV15" s="455"/>
      <c r="BW15" s="453"/>
      <c r="BX15" s="453"/>
      <c r="BY15" s="453"/>
      <c r="BZ15" s="453"/>
      <c r="CA15" s="455"/>
      <c r="CB15" s="453"/>
      <c r="CC15" s="453"/>
      <c r="CD15" s="453"/>
      <c r="CE15" s="453"/>
      <c r="CF15" s="455"/>
      <c r="CG15" s="453"/>
      <c r="CH15" s="453"/>
      <c r="CI15" s="453"/>
      <c r="CJ15" s="453"/>
      <c r="CK15" s="455"/>
      <c r="CM15" s="453"/>
      <c r="CN15" s="453"/>
      <c r="CO15" s="453"/>
      <c r="CP15" s="455"/>
      <c r="CQ15" s="455"/>
      <c r="CR15" s="455"/>
      <c r="CS15" s="455"/>
    </row>
    <row r="16" spans="2:97" outlineLevel="1">
      <c r="B16" s="451" t="s">
        <v>473</v>
      </c>
      <c r="C16" s="444"/>
      <c r="D16" s="444"/>
      <c r="E16" s="444"/>
      <c r="F16" s="444"/>
      <c r="G16" s="444"/>
      <c r="H16" s="444"/>
      <c r="I16" s="444"/>
      <c r="N16" s="444"/>
      <c r="S16" s="444"/>
      <c r="X16" s="444"/>
      <c r="AC16" s="444"/>
      <c r="AH16" s="444"/>
      <c r="AM16" s="444"/>
      <c r="AO16" s="453"/>
      <c r="AR16" s="444"/>
      <c r="AS16" s="453"/>
      <c r="AT16" s="454"/>
      <c r="AU16" s="454"/>
      <c r="AV16" s="453"/>
      <c r="AW16" s="444"/>
      <c r="AX16" s="453"/>
      <c r="AY16" s="453"/>
      <c r="AZ16" s="453"/>
      <c r="BB16" s="444"/>
      <c r="BD16" s="453"/>
      <c r="BE16" s="453"/>
      <c r="BF16" s="453"/>
      <c r="BG16" s="444"/>
      <c r="BH16" s="453"/>
      <c r="BI16" s="453"/>
      <c r="BJ16" s="453"/>
      <c r="BK16" s="453"/>
      <c r="BL16" s="444"/>
      <c r="BM16" s="453"/>
      <c r="BN16" s="453"/>
      <c r="BO16" s="453"/>
      <c r="BP16" s="453"/>
      <c r="BQ16" s="455"/>
      <c r="BR16" s="453"/>
      <c r="BS16" s="453"/>
      <c r="BT16" s="453"/>
      <c r="BU16" s="453"/>
      <c r="BV16" s="455"/>
      <c r="BW16" s="453"/>
      <c r="BX16" s="453"/>
      <c r="BY16" s="453"/>
      <c r="BZ16" s="453"/>
      <c r="CA16" s="455"/>
      <c r="CB16" s="453"/>
      <c r="CC16" s="453"/>
      <c r="CD16" s="453"/>
      <c r="CE16" s="453"/>
      <c r="CF16" s="455"/>
      <c r="CG16" s="456">
        <v>12.5</v>
      </c>
      <c r="CH16" s="456">
        <v>12.5</v>
      </c>
      <c r="CI16" s="456">
        <v>13</v>
      </c>
      <c r="CJ16" s="456">
        <v>11</v>
      </c>
      <c r="CK16" s="457">
        <f>SUM(CG16:CJ16)</f>
        <v>49</v>
      </c>
      <c r="CL16" s="433">
        <v>11</v>
      </c>
      <c r="CM16" s="453"/>
      <c r="CN16" s="453"/>
      <c r="CO16" s="453"/>
      <c r="CP16" s="455"/>
      <c r="CQ16" s="455"/>
      <c r="CR16" s="455"/>
      <c r="CS16" s="455"/>
    </row>
    <row r="17" spans="2:104" outlineLevel="1">
      <c r="B17" s="450" t="s">
        <v>113</v>
      </c>
      <c r="C17" s="444"/>
      <c r="D17" s="444"/>
      <c r="E17" s="444"/>
      <c r="F17" s="444"/>
      <c r="G17" s="444"/>
      <c r="H17" s="444"/>
      <c r="I17" s="444"/>
      <c r="N17" s="444"/>
      <c r="S17" s="444"/>
      <c r="X17" s="444"/>
      <c r="AC17" s="444"/>
      <c r="AH17" s="444"/>
      <c r="AM17" s="444"/>
      <c r="AO17" s="453"/>
      <c r="AR17" s="444"/>
      <c r="AS17" s="453"/>
      <c r="AT17" s="454"/>
      <c r="AU17" s="454"/>
      <c r="AV17" s="453"/>
      <c r="AW17" s="444"/>
      <c r="AX17" s="453"/>
      <c r="AY17" s="453"/>
      <c r="AZ17" s="453"/>
      <c r="BB17" s="444"/>
      <c r="BD17" s="453"/>
      <c r="BE17" s="453"/>
      <c r="BF17" s="453"/>
      <c r="BG17" s="444"/>
      <c r="BH17" s="453"/>
      <c r="BI17" s="453"/>
      <c r="BJ17" s="453"/>
      <c r="BK17" s="453"/>
      <c r="BL17" s="444"/>
      <c r="BM17" s="453"/>
      <c r="BN17" s="453"/>
      <c r="BO17" s="453"/>
      <c r="BP17" s="453"/>
      <c r="BQ17" s="455"/>
      <c r="BR17" s="453"/>
      <c r="BS17" s="453"/>
      <c r="BT17" s="453"/>
      <c r="BU17" s="453"/>
      <c r="BV17" s="455"/>
      <c r="BW17" s="453"/>
      <c r="BX17" s="453"/>
      <c r="BY17" s="453"/>
      <c r="BZ17" s="453"/>
      <c r="CA17" s="455"/>
      <c r="CB17" s="453"/>
      <c r="CC17" s="453"/>
      <c r="CD17" s="453"/>
      <c r="CE17" s="453"/>
      <c r="CF17" s="455"/>
      <c r="CG17" s="453"/>
      <c r="CH17" s="453"/>
      <c r="CI17" s="453"/>
      <c r="CJ17" s="453"/>
      <c r="CK17" s="455"/>
      <c r="CM17" s="453"/>
      <c r="CN17" s="453"/>
      <c r="CO17" s="453"/>
      <c r="CP17" s="455"/>
      <c r="CQ17" s="455"/>
      <c r="CR17" s="455"/>
      <c r="CS17" s="455"/>
    </row>
    <row r="18" spans="2:104" outlineLevel="2">
      <c r="B18" s="451" t="s">
        <v>114</v>
      </c>
      <c r="C18" s="444"/>
      <c r="D18" s="444"/>
      <c r="E18" s="444"/>
      <c r="F18" s="452">
        <f>-69*2/3</f>
        <v>-46</v>
      </c>
      <c r="G18" s="452">
        <f>-69-F18</f>
        <v>-23</v>
      </c>
      <c r="H18" s="444"/>
      <c r="I18" s="444"/>
      <c r="N18" s="444"/>
      <c r="S18" s="444"/>
      <c r="X18" s="444"/>
      <c r="AC18" s="444"/>
      <c r="AH18" s="444"/>
      <c r="AM18" s="444"/>
      <c r="AO18" s="453"/>
      <c r="AR18" s="444"/>
      <c r="AS18" s="453"/>
      <c r="AT18" s="454"/>
      <c r="AU18" s="454"/>
      <c r="AV18" s="453"/>
      <c r="AW18" s="444"/>
      <c r="AX18" s="453"/>
      <c r="AY18" s="453"/>
      <c r="AZ18" s="453"/>
      <c r="BB18" s="444"/>
      <c r="BD18" s="453"/>
      <c r="BE18" s="453"/>
      <c r="BF18" s="453"/>
      <c r="BG18" s="444"/>
      <c r="BH18" s="453"/>
      <c r="BI18" s="453"/>
      <c r="BJ18" s="453"/>
      <c r="BK18" s="453"/>
      <c r="BL18" s="444"/>
      <c r="BM18" s="453"/>
      <c r="BN18" s="453"/>
      <c r="BO18" s="453"/>
      <c r="BP18" s="453"/>
      <c r="BQ18" s="455"/>
      <c r="BR18" s="453"/>
      <c r="BS18" s="453"/>
      <c r="BT18" s="453"/>
      <c r="BU18" s="453"/>
      <c r="BV18" s="455"/>
      <c r="BW18" s="453"/>
      <c r="BX18" s="453"/>
      <c r="BY18" s="453"/>
      <c r="BZ18" s="453"/>
      <c r="CA18" s="455"/>
      <c r="CB18" s="453"/>
      <c r="CC18" s="453"/>
      <c r="CD18" s="453"/>
      <c r="CE18" s="453"/>
      <c r="CF18" s="455"/>
      <c r="CG18" s="453"/>
      <c r="CH18" s="453"/>
      <c r="CI18" s="453"/>
      <c r="CJ18" s="453"/>
      <c r="CK18" s="455"/>
      <c r="CM18" s="453"/>
      <c r="CN18" s="453"/>
      <c r="CO18" s="453"/>
      <c r="CP18" s="455"/>
      <c r="CQ18" s="455"/>
      <c r="CR18" s="455"/>
      <c r="CS18" s="455"/>
    </row>
    <row r="19" spans="2:104">
      <c r="B19" s="433" t="s">
        <v>91</v>
      </c>
      <c r="C19" s="444"/>
      <c r="D19" s="444"/>
      <c r="E19" s="444"/>
      <c r="F19" s="444"/>
      <c r="G19" s="444"/>
      <c r="H19" s="444"/>
      <c r="I19" s="444"/>
      <c r="N19" s="444"/>
      <c r="S19" s="444"/>
      <c r="T19" s="433">
        <f>'Data (2)'!T133</f>
        <v>72.900000000000006</v>
      </c>
      <c r="U19" s="433">
        <f>'Data (2)'!U133</f>
        <v>46.8</v>
      </c>
      <c r="V19" s="433">
        <f>'Data (2)'!V133</f>
        <v>47.7</v>
      </c>
      <c r="W19" s="433">
        <f>'Data (2)'!W133</f>
        <v>61.799999999999983</v>
      </c>
      <c r="X19" s="444">
        <f>SUM(T19:W19)</f>
        <v>229.2</v>
      </c>
      <c r="Y19" s="433">
        <f>'Data (2)'!Y133</f>
        <v>53.2</v>
      </c>
      <c r="Z19" s="433">
        <f>'Data (2)'!Z133</f>
        <v>58.8</v>
      </c>
      <c r="AA19" s="433">
        <f>'Data (2)'!AA133</f>
        <v>57.5</v>
      </c>
      <c r="AB19" s="433">
        <f>'Data (2)'!AB133</f>
        <v>62.199999999999989</v>
      </c>
      <c r="AC19" s="444">
        <f>SUM(Y19:AB19)</f>
        <v>231.7</v>
      </c>
      <c r="AD19" s="433">
        <f>'Data (2)'!AD133</f>
        <v>66.900000000000006</v>
      </c>
      <c r="AE19" s="433">
        <f>'Data (2)'!AE133</f>
        <v>67</v>
      </c>
      <c r="AF19" s="433">
        <f>'Data (2)'!AF133</f>
        <v>62.8</v>
      </c>
      <c r="AG19" s="433">
        <f>'Data (2)'!AG133</f>
        <v>53.300000000000011</v>
      </c>
      <c r="AH19" s="444">
        <f>SUM(AD19:AG19)</f>
        <v>250</v>
      </c>
      <c r="AI19" s="433">
        <f>'Data (2)'!AI133</f>
        <v>62.9</v>
      </c>
      <c r="AJ19" s="433">
        <f>'Data (2)'!AJ133</f>
        <v>63.5</v>
      </c>
      <c r="AK19" s="433">
        <f>'Data (2)'!AK133</f>
        <v>61.4</v>
      </c>
      <c r="AL19" s="433">
        <f>'Data (2)'!AL133</f>
        <v>64</v>
      </c>
      <c r="AM19" s="444">
        <f>SUM(AI19:AL19)</f>
        <v>251.8</v>
      </c>
      <c r="AN19" s="433">
        <f>'Data (2)'!AN133</f>
        <v>62.6</v>
      </c>
      <c r="AO19" s="433">
        <f>'Data (2)'!AO133</f>
        <v>66.5</v>
      </c>
      <c r="AP19" s="433">
        <f>'Data (2)'!AP133</f>
        <v>69.900000000000006</v>
      </c>
      <c r="AQ19" s="433">
        <f>'Data (2)'!AQ133</f>
        <v>70.699999999999989</v>
      </c>
      <c r="AR19" s="444">
        <f>SUM(AN19:AQ19)</f>
        <v>269.7</v>
      </c>
      <c r="AS19" s="433">
        <f>'Data (2)'!AS133</f>
        <v>75.599999999999994</v>
      </c>
      <c r="AT19" s="454">
        <f>'Data (2)'!AT133</f>
        <v>77.100000000000009</v>
      </c>
      <c r="AU19" s="454">
        <f>'Data (2)'!AU133</f>
        <v>89.7</v>
      </c>
      <c r="AV19" s="454">
        <f>'Data (2)'!AV133</f>
        <v>77.099999999999994</v>
      </c>
      <c r="AW19" s="444">
        <f>SUM(AS19:AV19)</f>
        <v>319.5</v>
      </c>
      <c r="AX19" s="454">
        <f>'Data (2)'!AX133</f>
        <v>84</v>
      </c>
      <c r="AY19" s="433">
        <f>'Data (2)'!AY133</f>
        <v>82.7</v>
      </c>
      <c r="AZ19" s="433">
        <f>'Data (2)'!AZ133</f>
        <v>92.6</v>
      </c>
      <c r="BA19" s="433">
        <f>'Data (2)'!BA133</f>
        <v>90</v>
      </c>
      <c r="BB19" s="444">
        <f>SUM(AX19:BA19)</f>
        <v>349.29999999999995</v>
      </c>
      <c r="BC19" s="433">
        <f>'Data (2)'!BC133</f>
        <v>92.3</v>
      </c>
      <c r="BD19" s="433">
        <f>'Data (2)'!BD133</f>
        <v>98.4</v>
      </c>
      <c r="BE19" s="433">
        <f>'Data (2)'!BE133</f>
        <v>99.8</v>
      </c>
      <c r="BF19" s="433">
        <f>'Data (2)'!BF133</f>
        <v>102.6</v>
      </c>
      <c r="BG19" s="444">
        <f>SUM(BC19:BF19)</f>
        <v>393.1</v>
      </c>
      <c r="BH19" s="433">
        <f>'Data (2)'!BH133</f>
        <v>105.5</v>
      </c>
      <c r="BI19" s="433">
        <f>'Data (2)'!BI133</f>
        <v>109</v>
      </c>
      <c r="BJ19" s="433">
        <f>'Data (2)'!BJ133</f>
        <v>109.4</v>
      </c>
      <c r="BK19" s="433">
        <f>'Data (2)'!BK133</f>
        <v>112.5</v>
      </c>
      <c r="BL19" s="444">
        <f>SUM(BH19:BK19)</f>
        <v>436.4</v>
      </c>
      <c r="BM19" s="433">
        <f>'Data (2)'!BM133</f>
        <v>104.5</v>
      </c>
      <c r="BN19" s="433">
        <f>'Data (2)'!BN133</f>
        <v>102.2</v>
      </c>
      <c r="BO19" s="433">
        <f>'Data (2)'!BO133</f>
        <v>101.4</v>
      </c>
      <c r="BP19" s="433">
        <f>'Data (2)'!BP133</f>
        <v>102.9</v>
      </c>
      <c r="BQ19" s="444">
        <f>SUM(BM19:BP19)</f>
        <v>411</v>
      </c>
      <c r="BR19" s="433">
        <f>'Data (2)'!BR133</f>
        <v>101.9</v>
      </c>
      <c r="BS19" s="433">
        <f>'Data (2)'!BS133</f>
        <v>97.3</v>
      </c>
      <c r="BT19" s="433">
        <f>'Data (2)'!BT133</f>
        <v>102.3</v>
      </c>
      <c r="BU19" s="433">
        <f>'Data (2)'!BU133</f>
        <v>92.9</v>
      </c>
      <c r="BV19" s="444">
        <f>SUM(BR19:BU19)</f>
        <v>394.4</v>
      </c>
      <c r="BW19" s="433">
        <f>'Data (2)'!BW133</f>
        <v>91.3</v>
      </c>
      <c r="BX19" s="433">
        <f>'Data (2)'!BX133</f>
        <v>94</v>
      </c>
      <c r="BY19" s="433">
        <f>'Data (2)'!BY133</f>
        <v>92.6</v>
      </c>
      <c r="BZ19" s="433">
        <f>'Data (2)'!BZ133</f>
        <v>98.7</v>
      </c>
      <c r="CA19" s="444">
        <f>SUM(BW19:BZ19)</f>
        <v>376.59999999999997</v>
      </c>
      <c r="CB19" s="433">
        <f>'Data (2)'!CB133</f>
        <v>95.5</v>
      </c>
      <c r="CC19" s="433">
        <f>'Data (2)'!CC133</f>
        <v>101.7</v>
      </c>
      <c r="CD19" s="433">
        <f>'Data (2)'!CD133</f>
        <v>107.7</v>
      </c>
      <c r="CE19" s="433">
        <f>'Data (2)'!CE133</f>
        <v>113.8</v>
      </c>
      <c r="CF19" s="444">
        <f>SUM(CB19:CE19)</f>
        <v>418.7</v>
      </c>
      <c r="CG19" s="433">
        <f>'Data (2)'!CG133</f>
        <v>122.3</v>
      </c>
      <c r="CH19" s="433">
        <f>'Data (2)'!CH133</f>
        <v>125</v>
      </c>
      <c r="CI19" s="433">
        <f>'Data (2)'!CI133</f>
        <v>124.5</v>
      </c>
      <c r="CJ19" s="433">
        <f>'Data (2)'!CJ133</f>
        <v>121.6</v>
      </c>
      <c r="CK19" s="444">
        <f>SUM(CG19:CJ19)</f>
        <v>493.4</v>
      </c>
      <c r="CL19" s="433">
        <f>'Data (2)'!CL133</f>
        <v>103</v>
      </c>
      <c r="CM19" s="453">
        <f>'End Market (2)'!CM8+CM30+CM35</f>
        <v>54.37162</v>
      </c>
      <c r="CN19" s="453">
        <f>'End Market (2)'!CN8+CN30+CN35</f>
        <v>64.423859999999991</v>
      </c>
      <c r="CO19" s="453">
        <f>'End Market (2)'!CO8+CO30+CO35</f>
        <v>79.405339999999995</v>
      </c>
      <c r="CP19" s="444">
        <f>SUM(CL19:CO19)</f>
        <v>301.20082000000002</v>
      </c>
      <c r="CQ19" s="455">
        <f>'End Market (2)'!CQ8+CQ30+CQ35</f>
        <v>336.00558339999992</v>
      </c>
      <c r="CR19" s="455">
        <f>'End Market (2)'!CR8+CR30+CR35</f>
        <v>369.32214964399998</v>
      </c>
      <c r="CS19" s="455">
        <f>'End Market (2)'!CS8+CS30+CS35</f>
        <v>412.44975272139993</v>
      </c>
    </row>
    <row r="20" spans="2:104" ht="12" customHeight="1" outlineLevel="1">
      <c r="B20" s="460"/>
      <c r="C20" s="444"/>
      <c r="D20" s="444"/>
      <c r="E20" s="444"/>
      <c r="F20" s="444"/>
      <c r="G20" s="444"/>
      <c r="H20" s="444"/>
      <c r="I20" s="444"/>
      <c r="N20" s="444"/>
      <c r="S20" s="444"/>
      <c r="X20" s="444"/>
      <c r="AC20" s="444"/>
      <c r="AH20" s="444"/>
      <c r="AM20" s="444"/>
      <c r="AO20" s="453"/>
      <c r="AR20" s="444"/>
      <c r="AS20" s="453"/>
      <c r="AT20" s="454"/>
      <c r="AU20" s="454"/>
      <c r="AV20" s="453"/>
      <c r="AW20" s="444"/>
      <c r="AX20" s="453"/>
      <c r="AY20" s="453"/>
      <c r="AZ20" s="453"/>
      <c r="BB20" s="444"/>
      <c r="BD20" s="453"/>
      <c r="BE20" s="453"/>
      <c r="BF20" s="453"/>
      <c r="BG20" s="444"/>
      <c r="BH20" s="453"/>
      <c r="BI20" s="453"/>
      <c r="BJ20" s="453"/>
      <c r="BK20" s="453"/>
      <c r="BL20" s="444"/>
      <c r="BM20" s="453"/>
      <c r="BN20" s="453"/>
      <c r="BO20" s="453"/>
      <c r="BP20" s="453"/>
      <c r="BQ20" s="455"/>
      <c r="BR20" s="453"/>
      <c r="BS20" s="453"/>
      <c r="BT20" s="453"/>
      <c r="BU20" s="453"/>
      <c r="BV20" s="455"/>
      <c r="BW20" s="453"/>
      <c r="BX20" s="453"/>
      <c r="BY20" s="453"/>
      <c r="BZ20" s="453"/>
      <c r="CA20" s="455"/>
      <c r="CB20" s="453"/>
      <c r="CC20" s="453"/>
      <c r="CD20" s="453"/>
      <c r="CE20" s="453"/>
      <c r="CF20" s="455"/>
      <c r="CG20" s="453"/>
      <c r="CH20" s="453"/>
      <c r="CI20" s="453"/>
      <c r="CJ20" s="453"/>
      <c r="CK20" s="455"/>
      <c r="CM20" s="453"/>
      <c r="CN20" s="453"/>
      <c r="CO20" s="453"/>
      <c r="CP20" s="455"/>
      <c r="CQ20" s="455"/>
      <c r="CR20" s="455"/>
      <c r="CS20" s="455"/>
    </row>
    <row r="21" spans="2:104" ht="12" customHeight="1" outlineLevel="1">
      <c r="B21" s="461" t="s">
        <v>181</v>
      </c>
      <c r="C21" s="444"/>
      <c r="D21" s="444"/>
      <c r="E21" s="444"/>
      <c r="F21" s="444"/>
      <c r="G21" s="444"/>
      <c r="H21" s="444"/>
      <c r="I21" s="444"/>
      <c r="N21" s="444"/>
      <c r="S21" s="444"/>
      <c r="X21" s="444"/>
      <c r="AC21" s="444"/>
      <c r="AH21" s="444"/>
      <c r="AM21" s="444"/>
      <c r="AO21" s="453"/>
      <c r="AR21" s="444"/>
      <c r="AS21" s="453"/>
      <c r="AT21" s="454"/>
      <c r="AU21" s="454"/>
      <c r="AV21" s="453"/>
      <c r="AW21" s="444"/>
      <c r="AX21" s="453"/>
      <c r="AY21" s="453"/>
      <c r="AZ21" s="453"/>
      <c r="BB21" s="444"/>
      <c r="BD21" s="453"/>
      <c r="BE21" s="453"/>
      <c r="BF21" s="453"/>
      <c r="BG21" s="444"/>
      <c r="BH21" s="453"/>
      <c r="BI21" s="453"/>
      <c r="BJ21" s="453"/>
      <c r="BK21" s="453"/>
      <c r="BL21" s="444"/>
      <c r="BM21" s="453"/>
      <c r="BN21" s="453"/>
      <c r="BO21" s="453"/>
      <c r="BP21" s="453"/>
      <c r="BQ21" s="455"/>
      <c r="BR21" s="453"/>
      <c r="BS21" s="453"/>
      <c r="BT21" s="453"/>
      <c r="BU21" s="453"/>
      <c r="BV21" s="455"/>
      <c r="BW21" s="453"/>
      <c r="BX21" s="453"/>
      <c r="BY21" s="453"/>
      <c r="BZ21" s="453"/>
      <c r="CA21" s="455"/>
      <c r="CB21" s="453"/>
      <c r="CC21" s="453"/>
      <c r="CD21" s="453"/>
      <c r="CE21" s="453"/>
      <c r="CF21" s="455"/>
      <c r="CG21" s="453"/>
      <c r="CH21" s="453"/>
      <c r="CI21" s="453"/>
      <c r="CJ21" s="453"/>
      <c r="CK21" s="455"/>
      <c r="CM21" s="453"/>
      <c r="CN21" s="453"/>
      <c r="CO21" s="453"/>
      <c r="CP21" s="455"/>
      <c r="CQ21" s="455"/>
      <c r="CR21" s="455"/>
      <c r="CS21" s="455"/>
    </row>
    <row r="22" spans="2:104" ht="12" customHeight="1" outlineLevel="1">
      <c r="B22" s="433" t="s">
        <v>102</v>
      </c>
      <c r="C22" s="444">
        <f>'Data (2)'!C134</f>
        <v>585.4</v>
      </c>
      <c r="D22" s="444">
        <f>'Data (2)'!D134</f>
        <v>653.48400000000004</v>
      </c>
      <c r="E22" s="444">
        <f>'Data (2)'!E134</f>
        <v>605.9</v>
      </c>
      <c r="F22" s="444">
        <f>'Data (2)'!F134</f>
        <v>567</v>
      </c>
      <c r="G22" s="444">
        <f>'Data (2)'!G134</f>
        <v>607.70000000000005</v>
      </c>
      <c r="H22" s="444">
        <f>'Data (2)'!H134</f>
        <v>532.4</v>
      </c>
      <c r="I22" s="444">
        <f>'Data (2)'!I134</f>
        <v>584.79999999999995</v>
      </c>
      <c r="J22" s="433">
        <f>'Data (2)'!J134</f>
        <v>171.1</v>
      </c>
      <c r="K22" s="433">
        <f>'Data (2)'!K134</f>
        <v>169.7</v>
      </c>
      <c r="L22" s="433">
        <f>'Data (2)'!L134</f>
        <v>161.19999999999999</v>
      </c>
      <c r="M22" s="433">
        <f>'Data (2)'!M134</f>
        <v>181.90000000000003</v>
      </c>
      <c r="N22" s="444">
        <f>SUM(J22:M22)</f>
        <v>683.9</v>
      </c>
      <c r="O22" s="433">
        <f>'Data (2)'!O134</f>
        <v>195.7</v>
      </c>
      <c r="P22" s="433">
        <f>'Data (2)'!P134</f>
        <v>213.5</v>
      </c>
      <c r="Q22" s="433">
        <f>'Data (2)'!Q134</f>
        <v>186.8</v>
      </c>
      <c r="R22" s="433">
        <f>'Data (2)'!R134</f>
        <v>191</v>
      </c>
      <c r="S22" s="444">
        <f>SUM(O22:R22)</f>
        <v>787</v>
      </c>
      <c r="T22" s="433">
        <f>'Data (2)'!T134</f>
        <v>214.6</v>
      </c>
      <c r="U22" s="433">
        <f>'Data (2)'!U134</f>
        <v>222.9</v>
      </c>
      <c r="V22" s="433">
        <f>'Data (2)'!V134</f>
        <v>201.4</v>
      </c>
      <c r="W22" s="433">
        <f>'Data (2)'!W134</f>
        <v>209.10000000000002</v>
      </c>
      <c r="X22" s="444">
        <f>SUM(T22:W22)</f>
        <v>848</v>
      </c>
      <c r="AC22" s="444"/>
      <c r="AH22" s="444"/>
      <c r="AM22" s="444"/>
      <c r="AO22" s="453"/>
      <c r="AR22" s="444"/>
      <c r="AS22" s="453"/>
      <c r="AT22" s="454"/>
      <c r="AU22" s="454"/>
      <c r="AV22" s="453"/>
      <c r="AW22" s="444"/>
      <c r="AX22" s="453"/>
      <c r="AY22" s="453"/>
      <c r="AZ22" s="453"/>
      <c r="BB22" s="444"/>
      <c r="BD22" s="453"/>
      <c r="BE22" s="453"/>
      <c r="BF22" s="453"/>
      <c r="BG22" s="444"/>
      <c r="BH22" s="453"/>
      <c r="BI22" s="453"/>
      <c r="BJ22" s="453"/>
      <c r="BK22" s="453"/>
      <c r="BL22" s="444"/>
      <c r="BM22" s="453"/>
      <c r="BN22" s="453"/>
      <c r="BO22" s="453"/>
      <c r="BP22" s="453"/>
      <c r="BQ22" s="455"/>
      <c r="BR22" s="453"/>
      <c r="BS22" s="453"/>
      <c r="BT22" s="453"/>
      <c r="BU22" s="453"/>
      <c r="BV22" s="455"/>
      <c r="BW22" s="453"/>
      <c r="BX22" s="453"/>
      <c r="BY22" s="453"/>
      <c r="BZ22" s="453"/>
      <c r="CA22" s="455"/>
      <c r="CB22" s="453"/>
      <c r="CC22" s="453"/>
      <c r="CD22" s="453"/>
      <c r="CE22" s="453"/>
      <c r="CF22" s="455"/>
      <c r="CG22" s="453"/>
      <c r="CH22" s="453"/>
      <c r="CI22" s="453"/>
      <c r="CJ22" s="453"/>
      <c r="CK22" s="455"/>
      <c r="CM22" s="453"/>
      <c r="CN22" s="453"/>
      <c r="CO22" s="453"/>
      <c r="CP22" s="455"/>
      <c r="CQ22" s="455"/>
      <c r="CR22" s="455"/>
      <c r="CS22" s="455"/>
    </row>
    <row r="23" spans="2:104" ht="12" customHeight="1" outlineLevel="1">
      <c r="B23" s="433" t="s">
        <v>103</v>
      </c>
      <c r="C23" s="444">
        <f>'Data (2)'!C135</f>
        <v>170.1</v>
      </c>
      <c r="D23" s="444">
        <f>'Data (2)'!D135</f>
        <v>224.815</v>
      </c>
      <c r="E23" s="444">
        <f>'Data (2)'!E135</f>
        <v>330.9</v>
      </c>
      <c r="F23" s="444">
        <f>'Data (2)'!F135</f>
        <v>359.2</v>
      </c>
      <c r="G23" s="444">
        <f>'Data (2)'!G135</f>
        <v>276.8</v>
      </c>
      <c r="H23" s="444">
        <f>'Data (2)'!H135</f>
        <v>217.9</v>
      </c>
      <c r="I23" s="444">
        <f>'Data (2)'!I135</f>
        <v>232.8</v>
      </c>
      <c r="J23" s="433">
        <f>'Data (2)'!J135</f>
        <v>74.099999999999994</v>
      </c>
      <c r="K23" s="433">
        <f>'Data (2)'!K135</f>
        <v>84.9</v>
      </c>
      <c r="L23" s="433">
        <f>'Data (2)'!L135</f>
        <v>84.4</v>
      </c>
      <c r="M23" s="433">
        <f>'Data (2)'!M135</f>
        <v>75.999999999999972</v>
      </c>
      <c r="N23" s="444">
        <f>SUM(J23:M23)</f>
        <v>319.39999999999998</v>
      </c>
      <c r="O23" s="433">
        <f>'Data (2)'!O135</f>
        <v>76.900000000000006</v>
      </c>
      <c r="P23" s="433">
        <f>'Data (2)'!P135</f>
        <v>77.2</v>
      </c>
      <c r="Q23" s="433">
        <f>'Data (2)'!Q135</f>
        <v>69.400000000000006</v>
      </c>
      <c r="R23" s="433">
        <f>'Data (2)'!R135</f>
        <v>67.69999999999996</v>
      </c>
      <c r="S23" s="444">
        <f>SUM(O23:R23)</f>
        <v>291.2</v>
      </c>
      <c r="T23" s="433">
        <f>'Data (2)'!T135</f>
        <v>68.599999999999994</v>
      </c>
      <c r="U23" s="433">
        <f>'Data (2)'!U135</f>
        <v>66.400000000000006</v>
      </c>
      <c r="V23" s="433">
        <f>'Data (2)'!V135</f>
        <v>59.1</v>
      </c>
      <c r="W23" s="433">
        <f>'Data (2)'!W135</f>
        <v>41.099999999999994</v>
      </c>
      <c r="X23" s="444">
        <f>SUM(T23:W23)</f>
        <v>235.2</v>
      </c>
      <c r="AC23" s="444"/>
      <c r="AH23" s="444"/>
      <c r="AM23" s="444"/>
      <c r="AO23" s="453"/>
      <c r="AR23" s="444"/>
      <c r="AS23" s="453"/>
      <c r="AT23" s="454"/>
      <c r="AU23" s="454"/>
      <c r="AV23" s="453"/>
      <c r="AW23" s="444"/>
      <c r="AX23" s="453"/>
      <c r="AY23" s="453"/>
      <c r="AZ23" s="453"/>
      <c r="BB23" s="444"/>
      <c r="BD23" s="453"/>
      <c r="BE23" s="453"/>
      <c r="BF23" s="453"/>
      <c r="BG23" s="444"/>
      <c r="BH23" s="453"/>
      <c r="BI23" s="453"/>
      <c r="BJ23" s="453"/>
      <c r="BK23" s="453"/>
      <c r="BL23" s="444"/>
      <c r="BM23" s="453"/>
      <c r="BN23" s="453"/>
      <c r="BO23" s="453"/>
      <c r="BP23" s="453"/>
      <c r="BQ23" s="455"/>
      <c r="BR23" s="453"/>
      <c r="BS23" s="453"/>
      <c r="BT23" s="453"/>
      <c r="BU23" s="453"/>
      <c r="BV23" s="455"/>
      <c r="BW23" s="453"/>
      <c r="BX23" s="453"/>
      <c r="BY23" s="453"/>
      <c r="BZ23" s="453"/>
      <c r="CA23" s="455"/>
      <c r="CB23" s="453"/>
      <c r="CC23" s="453"/>
      <c r="CD23" s="453"/>
      <c r="CE23" s="453"/>
      <c r="CF23" s="455"/>
      <c r="CG23" s="453"/>
      <c r="CH23" s="453"/>
      <c r="CI23" s="453"/>
      <c r="CJ23" s="453"/>
      <c r="CK23" s="455"/>
      <c r="CM23" s="453"/>
      <c r="CN23" s="453"/>
      <c r="CO23" s="453"/>
      <c r="CP23" s="455"/>
      <c r="CQ23" s="455"/>
      <c r="CR23" s="455"/>
      <c r="CS23" s="455"/>
    </row>
    <row r="24" spans="2:104" ht="12" customHeight="1" outlineLevel="1">
      <c r="B24" s="433" t="s">
        <v>104</v>
      </c>
      <c r="C24" s="444">
        <f>'Data (2)'!C136</f>
        <v>181.4</v>
      </c>
      <c r="D24" s="444">
        <f>'Data (2)'!D136</f>
        <v>210.745</v>
      </c>
      <c r="E24" s="444">
        <f>'Data (2)'!E136</f>
        <v>214.7</v>
      </c>
      <c r="F24" s="444">
        <f>'Data (2)'!F136</f>
        <v>129.5</v>
      </c>
      <c r="G24" s="444">
        <f>'Data (2)'!G136</f>
        <v>124.9</v>
      </c>
      <c r="H24" s="444">
        <f>'Data (2)'!H136</f>
        <v>100.5</v>
      </c>
      <c r="I24" s="444">
        <f>'Data (2)'!I136</f>
        <v>79.3</v>
      </c>
      <c r="J24" s="433">
        <f>'Data (2)'!J136</f>
        <v>17.600000000000001</v>
      </c>
      <c r="K24" s="433">
        <f>'Data (2)'!K136</f>
        <v>17.600000000000001</v>
      </c>
      <c r="L24" s="433">
        <f>'Data (2)'!L136</f>
        <v>17.5</v>
      </c>
      <c r="M24" s="433">
        <f>'Data (2)'!M136</f>
        <v>18.5</v>
      </c>
      <c r="N24" s="444">
        <f>SUM(J24:M24)</f>
        <v>71.2</v>
      </c>
      <c r="O24" s="433">
        <f>'Data (2)'!O136</f>
        <v>18</v>
      </c>
      <c r="P24" s="433">
        <f>'Data (2)'!P136</f>
        <v>20.6</v>
      </c>
      <c r="Q24" s="433">
        <f>'Data (2)'!Q136</f>
        <v>20.399999999999999</v>
      </c>
      <c r="R24" s="433">
        <f>'Data (2)'!R136</f>
        <v>24.200000000000003</v>
      </c>
      <c r="S24" s="444">
        <f>SUM(O24:R24)</f>
        <v>83.2</v>
      </c>
      <c r="T24" s="433">
        <f>'Data (2)'!T136</f>
        <v>23.8</v>
      </c>
      <c r="U24" s="433">
        <f>'Data (2)'!U136</f>
        <v>26.7</v>
      </c>
      <c r="V24" s="433">
        <f>'Data (2)'!V136</f>
        <v>28.6</v>
      </c>
      <c r="W24" s="433">
        <f>'Data (2)'!W136</f>
        <v>30.800000000000011</v>
      </c>
      <c r="X24" s="444">
        <f>SUM(T24:W24)</f>
        <v>109.9</v>
      </c>
      <c r="AC24" s="444"/>
      <c r="AH24" s="444"/>
      <c r="AM24" s="444"/>
      <c r="AO24" s="453"/>
      <c r="AR24" s="444"/>
      <c r="AS24" s="453"/>
      <c r="AT24" s="454"/>
      <c r="AU24" s="454"/>
      <c r="AV24" s="453"/>
      <c r="AW24" s="444"/>
      <c r="AX24" s="453"/>
      <c r="AY24" s="453"/>
      <c r="AZ24" s="453"/>
      <c r="BB24" s="444"/>
      <c r="BD24" s="453"/>
      <c r="BE24" s="453"/>
      <c r="BF24" s="453"/>
      <c r="BG24" s="444"/>
      <c r="BH24" s="453"/>
      <c r="BI24" s="453"/>
      <c r="BJ24" s="453"/>
      <c r="BK24" s="453"/>
      <c r="BL24" s="444"/>
      <c r="BM24" s="453"/>
      <c r="BN24" s="453"/>
      <c r="BO24" s="453"/>
      <c r="BP24" s="453"/>
      <c r="BQ24" s="455"/>
      <c r="BR24" s="453"/>
      <c r="BS24" s="453"/>
      <c r="BT24" s="453"/>
      <c r="BU24" s="453"/>
      <c r="BV24" s="455"/>
      <c r="BW24" s="453"/>
      <c r="BX24" s="453"/>
      <c r="BY24" s="453"/>
      <c r="BZ24" s="453"/>
      <c r="CA24" s="455"/>
      <c r="CB24" s="453"/>
      <c r="CC24" s="453"/>
      <c r="CD24" s="453"/>
      <c r="CE24" s="453"/>
      <c r="CF24" s="455"/>
      <c r="CG24" s="453"/>
      <c r="CH24" s="453"/>
      <c r="CI24" s="453"/>
      <c r="CJ24" s="453"/>
      <c r="CK24" s="455"/>
      <c r="CM24" s="453"/>
      <c r="CN24" s="453"/>
      <c r="CO24" s="453"/>
      <c r="CP24" s="455"/>
      <c r="CQ24" s="455"/>
      <c r="CR24" s="455"/>
      <c r="CS24" s="455"/>
    </row>
    <row r="25" spans="2:104">
      <c r="B25" s="433" t="s">
        <v>92</v>
      </c>
      <c r="C25" s="444"/>
      <c r="D25" s="444"/>
      <c r="E25" s="444"/>
      <c r="F25" s="444"/>
      <c r="G25" s="444"/>
      <c r="H25" s="444"/>
      <c r="I25" s="444"/>
      <c r="N25" s="444"/>
      <c r="S25" s="444"/>
      <c r="T25" s="433">
        <f>'Data (2)'!T137</f>
        <v>0</v>
      </c>
      <c r="U25" s="433">
        <f>'Data (2)'!U137</f>
        <v>0</v>
      </c>
      <c r="V25" s="433">
        <f>'Data (2)'!V137</f>
        <v>0</v>
      </c>
      <c r="W25" s="433">
        <f>'Data (2)'!W137</f>
        <v>0</v>
      </c>
      <c r="X25" s="444">
        <f>SUM(T25:W25)</f>
        <v>0</v>
      </c>
      <c r="Y25" s="433">
        <f>'Data (2)'!Y137</f>
        <v>-10.6</v>
      </c>
      <c r="Z25" s="433">
        <f>'Data (2)'!Z137</f>
        <v>-9.3000000000000007</v>
      </c>
      <c r="AA25" s="433">
        <f>'Data (2)'!AA137</f>
        <v>-8</v>
      </c>
      <c r="AB25" s="433">
        <f>'Data (2)'!AB137</f>
        <v>-8.6000000000000014</v>
      </c>
      <c r="AC25" s="444">
        <f>SUM(Y25:AB25)</f>
        <v>-36.5</v>
      </c>
      <c r="AD25" s="433">
        <f>'Data (2)'!AD137</f>
        <v>-11.3</v>
      </c>
      <c r="AE25" s="433">
        <f>'Data (2)'!AE137</f>
        <v>-10.8</v>
      </c>
      <c r="AF25" s="433">
        <f>'Data (2)'!AF137</f>
        <v>-9.1999999999999993</v>
      </c>
      <c r="AG25" s="433">
        <f>'Data (2)'!AG137</f>
        <v>-9.1999999999999993</v>
      </c>
      <c r="AH25" s="444">
        <f>SUM(AD25:AG25)</f>
        <v>-40.5</v>
      </c>
      <c r="AI25" s="433">
        <f>'Data (2)'!AI137</f>
        <v>-9.1</v>
      </c>
      <c r="AJ25" s="433">
        <f>'Data (2)'!AJ137</f>
        <v>-6.4</v>
      </c>
      <c r="AK25" s="433">
        <f>'Data (2)'!AK137</f>
        <v>-6.3</v>
      </c>
      <c r="AL25" s="433">
        <f>'Data (2)'!AL137</f>
        <v>-5.5</v>
      </c>
      <c r="AM25" s="444">
        <f>SUM(AI25:AL25)</f>
        <v>-27.3</v>
      </c>
      <c r="AN25" s="433">
        <f>'Data (2)'!AN137</f>
        <v>-8.9</v>
      </c>
      <c r="AO25" s="433">
        <f>'Data (2)'!AO137</f>
        <v>-11.8</v>
      </c>
      <c r="AP25" s="433">
        <f>'Data (2)'!AP137</f>
        <v>-9.8000000000000007</v>
      </c>
      <c r="AQ25" s="433">
        <f>'Data (2)'!AQ137</f>
        <v>-8.7999999999999936</v>
      </c>
      <c r="AR25" s="444">
        <f>SUM(AN25:AQ25)</f>
        <v>-39.299999999999997</v>
      </c>
      <c r="AS25" s="433">
        <f>'Data (2)'!AS137</f>
        <v>-14.2</v>
      </c>
      <c r="AT25" s="454">
        <f>'Data (2)'!AT137</f>
        <v>-14.1</v>
      </c>
      <c r="AU25" s="454">
        <f>'Data (2)'!AU137</f>
        <v>-14.9</v>
      </c>
      <c r="AV25" s="454">
        <f>'Data (2)'!AV137</f>
        <v>-12.2</v>
      </c>
      <c r="AW25" s="444">
        <f>SUM(AS25:AV25)</f>
        <v>-55.399999999999991</v>
      </c>
      <c r="AX25" s="454">
        <f>'Data (2)'!AX137</f>
        <v>-16</v>
      </c>
      <c r="AY25" s="433">
        <f>'Data (2)'!AY137</f>
        <v>-15.1</v>
      </c>
      <c r="AZ25" s="433">
        <f>'Data (2)'!AZ137</f>
        <v>-14.9</v>
      </c>
      <c r="BA25" s="433">
        <f>'Data (2)'!BA137</f>
        <v>-12.8</v>
      </c>
      <c r="BB25" s="444">
        <f>SUM(AX25:BA25)</f>
        <v>-58.8</v>
      </c>
      <c r="BC25" s="433">
        <f>'Data (2)'!BC137</f>
        <v>-17.3</v>
      </c>
      <c r="BD25" s="433">
        <f>'Data (2)'!BD137</f>
        <v>-18.5</v>
      </c>
      <c r="BE25" s="433">
        <f>'Data (2)'!BE137</f>
        <v>-17.2</v>
      </c>
      <c r="BF25" s="433">
        <f>'Data (2)'!BF137</f>
        <v>-16.8</v>
      </c>
      <c r="BG25" s="444">
        <f>SUM(BC25:BF25)</f>
        <v>-69.8</v>
      </c>
      <c r="BH25" s="433">
        <f>'Data (2)'!BH137</f>
        <v>-18.600000000000001</v>
      </c>
      <c r="BI25" s="433">
        <f>'Data (2)'!BI137</f>
        <v>-18.7</v>
      </c>
      <c r="BJ25" s="433">
        <f>'Data (2)'!BJ137</f>
        <v>-16.8</v>
      </c>
      <c r="BK25" s="433">
        <f>'Data (2)'!BK137</f>
        <v>-14.4</v>
      </c>
      <c r="BL25" s="444">
        <f>SUM(BH25:BK25)</f>
        <v>-68.5</v>
      </c>
      <c r="BM25" s="433">
        <f>'Data (2)'!BM137</f>
        <v>-20.5</v>
      </c>
      <c r="BN25" s="433">
        <f>'Data (2)'!BN137</f>
        <v>-19.899999999999999</v>
      </c>
      <c r="BO25" s="433">
        <f>'Data (2)'!BO137</f>
        <v>-15.9</v>
      </c>
      <c r="BP25" s="433">
        <f>'Data (2)'!BP137</f>
        <v>-22.6</v>
      </c>
      <c r="BQ25" s="444">
        <f>SUM(BM25:BP25)</f>
        <v>-78.900000000000006</v>
      </c>
      <c r="BR25" s="433">
        <f>'Data (2)'!BR137</f>
        <v>-18.100000000000001</v>
      </c>
      <c r="BS25" s="433">
        <f>'Data (2)'!BS137</f>
        <v>-18.899999999999999</v>
      </c>
      <c r="BT25" s="433">
        <f>'Data (2)'!BT137</f>
        <v>-16.2</v>
      </c>
      <c r="BU25" s="433">
        <f>'Data (2)'!BU137</f>
        <v>-14.5</v>
      </c>
      <c r="BV25" s="444">
        <f>SUM(BR25:BU25)</f>
        <v>-67.7</v>
      </c>
      <c r="BW25" s="433">
        <f>'Data (2)'!BW137</f>
        <v>-17.100000000000001</v>
      </c>
      <c r="BX25" s="433">
        <f>'Data (2)'!BX137</f>
        <v>-15.1</v>
      </c>
      <c r="BY25" s="433">
        <f>'Data (2)'!BY137</f>
        <v>-16.399999999999999</v>
      </c>
      <c r="BZ25" s="433">
        <f>'Data (2)'!BZ137</f>
        <v>-15.4</v>
      </c>
      <c r="CA25" s="444">
        <f>SUM(BW25:BZ25)</f>
        <v>-64</v>
      </c>
      <c r="CB25" s="433">
        <f>'Data (2)'!CB137</f>
        <v>-19.2</v>
      </c>
      <c r="CC25" s="433">
        <f>'Data (2)'!CC137</f>
        <v>-20.3</v>
      </c>
      <c r="CD25" s="433">
        <f>'Data (2)'!CD137</f>
        <v>-17.2</v>
      </c>
      <c r="CE25" s="433">
        <f>'Data (2)'!CE137</f>
        <v>-18</v>
      </c>
      <c r="CF25" s="444">
        <f>SUM(CB25:CE25)</f>
        <v>-74.7</v>
      </c>
      <c r="CG25" s="433">
        <f>'Data (2)'!CG137</f>
        <v>-19.3</v>
      </c>
      <c r="CH25" s="433">
        <f>'Data (2)'!CH137</f>
        <v>-21.5</v>
      </c>
      <c r="CI25" s="433">
        <f>'Data (2)'!CI137</f>
        <v>-23.3</v>
      </c>
      <c r="CJ25" s="433">
        <f>'Data (2)'!CJ137</f>
        <v>-20.100000000000001</v>
      </c>
      <c r="CK25" s="444">
        <f>SUM(CG25:CJ25)</f>
        <v>-84.199999999999989</v>
      </c>
      <c r="CL25" s="434">
        <f>'Data (2)'!CL137</f>
        <v>-25.3</v>
      </c>
      <c r="CM25" s="462">
        <f>'End Market (2)'!CM9</f>
        <v>-20</v>
      </c>
      <c r="CN25" s="462">
        <f>'End Market (2)'!CN9</f>
        <v>-19</v>
      </c>
      <c r="CO25" s="462">
        <f>'End Market (2)'!CO9</f>
        <v>-22</v>
      </c>
      <c r="CP25" s="444">
        <f>SUM(CL25:CO25)</f>
        <v>-86.3</v>
      </c>
      <c r="CQ25" s="455">
        <f>'End Market (2)'!CQ9</f>
        <v>-81</v>
      </c>
      <c r="CR25" s="455">
        <f>'End Market (2)'!CR9</f>
        <v>-82</v>
      </c>
      <c r="CS25" s="455">
        <f>'End Market (2)'!CS9</f>
        <v>-83</v>
      </c>
    </row>
    <row r="26" spans="2:104">
      <c r="B26" s="463" t="s">
        <v>93</v>
      </c>
      <c r="C26" s="464">
        <f t="shared" ref="C26:X26" si="0">SUM(C22:C25)</f>
        <v>936.9</v>
      </c>
      <c r="D26" s="464">
        <f t="shared" si="0"/>
        <v>1089.0439999999999</v>
      </c>
      <c r="E26" s="464">
        <f t="shared" si="0"/>
        <v>1151.5</v>
      </c>
      <c r="F26" s="464">
        <f t="shared" si="0"/>
        <v>1055.7</v>
      </c>
      <c r="G26" s="464">
        <f t="shared" si="0"/>
        <v>1009.4</v>
      </c>
      <c r="H26" s="464">
        <f t="shared" si="0"/>
        <v>850.8</v>
      </c>
      <c r="I26" s="464">
        <f t="shared" si="0"/>
        <v>896.89999999999986</v>
      </c>
      <c r="J26" s="463">
        <f t="shared" si="0"/>
        <v>262.8</v>
      </c>
      <c r="K26" s="463">
        <f t="shared" si="0"/>
        <v>272.2</v>
      </c>
      <c r="L26" s="463">
        <f t="shared" si="0"/>
        <v>263.10000000000002</v>
      </c>
      <c r="M26" s="463">
        <f t="shared" si="0"/>
        <v>276.39999999999998</v>
      </c>
      <c r="N26" s="464">
        <f t="shared" si="0"/>
        <v>1074.5</v>
      </c>
      <c r="O26" s="463">
        <f t="shared" si="0"/>
        <v>290.60000000000002</v>
      </c>
      <c r="P26" s="463">
        <f t="shared" si="0"/>
        <v>311.3</v>
      </c>
      <c r="Q26" s="463">
        <f t="shared" si="0"/>
        <v>276.60000000000002</v>
      </c>
      <c r="R26" s="463">
        <f t="shared" si="0"/>
        <v>282.89999999999992</v>
      </c>
      <c r="S26" s="464">
        <f t="shared" si="0"/>
        <v>1161.4000000000001</v>
      </c>
      <c r="T26" s="463">
        <f t="shared" si="0"/>
        <v>307</v>
      </c>
      <c r="U26" s="463">
        <f t="shared" si="0"/>
        <v>316</v>
      </c>
      <c r="V26" s="463">
        <f t="shared" si="0"/>
        <v>289.10000000000002</v>
      </c>
      <c r="W26" s="463">
        <f t="shared" si="0"/>
        <v>281</v>
      </c>
      <c r="X26" s="464">
        <f t="shared" si="0"/>
        <v>1193.1000000000001</v>
      </c>
      <c r="Y26" s="463">
        <f t="shared" ref="Y26:BD26" si="1">SUM(Y13,Y19)+Y25</f>
        <v>282.59999999999997</v>
      </c>
      <c r="Z26" s="463">
        <f t="shared" si="1"/>
        <v>289.8</v>
      </c>
      <c r="AA26" s="463">
        <f t="shared" si="1"/>
        <v>281.10000000000002</v>
      </c>
      <c r="AB26" s="463">
        <f t="shared" si="1"/>
        <v>317.59999999999997</v>
      </c>
      <c r="AC26" s="464">
        <f t="shared" si="1"/>
        <v>1171.0999999999999</v>
      </c>
      <c r="AD26" s="463">
        <f t="shared" si="1"/>
        <v>344.49999999999994</v>
      </c>
      <c r="AE26" s="463">
        <f t="shared" si="1"/>
        <v>359.5</v>
      </c>
      <c r="AF26" s="463">
        <f t="shared" si="1"/>
        <v>331.40000000000003</v>
      </c>
      <c r="AG26" s="463">
        <f t="shared" si="1"/>
        <v>289.50000000000011</v>
      </c>
      <c r="AH26" s="464">
        <f t="shared" si="1"/>
        <v>1324.9</v>
      </c>
      <c r="AI26" s="463">
        <f t="shared" si="1"/>
        <v>307.29999999999995</v>
      </c>
      <c r="AJ26" s="463">
        <f t="shared" si="1"/>
        <v>277.3</v>
      </c>
      <c r="AK26" s="463">
        <f t="shared" si="1"/>
        <v>257.09999999999997</v>
      </c>
      <c r="AL26" s="463">
        <f t="shared" si="1"/>
        <v>266.60000000000002</v>
      </c>
      <c r="AM26" s="464">
        <f t="shared" si="1"/>
        <v>1108.3000000000002</v>
      </c>
      <c r="AN26" s="463">
        <f t="shared" si="1"/>
        <v>263.00000000000006</v>
      </c>
      <c r="AO26" s="463">
        <f t="shared" si="1"/>
        <v>305.09999999999997</v>
      </c>
      <c r="AP26" s="463">
        <f t="shared" si="1"/>
        <v>294.5</v>
      </c>
      <c r="AQ26" s="463">
        <f t="shared" si="1"/>
        <v>311</v>
      </c>
      <c r="AR26" s="464">
        <f t="shared" si="1"/>
        <v>1173.6000000000001</v>
      </c>
      <c r="AS26" s="463">
        <f t="shared" si="1"/>
        <v>331.59999999999997</v>
      </c>
      <c r="AT26" s="463">
        <f t="shared" si="1"/>
        <v>353.7</v>
      </c>
      <c r="AU26" s="463">
        <f t="shared" si="1"/>
        <v>351.8</v>
      </c>
      <c r="AV26" s="463">
        <f t="shared" si="1"/>
        <v>355.3</v>
      </c>
      <c r="AW26" s="464">
        <f t="shared" si="1"/>
        <v>1392.3999999999999</v>
      </c>
      <c r="AX26" s="463">
        <f t="shared" si="1"/>
        <v>400.1</v>
      </c>
      <c r="AY26" s="463">
        <f t="shared" si="1"/>
        <v>399.2</v>
      </c>
      <c r="AZ26" s="463">
        <f t="shared" si="1"/>
        <v>391.6</v>
      </c>
      <c r="BA26" s="463">
        <f t="shared" si="1"/>
        <v>387.3</v>
      </c>
      <c r="BB26" s="464">
        <f t="shared" si="1"/>
        <v>1578.2</v>
      </c>
      <c r="BC26" s="463">
        <f t="shared" si="1"/>
        <v>416.5</v>
      </c>
      <c r="BD26" s="463">
        <f t="shared" si="1"/>
        <v>422.6</v>
      </c>
      <c r="BE26" s="463">
        <f t="shared" ref="BE26:CJ26" si="2">SUM(BE13,BE19)+BE25</f>
        <v>412.3</v>
      </c>
      <c r="BF26" s="463">
        <f t="shared" si="2"/>
        <v>426.8</v>
      </c>
      <c r="BG26" s="464">
        <f t="shared" si="2"/>
        <v>1678.2</v>
      </c>
      <c r="BH26" s="463">
        <f t="shared" si="2"/>
        <v>461.7</v>
      </c>
      <c r="BI26" s="463">
        <f t="shared" si="2"/>
        <v>470.1</v>
      </c>
      <c r="BJ26" s="463">
        <f t="shared" si="2"/>
        <v>451.90000000000003</v>
      </c>
      <c r="BK26" s="463">
        <f t="shared" si="2"/>
        <v>471.8</v>
      </c>
      <c r="BL26" s="464">
        <f t="shared" si="2"/>
        <v>1855.5</v>
      </c>
      <c r="BM26" s="463">
        <f t="shared" si="2"/>
        <v>471.79999999999995</v>
      </c>
      <c r="BN26" s="463">
        <f t="shared" si="2"/>
        <v>475.7</v>
      </c>
      <c r="BO26" s="463">
        <f t="shared" si="2"/>
        <v>448.79999999999995</v>
      </c>
      <c r="BP26" s="463">
        <f t="shared" si="2"/>
        <v>464.9</v>
      </c>
      <c r="BQ26" s="464">
        <f t="shared" si="2"/>
        <v>1861.1999999999998</v>
      </c>
      <c r="BR26" s="463">
        <f t="shared" si="2"/>
        <v>497.69999999999993</v>
      </c>
      <c r="BS26" s="463">
        <f t="shared" si="2"/>
        <v>522.6</v>
      </c>
      <c r="BT26" s="463">
        <f t="shared" si="2"/>
        <v>500.49999999999994</v>
      </c>
      <c r="BU26" s="463">
        <f t="shared" si="2"/>
        <v>483.5</v>
      </c>
      <c r="BV26" s="464">
        <f t="shared" si="2"/>
        <v>2004.3</v>
      </c>
      <c r="BW26" s="463">
        <f t="shared" si="2"/>
        <v>478.8</v>
      </c>
      <c r="BX26" s="463">
        <f t="shared" si="2"/>
        <v>491.29999999999995</v>
      </c>
      <c r="BY26" s="463">
        <f t="shared" si="2"/>
        <v>491.5</v>
      </c>
      <c r="BZ26" s="463">
        <f t="shared" si="2"/>
        <v>511.70000000000005</v>
      </c>
      <c r="CA26" s="464">
        <f t="shared" si="2"/>
        <v>1973.2999999999997</v>
      </c>
      <c r="CB26" s="463">
        <f t="shared" si="2"/>
        <v>540.09999999999991</v>
      </c>
      <c r="CC26" s="463">
        <f t="shared" si="2"/>
        <v>547.50000000000011</v>
      </c>
      <c r="CD26" s="463">
        <f t="shared" si="2"/>
        <v>540.5</v>
      </c>
      <c r="CE26" s="463">
        <f t="shared" si="2"/>
        <v>561</v>
      </c>
      <c r="CF26" s="464">
        <f t="shared" si="2"/>
        <v>2189.1000000000004</v>
      </c>
      <c r="CG26" s="463">
        <f t="shared" si="2"/>
        <v>609.9</v>
      </c>
      <c r="CH26" s="463">
        <f t="shared" si="2"/>
        <v>609</v>
      </c>
      <c r="CI26" s="463">
        <f t="shared" si="2"/>
        <v>572.5</v>
      </c>
      <c r="CJ26" s="463">
        <f t="shared" si="2"/>
        <v>564.29999999999995</v>
      </c>
      <c r="CK26" s="464">
        <f t="shared" ref="CK26:CS26" si="3">SUM(CK13,CK19)+CK25</f>
        <v>2355.7000000000003</v>
      </c>
      <c r="CL26" s="463">
        <f t="shared" si="3"/>
        <v>541</v>
      </c>
      <c r="CM26" s="463">
        <f t="shared" si="3"/>
        <v>301.06600000000003</v>
      </c>
      <c r="CN26" s="463">
        <f t="shared" si="3"/>
        <v>351.483</v>
      </c>
      <c r="CO26" s="463">
        <f t="shared" si="3"/>
        <v>415.83699999999999</v>
      </c>
      <c r="CP26" s="464">
        <f t="shared" si="3"/>
        <v>1609.3860000000002</v>
      </c>
      <c r="CQ26" s="464">
        <f t="shared" si="3"/>
        <v>1760.6035199999999</v>
      </c>
      <c r="CR26" s="464">
        <f t="shared" si="3"/>
        <v>1921.5564921999999</v>
      </c>
      <c r="CS26" s="464">
        <f t="shared" si="3"/>
        <v>2125.01199873</v>
      </c>
      <c r="CT26" s="465"/>
      <c r="CU26" s="466"/>
    </row>
    <row r="27" spans="2:104" ht="12" customHeight="1" outlineLevel="1">
      <c r="B27" s="460"/>
      <c r="C27" s="444"/>
      <c r="D27" s="444"/>
      <c r="E27" s="444"/>
      <c r="F27" s="444"/>
      <c r="G27" s="444"/>
      <c r="H27" s="444"/>
      <c r="I27" s="444"/>
      <c r="N27" s="444"/>
      <c r="S27" s="444"/>
      <c r="X27" s="444"/>
      <c r="AC27" s="444"/>
      <c r="AH27" s="444"/>
      <c r="AM27" s="444"/>
      <c r="AR27" s="444"/>
      <c r="AW27" s="444"/>
      <c r="BB27" s="444"/>
      <c r="BG27" s="444"/>
      <c r="BL27" s="444"/>
      <c r="BQ27" s="444"/>
      <c r="BV27" s="444"/>
      <c r="CA27" s="444"/>
      <c r="CF27" s="444"/>
      <c r="CK27" s="444"/>
      <c r="CP27" s="444"/>
      <c r="CQ27" s="444"/>
      <c r="CR27" s="444"/>
      <c r="CS27" s="444"/>
    </row>
    <row r="28" spans="2:104" outlineLevel="1">
      <c r="B28" s="446" t="s">
        <v>115</v>
      </c>
      <c r="C28" s="444"/>
      <c r="D28" s="444"/>
      <c r="E28" s="444"/>
      <c r="F28" s="444"/>
      <c r="G28" s="444"/>
      <c r="H28" s="444"/>
      <c r="I28" s="444"/>
      <c r="N28" s="444"/>
      <c r="S28" s="444"/>
      <c r="X28" s="444"/>
      <c r="AC28" s="444"/>
      <c r="AH28" s="444"/>
      <c r="AM28" s="444"/>
      <c r="AR28" s="444"/>
      <c r="AW28" s="444"/>
      <c r="BB28" s="444"/>
      <c r="BG28" s="444"/>
      <c r="BL28" s="444"/>
      <c r="BQ28" s="444"/>
      <c r="BV28" s="444"/>
      <c r="CA28" s="444"/>
      <c r="CF28" s="444"/>
      <c r="CK28" s="444"/>
      <c r="CP28" s="444"/>
      <c r="CQ28" s="444"/>
      <c r="CR28" s="444"/>
      <c r="CS28" s="444"/>
    </row>
    <row r="29" spans="2:104" outlineLevel="1">
      <c r="B29" s="433" t="s">
        <v>90</v>
      </c>
      <c r="C29" s="444">
        <f t="shared" ref="C29:AH29" si="4">C8</f>
        <v>0</v>
      </c>
      <c r="D29" s="444">
        <f t="shared" si="4"/>
        <v>0</v>
      </c>
      <c r="E29" s="444">
        <f t="shared" si="4"/>
        <v>0</v>
      </c>
      <c r="F29" s="444">
        <f t="shared" si="4"/>
        <v>0</v>
      </c>
      <c r="G29" s="444">
        <f t="shared" si="4"/>
        <v>0</v>
      </c>
      <c r="H29" s="444">
        <f t="shared" si="4"/>
        <v>0</v>
      </c>
      <c r="I29" s="444">
        <f t="shared" si="4"/>
        <v>0</v>
      </c>
      <c r="J29" s="433">
        <f t="shared" si="4"/>
        <v>0</v>
      </c>
      <c r="K29" s="433">
        <f t="shared" si="4"/>
        <v>0</v>
      </c>
      <c r="L29" s="433">
        <f t="shared" si="4"/>
        <v>0</v>
      </c>
      <c r="M29" s="433">
        <f t="shared" si="4"/>
        <v>0</v>
      </c>
      <c r="N29" s="444">
        <f t="shared" si="4"/>
        <v>0</v>
      </c>
      <c r="O29" s="433">
        <f t="shared" si="4"/>
        <v>0</v>
      </c>
      <c r="P29" s="433">
        <f t="shared" si="4"/>
        <v>0</v>
      </c>
      <c r="Q29" s="433">
        <f t="shared" si="4"/>
        <v>0</v>
      </c>
      <c r="R29" s="433">
        <f t="shared" si="4"/>
        <v>0</v>
      </c>
      <c r="S29" s="444">
        <f t="shared" si="4"/>
        <v>0</v>
      </c>
      <c r="T29" s="433">
        <f t="shared" si="4"/>
        <v>0</v>
      </c>
      <c r="U29" s="433">
        <f t="shared" si="4"/>
        <v>0</v>
      </c>
      <c r="V29" s="433">
        <f t="shared" si="4"/>
        <v>0</v>
      </c>
      <c r="W29" s="433">
        <f t="shared" si="4"/>
        <v>0</v>
      </c>
      <c r="X29" s="444">
        <f t="shared" si="4"/>
        <v>0</v>
      </c>
      <c r="Y29" s="433">
        <f t="shared" si="4"/>
        <v>0</v>
      </c>
      <c r="Z29" s="433">
        <f t="shared" si="4"/>
        <v>0</v>
      </c>
      <c r="AA29" s="433">
        <f t="shared" si="4"/>
        <v>0</v>
      </c>
      <c r="AB29" s="433">
        <f t="shared" si="4"/>
        <v>0</v>
      </c>
      <c r="AC29" s="444">
        <f t="shared" si="4"/>
        <v>0</v>
      </c>
      <c r="AD29" s="433">
        <f t="shared" si="4"/>
        <v>0</v>
      </c>
      <c r="AE29" s="433">
        <f t="shared" si="4"/>
        <v>0</v>
      </c>
      <c r="AF29" s="433">
        <f t="shared" si="4"/>
        <v>0</v>
      </c>
      <c r="AG29" s="433">
        <f t="shared" si="4"/>
        <v>0</v>
      </c>
      <c r="AH29" s="444">
        <f t="shared" si="4"/>
        <v>0</v>
      </c>
      <c r="AI29" s="433">
        <f t="shared" ref="AI29:BQ29" si="5">AI8</f>
        <v>0</v>
      </c>
      <c r="AJ29" s="433">
        <f t="shared" si="5"/>
        <v>0</v>
      </c>
      <c r="AK29" s="433">
        <f t="shared" si="5"/>
        <v>0</v>
      </c>
      <c r="AL29" s="433">
        <f t="shared" si="5"/>
        <v>0</v>
      </c>
      <c r="AM29" s="444">
        <f t="shared" si="5"/>
        <v>0</v>
      </c>
      <c r="AN29" s="433">
        <f t="shared" si="5"/>
        <v>0</v>
      </c>
      <c r="AO29" s="433">
        <f t="shared" si="5"/>
        <v>0</v>
      </c>
      <c r="AP29" s="433">
        <f t="shared" si="5"/>
        <v>0</v>
      </c>
      <c r="AQ29" s="433">
        <f t="shared" si="5"/>
        <v>0</v>
      </c>
      <c r="AR29" s="444">
        <f t="shared" si="5"/>
        <v>0</v>
      </c>
      <c r="AS29" s="433">
        <f t="shared" si="5"/>
        <v>0</v>
      </c>
      <c r="AT29" s="433">
        <f t="shared" si="5"/>
        <v>0</v>
      </c>
      <c r="AU29" s="433">
        <f t="shared" si="5"/>
        <v>0</v>
      </c>
      <c r="AV29" s="433">
        <f t="shared" si="5"/>
        <v>0</v>
      </c>
      <c r="AW29" s="444">
        <f t="shared" si="5"/>
        <v>0</v>
      </c>
      <c r="AX29" s="433">
        <f t="shared" si="5"/>
        <v>0</v>
      </c>
      <c r="AY29" s="433">
        <f t="shared" si="5"/>
        <v>0</v>
      </c>
      <c r="AZ29" s="433">
        <f t="shared" si="5"/>
        <v>0</v>
      </c>
      <c r="BA29" s="433">
        <f t="shared" si="5"/>
        <v>0</v>
      </c>
      <c r="BB29" s="444">
        <f t="shared" si="5"/>
        <v>0</v>
      </c>
      <c r="BC29" s="433">
        <f t="shared" si="5"/>
        <v>0</v>
      </c>
      <c r="BD29" s="433">
        <f t="shared" si="5"/>
        <v>0</v>
      </c>
      <c r="BE29" s="433">
        <f t="shared" si="5"/>
        <v>0</v>
      </c>
      <c r="BF29" s="433">
        <f t="shared" si="5"/>
        <v>0</v>
      </c>
      <c r="BG29" s="444">
        <f t="shared" si="5"/>
        <v>0</v>
      </c>
      <c r="BH29" s="433">
        <f t="shared" si="5"/>
        <v>0</v>
      </c>
      <c r="BI29" s="433">
        <f t="shared" si="5"/>
        <v>0</v>
      </c>
      <c r="BJ29" s="433">
        <f t="shared" si="5"/>
        <v>0</v>
      </c>
      <c r="BK29" s="433">
        <f t="shared" si="5"/>
        <v>0</v>
      </c>
      <c r="BL29" s="444">
        <f t="shared" si="5"/>
        <v>0</v>
      </c>
      <c r="BM29" s="433">
        <f t="shared" si="5"/>
        <v>0</v>
      </c>
      <c r="BN29" s="433">
        <f t="shared" si="5"/>
        <v>0</v>
      </c>
      <c r="BO29" s="433">
        <f t="shared" si="5"/>
        <v>0</v>
      </c>
      <c r="BP29" s="433">
        <f t="shared" si="5"/>
        <v>0</v>
      </c>
      <c r="BQ29" s="444">
        <f t="shared" si="5"/>
        <v>0</v>
      </c>
      <c r="BR29" s="433">
        <f>BR11</f>
        <v>10</v>
      </c>
      <c r="BS29" s="433">
        <f>BS11</f>
        <v>10</v>
      </c>
      <c r="BT29" s="433">
        <f>BT11</f>
        <v>10</v>
      </c>
      <c r="BU29" s="433">
        <f>BU11</f>
        <v>10</v>
      </c>
      <c r="BV29" s="444">
        <f>BV11</f>
        <v>40</v>
      </c>
      <c r="BW29" s="433">
        <f t="shared" ref="BW29:CS29" si="6">SUM(BW8:BW11)</f>
        <v>0</v>
      </c>
      <c r="BX29" s="433">
        <f t="shared" si="6"/>
        <v>0</v>
      </c>
      <c r="BY29" s="433">
        <f t="shared" si="6"/>
        <v>0</v>
      </c>
      <c r="BZ29" s="433">
        <f t="shared" si="6"/>
        <v>6</v>
      </c>
      <c r="CA29" s="444">
        <f t="shared" si="6"/>
        <v>6</v>
      </c>
      <c r="CB29" s="433">
        <f t="shared" si="6"/>
        <v>6</v>
      </c>
      <c r="CC29" s="433">
        <f t="shared" si="6"/>
        <v>7</v>
      </c>
      <c r="CD29" s="433">
        <f t="shared" si="6"/>
        <v>7</v>
      </c>
      <c r="CE29" s="433">
        <f t="shared" si="6"/>
        <v>0</v>
      </c>
      <c r="CF29" s="444">
        <f t="shared" si="6"/>
        <v>20</v>
      </c>
      <c r="CG29" s="433">
        <f t="shared" si="6"/>
        <v>0</v>
      </c>
      <c r="CH29" s="433">
        <f t="shared" si="6"/>
        <v>0</v>
      </c>
      <c r="CI29" s="433">
        <f t="shared" si="6"/>
        <v>0</v>
      </c>
      <c r="CJ29" s="433">
        <f t="shared" si="6"/>
        <v>0</v>
      </c>
      <c r="CK29" s="444">
        <f t="shared" si="6"/>
        <v>0</v>
      </c>
      <c r="CL29" s="433">
        <f t="shared" si="6"/>
        <v>0</v>
      </c>
      <c r="CM29" s="433">
        <f t="shared" si="6"/>
        <v>0</v>
      </c>
      <c r="CN29" s="433">
        <f t="shared" si="6"/>
        <v>0</v>
      </c>
      <c r="CO29" s="433">
        <f t="shared" si="6"/>
        <v>0</v>
      </c>
      <c r="CP29" s="444">
        <f t="shared" si="6"/>
        <v>0</v>
      </c>
      <c r="CQ29" s="444">
        <f t="shared" si="6"/>
        <v>0</v>
      </c>
      <c r="CR29" s="444">
        <f t="shared" si="6"/>
        <v>0</v>
      </c>
      <c r="CS29" s="444">
        <f t="shared" si="6"/>
        <v>0</v>
      </c>
      <c r="CV29" s="433">
        <f>BV26-BV31</f>
        <v>1964.3</v>
      </c>
      <c r="CW29" s="433">
        <f>CA26-CA31</f>
        <v>1967.2999999999997</v>
      </c>
      <c r="CX29" s="433">
        <f>CF26-CF31</f>
        <v>2169.1000000000004</v>
      </c>
      <c r="CY29" s="433">
        <f>CK26-CK31</f>
        <v>2306.7000000000003</v>
      </c>
    </row>
    <row r="30" spans="2:104" outlineLevel="1">
      <c r="B30" s="433" t="s">
        <v>91</v>
      </c>
      <c r="C30" s="444">
        <f t="shared" ref="C30:AH30" si="7">C15</f>
        <v>0</v>
      </c>
      <c r="D30" s="444">
        <f t="shared" si="7"/>
        <v>0</v>
      </c>
      <c r="E30" s="444">
        <f t="shared" si="7"/>
        <v>0</v>
      </c>
      <c r="F30" s="444">
        <f t="shared" si="7"/>
        <v>0</v>
      </c>
      <c r="G30" s="444">
        <f t="shared" si="7"/>
        <v>0</v>
      </c>
      <c r="H30" s="444">
        <f t="shared" si="7"/>
        <v>0</v>
      </c>
      <c r="I30" s="444">
        <f t="shared" si="7"/>
        <v>0</v>
      </c>
      <c r="J30" s="433">
        <f t="shared" si="7"/>
        <v>0</v>
      </c>
      <c r="K30" s="433">
        <f t="shared" si="7"/>
        <v>0</v>
      </c>
      <c r="L30" s="433">
        <f t="shared" si="7"/>
        <v>0</v>
      </c>
      <c r="M30" s="433">
        <f t="shared" si="7"/>
        <v>0</v>
      </c>
      <c r="N30" s="444">
        <f t="shared" si="7"/>
        <v>0</v>
      </c>
      <c r="O30" s="433">
        <f t="shared" si="7"/>
        <v>0</v>
      </c>
      <c r="P30" s="433">
        <f t="shared" si="7"/>
        <v>0</v>
      </c>
      <c r="Q30" s="433">
        <f t="shared" si="7"/>
        <v>0</v>
      </c>
      <c r="R30" s="433">
        <f t="shared" si="7"/>
        <v>0</v>
      </c>
      <c r="S30" s="444">
        <f t="shared" si="7"/>
        <v>0</v>
      </c>
      <c r="T30" s="433">
        <f t="shared" si="7"/>
        <v>0</v>
      </c>
      <c r="U30" s="433">
        <f t="shared" si="7"/>
        <v>0</v>
      </c>
      <c r="V30" s="433">
        <f t="shared" si="7"/>
        <v>0</v>
      </c>
      <c r="W30" s="433">
        <f t="shared" si="7"/>
        <v>0</v>
      </c>
      <c r="X30" s="444">
        <f t="shared" si="7"/>
        <v>0</v>
      </c>
      <c r="Y30" s="433">
        <f t="shared" si="7"/>
        <v>0</v>
      </c>
      <c r="Z30" s="433">
        <f t="shared" si="7"/>
        <v>0</v>
      </c>
      <c r="AA30" s="433">
        <f t="shared" si="7"/>
        <v>0</v>
      </c>
      <c r="AB30" s="433">
        <f t="shared" si="7"/>
        <v>0</v>
      </c>
      <c r="AC30" s="444">
        <f t="shared" si="7"/>
        <v>0</v>
      </c>
      <c r="AD30" s="433">
        <f t="shared" si="7"/>
        <v>0</v>
      </c>
      <c r="AE30" s="433">
        <f t="shared" si="7"/>
        <v>0</v>
      </c>
      <c r="AF30" s="433">
        <f t="shared" si="7"/>
        <v>0</v>
      </c>
      <c r="AG30" s="433">
        <f t="shared" si="7"/>
        <v>0</v>
      </c>
      <c r="AH30" s="444">
        <f t="shared" si="7"/>
        <v>0</v>
      </c>
      <c r="AI30" s="433">
        <f t="shared" ref="AI30:BN30" si="8">AI15</f>
        <v>0</v>
      </c>
      <c r="AJ30" s="433">
        <f t="shared" si="8"/>
        <v>0</v>
      </c>
      <c r="AK30" s="433">
        <f t="shared" si="8"/>
        <v>0</v>
      </c>
      <c r="AL30" s="433">
        <f t="shared" si="8"/>
        <v>0</v>
      </c>
      <c r="AM30" s="444">
        <f t="shared" si="8"/>
        <v>0</v>
      </c>
      <c r="AN30" s="433">
        <f t="shared" si="8"/>
        <v>0</v>
      </c>
      <c r="AO30" s="433">
        <f t="shared" si="8"/>
        <v>0</v>
      </c>
      <c r="AP30" s="433">
        <f t="shared" si="8"/>
        <v>0</v>
      </c>
      <c r="AQ30" s="433">
        <f t="shared" si="8"/>
        <v>0</v>
      </c>
      <c r="AR30" s="444">
        <f t="shared" si="8"/>
        <v>0</v>
      </c>
      <c r="AS30" s="433">
        <f t="shared" si="8"/>
        <v>0</v>
      </c>
      <c r="AT30" s="433">
        <f t="shared" si="8"/>
        <v>0</v>
      </c>
      <c r="AU30" s="433">
        <f t="shared" si="8"/>
        <v>0</v>
      </c>
      <c r="AV30" s="433">
        <f t="shared" si="8"/>
        <v>0</v>
      </c>
      <c r="AW30" s="444">
        <f t="shared" si="8"/>
        <v>0</v>
      </c>
      <c r="AX30" s="433">
        <f t="shared" si="8"/>
        <v>0</v>
      </c>
      <c r="AY30" s="433">
        <f t="shared" si="8"/>
        <v>0</v>
      </c>
      <c r="AZ30" s="433">
        <f t="shared" si="8"/>
        <v>0</v>
      </c>
      <c r="BA30" s="433">
        <f t="shared" si="8"/>
        <v>0</v>
      </c>
      <c r="BB30" s="444">
        <f t="shared" si="8"/>
        <v>0</v>
      </c>
      <c r="BC30" s="433">
        <f t="shared" si="8"/>
        <v>0</v>
      </c>
      <c r="BD30" s="433">
        <f t="shared" si="8"/>
        <v>0</v>
      </c>
      <c r="BE30" s="433">
        <f t="shared" si="8"/>
        <v>0</v>
      </c>
      <c r="BF30" s="433">
        <f t="shared" si="8"/>
        <v>0</v>
      </c>
      <c r="BG30" s="444">
        <f t="shared" si="8"/>
        <v>0</v>
      </c>
      <c r="BH30" s="433">
        <f t="shared" si="8"/>
        <v>0</v>
      </c>
      <c r="BI30" s="433">
        <f t="shared" si="8"/>
        <v>0</v>
      </c>
      <c r="BJ30" s="433">
        <f t="shared" si="8"/>
        <v>0</v>
      </c>
      <c r="BK30" s="433">
        <f t="shared" si="8"/>
        <v>0</v>
      </c>
      <c r="BL30" s="444">
        <f t="shared" si="8"/>
        <v>0</v>
      </c>
      <c r="BM30" s="433">
        <f t="shared" si="8"/>
        <v>0</v>
      </c>
      <c r="BN30" s="433">
        <f t="shared" si="8"/>
        <v>0</v>
      </c>
      <c r="BO30" s="433">
        <f t="shared" ref="BO30:CF30" si="9">BO15</f>
        <v>0</v>
      </c>
      <c r="BP30" s="433">
        <f t="shared" si="9"/>
        <v>0</v>
      </c>
      <c r="BQ30" s="444">
        <f t="shared" si="9"/>
        <v>0</v>
      </c>
      <c r="BR30" s="433">
        <f t="shared" si="9"/>
        <v>0</v>
      </c>
      <c r="BS30" s="433">
        <f t="shared" si="9"/>
        <v>0</v>
      </c>
      <c r="BT30" s="433">
        <f t="shared" si="9"/>
        <v>0</v>
      </c>
      <c r="BU30" s="433">
        <f t="shared" si="9"/>
        <v>0</v>
      </c>
      <c r="BV30" s="444">
        <f t="shared" si="9"/>
        <v>0</v>
      </c>
      <c r="BW30" s="433">
        <f t="shared" si="9"/>
        <v>0</v>
      </c>
      <c r="BX30" s="433">
        <f t="shared" si="9"/>
        <v>0</v>
      </c>
      <c r="BY30" s="433">
        <f t="shared" si="9"/>
        <v>0</v>
      </c>
      <c r="BZ30" s="433">
        <f t="shared" si="9"/>
        <v>0</v>
      </c>
      <c r="CA30" s="444">
        <f t="shared" si="9"/>
        <v>0</v>
      </c>
      <c r="CB30" s="433">
        <f t="shared" si="9"/>
        <v>0</v>
      </c>
      <c r="CC30" s="433">
        <f t="shared" si="9"/>
        <v>0</v>
      </c>
      <c r="CD30" s="433">
        <f t="shared" si="9"/>
        <v>0</v>
      </c>
      <c r="CE30" s="433">
        <f t="shared" si="9"/>
        <v>0</v>
      </c>
      <c r="CF30" s="444">
        <f t="shared" si="9"/>
        <v>0</v>
      </c>
      <c r="CG30" s="433">
        <f>CG16</f>
        <v>12.5</v>
      </c>
      <c r="CH30" s="433">
        <f>CH16</f>
        <v>12.5</v>
      </c>
      <c r="CI30" s="433">
        <f>CI16</f>
        <v>13</v>
      </c>
      <c r="CJ30" s="433">
        <f>CJ16</f>
        <v>11</v>
      </c>
      <c r="CK30" s="444">
        <f>CK16</f>
        <v>49</v>
      </c>
      <c r="CL30" s="433">
        <f t="shared" ref="CL30:CS30" si="10">CL15</f>
        <v>0</v>
      </c>
      <c r="CM30" s="433">
        <f t="shared" si="10"/>
        <v>0</v>
      </c>
      <c r="CN30" s="433">
        <f t="shared" si="10"/>
        <v>0</v>
      </c>
      <c r="CO30" s="433">
        <f t="shared" si="10"/>
        <v>0</v>
      </c>
      <c r="CP30" s="444">
        <f t="shared" si="10"/>
        <v>0</v>
      </c>
      <c r="CQ30" s="444">
        <f t="shared" si="10"/>
        <v>0</v>
      </c>
      <c r="CR30" s="444">
        <f t="shared" si="10"/>
        <v>0</v>
      </c>
      <c r="CS30" s="444">
        <f t="shared" si="10"/>
        <v>0</v>
      </c>
    </row>
    <row r="31" spans="2:104" outlineLevel="1">
      <c r="B31" s="467" t="s">
        <v>182</v>
      </c>
      <c r="C31" s="468">
        <f t="shared" ref="C31:AH31" si="11">SUM(C29:C30)</f>
        <v>0</v>
      </c>
      <c r="D31" s="468">
        <f t="shared" si="11"/>
        <v>0</v>
      </c>
      <c r="E31" s="468">
        <f t="shared" si="11"/>
        <v>0</v>
      </c>
      <c r="F31" s="468">
        <f t="shared" si="11"/>
        <v>0</v>
      </c>
      <c r="G31" s="468">
        <f t="shared" si="11"/>
        <v>0</v>
      </c>
      <c r="H31" s="468">
        <f t="shared" si="11"/>
        <v>0</v>
      </c>
      <c r="I31" s="468">
        <f t="shared" si="11"/>
        <v>0</v>
      </c>
      <c r="J31" s="467">
        <f t="shared" si="11"/>
        <v>0</v>
      </c>
      <c r="K31" s="467">
        <f t="shared" si="11"/>
        <v>0</v>
      </c>
      <c r="L31" s="467">
        <f t="shared" si="11"/>
        <v>0</v>
      </c>
      <c r="M31" s="467">
        <f t="shared" si="11"/>
        <v>0</v>
      </c>
      <c r="N31" s="468">
        <f t="shared" si="11"/>
        <v>0</v>
      </c>
      <c r="O31" s="467">
        <f t="shared" si="11"/>
        <v>0</v>
      </c>
      <c r="P31" s="467">
        <f t="shared" si="11"/>
        <v>0</v>
      </c>
      <c r="Q31" s="467">
        <f t="shared" si="11"/>
        <v>0</v>
      </c>
      <c r="R31" s="467">
        <f t="shared" si="11"/>
        <v>0</v>
      </c>
      <c r="S31" s="468">
        <f t="shared" si="11"/>
        <v>0</v>
      </c>
      <c r="T31" s="467">
        <f t="shared" si="11"/>
        <v>0</v>
      </c>
      <c r="U31" s="467">
        <f t="shared" si="11"/>
        <v>0</v>
      </c>
      <c r="V31" s="467">
        <f t="shared" si="11"/>
        <v>0</v>
      </c>
      <c r="W31" s="467">
        <f t="shared" si="11"/>
        <v>0</v>
      </c>
      <c r="X31" s="468">
        <f t="shared" si="11"/>
        <v>0</v>
      </c>
      <c r="Y31" s="467">
        <f t="shared" si="11"/>
        <v>0</v>
      </c>
      <c r="Z31" s="467">
        <f t="shared" si="11"/>
        <v>0</v>
      </c>
      <c r="AA31" s="467">
        <f t="shared" si="11"/>
        <v>0</v>
      </c>
      <c r="AB31" s="467">
        <f t="shared" si="11"/>
        <v>0</v>
      </c>
      <c r="AC31" s="468">
        <f t="shared" si="11"/>
        <v>0</v>
      </c>
      <c r="AD31" s="467">
        <f t="shared" si="11"/>
        <v>0</v>
      </c>
      <c r="AE31" s="467">
        <f t="shared" si="11"/>
        <v>0</v>
      </c>
      <c r="AF31" s="467">
        <f t="shared" si="11"/>
        <v>0</v>
      </c>
      <c r="AG31" s="467">
        <f t="shared" si="11"/>
        <v>0</v>
      </c>
      <c r="AH31" s="468">
        <f t="shared" si="11"/>
        <v>0</v>
      </c>
      <c r="AI31" s="467">
        <f t="shared" ref="AI31:BN31" si="12">SUM(AI29:AI30)</f>
        <v>0</v>
      </c>
      <c r="AJ31" s="467">
        <f t="shared" si="12"/>
        <v>0</v>
      </c>
      <c r="AK31" s="467">
        <f t="shared" si="12"/>
        <v>0</v>
      </c>
      <c r="AL31" s="467">
        <f t="shared" si="12"/>
        <v>0</v>
      </c>
      <c r="AM31" s="468">
        <f t="shared" si="12"/>
        <v>0</v>
      </c>
      <c r="AN31" s="467">
        <f t="shared" si="12"/>
        <v>0</v>
      </c>
      <c r="AO31" s="467">
        <f t="shared" si="12"/>
        <v>0</v>
      </c>
      <c r="AP31" s="467">
        <f t="shared" si="12"/>
        <v>0</v>
      </c>
      <c r="AQ31" s="467">
        <f t="shared" si="12"/>
        <v>0</v>
      </c>
      <c r="AR31" s="468">
        <f t="shared" si="12"/>
        <v>0</v>
      </c>
      <c r="AS31" s="467">
        <f t="shared" si="12"/>
        <v>0</v>
      </c>
      <c r="AT31" s="467">
        <f t="shared" si="12"/>
        <v>0</v>
      </c>
      <c r="AU31" s="467">
        <f t="shared" si="12"/>
        <v>0</v>
      </c>
      <c r="AV31" s="467">
        <f t="shared" si="12"/>
        <v>0</v>
      </c>
      <c r="AW31" s="468">
        <f t="shared" si="12"/>
        <v>0</v>
      </c>
      <c r="AX31" s="467">
        <f t="shared" si="12"/>
        <v>0</v>
      </c>
      <c r="AY31" s="467">
        <f t="shared" si="12"/>
        <v>0</v>
      </c>
      <c r="AZ31" s="467">
        <f t="shared" si="12"/>
        <v>0</v>
      </c>
      <c r="BA31" s="467">
        <f t="shared" si="12"/>
        <v>0</v>
      </c>
      <c r="BB31" s="468">
        <f t="shared" si="12"/>
        <v>0</v>
      </c>
      <c r="BC31" s="467">
        <f t="shared" si="12"/>
        <v>0</v>
      </c>
      <c r="BD31" s="467">
        <f t="shared" si="12"/>
        <v>0</v>
      </c>
      <c r="BE31" s="467">
        <f t="shared" si="12"/>
        <v>0</v>
      </c>
      <c r="BF31" s="467">
        <f t="shared" si="12"/>
        <v>0</v>
      </c>
      <c r="BG31" s="468">
        <f t="shared" si="12"/>
        <v>0</v>
      </c>
      <c r="BH31" s="467">
        <f t="shared" si="12"/>
        <v>0</v>
      </c>
      <c r="BI31" s="467">
        <f t="shared" si="12"/>
        <v>0</v>
      </c>
      <c r="BJ31" s="467">
        <f t="shared" si="12"/>
        <v>0</v>
      </c>
      <c r="BK31" s="467">
        <f t="shared" si="12"/>
        <v>0</v>
      </c>
      <c r="BL31" s="468">
        <f t="shared" si="12"/>
        <v>0</v>
      </c>
      <c r="BM31" s="467">
        <f t="shared" si="12"/>
        <v>0</v>
      </c>
      <c r="BN31" s="467">
        <f t="shared" si="12"/>
        <v>0</v>
      </c>
      <c r="BO31" s="467">
        <f t="shared" ref="BO31:CS31" si="13">SUM(BO29:BO30)</f>
        <v>0</v>
      </c>
      <c r="BP31" s="467">
        <f t="shared" si="13"/>
        <v>0</v>
      </c>
      <c r="BQ31" s="468">
        <f t="shared" si="13"/>
        <v>0</v>
      </c>
      <c r="BR31" s="467">
        <f t="shared" si="13"/>
        <v>10</v>
      </c>
      <c r="BS31" s="467">
        <f t="shared" si="13"/>
        <v>10</v>
      </c>
      <c r="BT31" s="467">
        <f t="shared" si="13"/>
        <v>10</v>
      </c>
      <c r="BU31" s="467">
        <f t="shared" si="13"/>
        <v>10</v>
      </c>
      <c r="BV31" s="468">
        <f t="shared" si="13"/>
        <v>40</v>
      </c>
      <c r="BW31" s="467">
        <f t="shared" si="13"/>
        <v>0</v>
      </c>
      <c r="BX31" s="467">
        <f t="shared" si="13"/>
        <v>0</v>
      </c>
      <c r="BY31" s="467">
        <f t="shared" si="13"/>
        <v>0</v>
      </c>
      <c r="BZ31" s="467">
        <f t="shared" si="13"/>
        <v>6</v>
      </c>
      <c r="CA31" s="468">
        <f t="shared" si="13"/>
        <v>6</v>
      </c>
      <c r="CB31" s="467">
        <f t="shared" si="13"/>
        <v>6</v>
      </c>
      <c r="CC31" s="467">
        <f t="shared" si="13"/>
        <v>7</v>
      </c>
      <c r="CD31" s="467">
        <f t="shared" si="13"/>
        <v>7</v>
      </c>
      <c r="CE31" s="467">
        <f t="shared" si="13"/>
        <v>0</v>
      </c>
      <c r="CF31" s="468">
        <f t="shared" si="13"/>
        <v>20</v>
      </c>
      <c r="CG31" s="467">
        <f t="shared" si="13"/>
        <v>12.5</v>
      </c>
      <c r="CH31" s="467">
        <f t="shared" si="13"/>
        <v>12.5</v>
      </c>
      <c r="CI31" s="467">
        <f t="shared" si="13"/>
        <v>13</v>
      </c>
      <c r="CJ31" s="467">
        <f t="shared" si="13"/>
        <v>11</v>
      </c>
      <c r="CK31" s="468">
        <f t="shared" si="13"/>
        <v>49</v>
      </c>
      <c r="CL31" s="467">
        <f t="shared" si="13"/>
        <v>0</v>
      </c>
      <c r="CM31" s="467">
        <f t="shared" si="13"/>
        <v>0</v>
      </c>
      <c r="CN31" s="467">
        <f t="shared" si="13"/>
        <v>0</v>
      </c>
      <c r="CO31" s="467">
        <f t="shared" si="13"/>
        <v>0</v>
      </c>
      <c r="CP31" s="468">
        <f t="shared" si="13"/>
        <v>0</v>
      </c>
      <c r="CQ31" s="468">
        <f t="shared" si="13"/>
        <v>0</v>
      </c>
      <c r="CR31" s="468">
        <f t="shared" si="13"/>
        <v>0</v>
      </c>
      <c r="CS31" s="468">
        <f t="shared" si="13"/>
        <v>0</v>
      </c>
      <c r="CV31" s="469">
        <f>CV29/BQ26-1</f>
        <v>5.5394369224156526E-2</v>
      </c>
      <c r="CW31" s="470">
        <f>CW29/CV29-1</f>
        <v>1.5272616199153433E-3</v>
      </c>
      <c r="CX31" s="469">
        <f t="shared" ref="CX31:CY31" si="14">CX29/CW29-1</f>
        <v>0.10257713617648578</v>
      </c>
      <c r="CY31" s="469">
        <f t="shared" si="14"/>
        <v>6.3436448296528392E-2</v>
      </c>
      <c r="CZ31" s="469"/>
    </row>
    <row r="32" spans="2:104" outlineLevel="1">
      <c r="C32" s="444"/>
      <c r="D32" s="444"/>
      <c r="E32" s="444"/>
      <c r="F32" s="444"/>
      <c r="G32" s="444"/>
      <c r="H32" s="444"/>
      <c r="I32" s="444"/>
      <c r="N32" s="444"/>
      <c r="S32" s="444"/>
      <c r="X32" s="444"/>
      <c r="AC32" s="444"/>
      <c r="AH32" s="444"/>
      <c r="AM32" s="444"/>
      <c r="AR32" s="444"/>
      <c r="AW32" s="444"/>
      <c r="BB32" s="444"/>
      <c r="BG32" s="444"/>
      <c r="BL32" s="444"/>
      <c r="BQ32" s="444"/>
      <c r="BV32" s="444"/>
      <c r="CA32" s="444"/>
      <c r="CF32" s="444"/>
      <c r="CK32" s="444"/>
      <c r="CP32" s="444"/>
      <c r="CQ32" s="444"/>
      <c r="CR32" s="444"/>
      <c r="CS32" s="444"/>
    </row>
    <row r="33" spans="1:97" outlineLevel="1">
      <c r="B33" s="446" t="s">
        <v>116</v>
      </c>
      <c r="C33" s="444"/>
      <c r="D33" s="444"/>
      <c r="E33" s="444"/>
      <c r="F33" s="444"/>
      <c r="G33" s="444"/>
      <c r="H33" s="444"/>
      <c r="I33" s="444"/>
      <c r="N33" s="444"/>
      <c r="S33" s="444"/>
      <c r="X33" s="444"/>
      <c r="AC33" s="444"/>
      <c r="AH33" s="444"/>
      <c r="AM33" s="444"/>
      <c r="AR33" s="444"/>
      <c r="AW33" s="444"/>
      <c r="BB33" s="444"/>
      <c r="BG33" s="444"/>
      <c r="BL33" s="444"/>
      <c r="BQ33" s="444"/>
      <c r="BV33" s="444"/>
      <c r="CA33" s="444"/>
      <c r="CF33" s="444"/>
      <c r="CK33" s="444"/>
      <c r="CP33" s="444"/>
      <c r="CQ33" s="444"/>
      <c r="CR33" s="444"/>
      <c r="CS33" s="444"/>
    </row>
    <row r="34" spans="1:97" outlineLevel="1">
      <c r="B34" s="433" t="s">
        <v>90</v>
      </c>
      <c r="C34" s="444">
        <f t="shared" ref="C34:AH34" si="15">C12</f>
        <v>0</v>
      </c>
      <c r="D34" s="444">
        <f t="shared" si="15"/>
        <v>0</v>
      </c>
      <c r="E34" s="444">
        <f t="shared" si="15"/>
        <v>0</v>
      </c>
      <c r="F34" s="444">
        <f t="shared" si="15"/>
        <v>0</v>
      </c>
      <c r="G34" s="444">
        <f t="shared" si="15"/>
        <v>0</v>
      </c>
      <c r="H34" s="444">
        <f t="shared" si="15"/>
        <v>0</v>
      </c>
      <c r="I34" s="444">
        <f t="shared" si="15"/>
        <v>0</v>
      </c>
      <c r="J34" s="433">
        <f t="shared" si="15"/>
        <v>0</v>
      </c>
      <c r="K34" s="433">
        <f t="shared" si="15"/>
        <v>0</v>
      </c>
      <c r="L34" s="433">
        <f t="shared" si="15"/>
        <v>0</v>
      </c>
      <c r="M34" s="433">
        <f t="shared" si="15"/>
        <v>0</v>
      </c>
      <c r="N34" s="444">
        <f t="shared" si="15"/>
        <v>0</v>
      </c>
      <c r="O34" s="433">
        <f t="shared" si="15"/>
        <v>0</v>
      </c>
      <c r="P34" s="433">
        <f t="shared" si="15"/>
        <v>0</v>
      </c>
      <c r="Q34" s="433">
        <f t="shared" si="15"/>
        <v>0</v>
      </c>
      <c r="R34" s="433">
        <f t="shared" si="15"/>
        <v>0</v>
      </c>
      <c r="S34" s="444">
        <f t="shared" si="15"/>
        <v>0</v>
      </c>
      <c r="T34" s="433">
        <f t="shared" si="15"/>
        <v>0</v>
      </c>
      <c r="U34" s="433">
        <f t="shared" si="15"/>
        <v>0</v>
      </c>
      <c r="V34" s="433">
        <f t="shared" si="15"/>
        <v>0</v>
      </c>
      <c r="W34" s="433">
        <f t="shared" si="15"/>
        <v>0</v>
      </c>
      <c r="X34" s="444">
        <f t="shared" si="15"/>
        <v>0</v>
      </c>
      <c r="Y34" s="433">
        <f t="shared" si="15"/>
        <v>0</v>
      </c>
      <c r="Z34" s="433">
        <f t="shared" si="15"/>
        <v>0</v>
      </c>
      <c r="AA34" s="433">
        <f t="shared" si="15"/>
        <v>0</v>
      </c>
      <c r="AB34" s="433">
        <f t="shared" si="15"/>
        <v>0</v>
      </c>
      <c r="AC34" s="444">
        <f t="shared" si="15"/>
        <v>0</v>
      </c>
      <c r="AD34" s="433">
        <f t="shared" si="15"/>
        <v>0</v>
      </c>
      <c r="AE34" s="433">
        <f t="shared" si="15"/>
        <v>0</v>
      </c>
      <c r="AF34" s="433">
        <f t="shared" si="15"/>
        <v>0</v>
      </c>
      <c r="AG34" s="433">
        <f t="shared" si="15"/>
        <v>0</v>
      </c>
      <c r="AH34" s="444">
        <f t="shared" si="15"/>
        <v>0</v>
      </c>
      <c r="AI34" s="433">
        <f t="shared" ref="AI34:BN34" si="16">AI12</f>
        <v>0</v>
      </c>
      <c r="AJ34" s="433">
        <f t="shared" si="16"/>
        <v>0</v>
      </c>
      <c r="AK34" s="433">
        <f t="shared" si="16"/>
        <v>0</v>
      </c>
      <c r="AL34" s="433">
        <f t="shared" si="16"/>
        <v>0</v>
      </c>
      <c r="AM34" s="444">
        <f t="shared" si="16"/>
        <v>0</v>
      </c>
      <c r="AN34" s="433">
        <f t="shared" si="16"/>
        <v>0</v>
      </c>
      <c r="AO34" s="433">
        <f t="shared" si="16"/>
        <v>0</v>
      </c>
      <c r="AP34" s="433">
        <f t="shared" si="16"/>
        <v>0</v>
      </c>
      <c r="AQ34" s="433">
        <f t="shared" si="16"/>
        <v>0</v>
      </c>
      <c r="AR34" s="444">
        <f t="shared" si="16"/>
        <v>0</v>
      </c>
      <c r="AS34" s="433">
        <f t="shared" si="16"/>
        <v>0</v>
      </c>
      <c r="AT34" s="433">
        <f t="shared" si="16"/>
        <v>0</v>
      </c>
      <c r="AU34" s="433">
        <f t="shared" si="16"/>
        <v>0</v>
      </c>
      <c r="AV34" s="433">
        <f t="shared" si="16"/>
        <v>0</v>
      </c>
      <c r="AW34" s="444">
        <f t="shared" si="16"/>
        <v>0</v>
      </c>
      <c r="AX34" s="433">
        <f t="shared" si="16"/>
        <v>0</v>
      </c>
      <c r="AY34" s="433">
        <f t="shared" si="16"/>
        <v>0</v>
      </c>
      <c r="AZ34" s="433">
        <f t="shared" si="16"/>
        <v>0</v>
      </c>
      <c r="BA34" s="433">
        <f t="shared" si="16"/>
        <v>0</v>
      </c>
      <c r="BB34" s="444">
        <f t="shared" si="16"/>
        <v>0</v>
      </c>
      <c r="BC34" s="433">
        <f t="shared" si="16"/>
        <v>0</v>
      </c>
      <c r="BD34" s="433">
        <f t="shared" si="16"/>
        <v>0</v>
      </c>
      <c r="BE34" s="433">
        <f t="shared" si="16"/>
        <v>0</v>
      </c>
      <c r="BF34" s="433">
        <f t="shared" si="16"/>
        <v>0</v>
      </c>
      <c r="BG34" s="444">
        <f t="shared" si="16"/>
        <v>0</v>
      </c>
      <c r="BH34" s="433">
        <f t="shared" si="16"/>
        <v>0</v>
      </c>
      <c r="BI34" s="433">
        <f t="shared" si="16"/>
        <v>0</v>
      </c>
      <c r="BJ34" s="433">
        <f t="shared" si="16"/>
        <v>0</v>
      </c>
      <c r="BK34" s="433">
        <f t="shared" si="16"/>
        <v>0</v>
      </c>
      <c r="BL34" s="444">
        <f t="shared" si="16"/>
        <v>0</v>
      </c>
      <c r="BM34" s="433">
        <f t="shared" si="16"/>
        <v>0</v>
      </c>
      <c r="BN34" s="433">
        <f t="shared" si="16"/>
        <v>0</v>
      </c>
      <c r="BO34" s="433">
        <f t="shared" ref="BO34:CS34" si="17">BO12</f>
        <v>0</v>
      </c>
      <c r="BP34" s="433">
        <f t="shared" si="17"/>
        <v>0</v>
      </c>
      <c r="BQ34" s="444">
        <f t="shared" si="17"/>
        <v>0</v>
      </c>
      <c r="BR34" s="433">
        <f t="shared" si="17"/>
        <v>0</v>
      </c>
      <c r="BS34" s="433">
        <f t="shared" si="17"/>
        <v>0</v>
      </c>
      <c r="BT34" s="433">
        <f t="shared" si="17"/>
        <v>0</v>
      </c>
      <c r="BU34" s="433">
        <f t="shared" si="17"/>
        <v>0</v>
      </c>
      <c r="BV34" s="444">
        <f t="shared" si="17"/>
        <v>0</v>
      </c>
      <c r="BW34" s="433">
        <f t="shared" si="17"/>
        <v>0</v>
      </c>
      <c r="BX34" s="433">
        <f t="shared" si="17"/>
        <v>0</v>
      </c>
      <c r="BY34" s="433">
        <f t="shared" si="17"/>
        <v>0</v>
      </c>
      <c r="BZ34" s="433">
        <f t="shared" si="17"/>
        <v>0</v>
      </c>
      <c r="CA34" s="444">
        <f t="shared" si="17"/>
        <v>0</v>
      </c>
      <c r="CB34" s="433">
        <f t="shared" si="17"/>
        <v>0</v>
      </c>
      <c r="CC34" s="433">
        <f t="shared" si="17"/>
        <v>0</v>
      </c>
      <c r="CD34" s="433">
        <f t="shared" si="17"/>
        <v>0</v>
      </c>
      <c r="CE34" s="433">
        <f t="shared" si="17"/>
        <v>0</v>
      </c>
      <c r="CF34" s="444">
        <f t="shared" si="17"/>
        <v>0</v>
      </c>
      <c r="CG34" s="433">
        <f t="shared" si="17"/>
        <v>0</v>
      </c>
      <c r="CH34" s="433">
        <f t="shared" si="17"/>
        <v>0</v>
      </c>
      <c r="CI34" s="433">
        <f t="shared" si="17"/>
        <v>0</v>
      </c>
      <c r="CJ34" s="433">
        <f t="shared" si="17"/>
        <v>0</v>
      </c>
      <c r="CK34" s="444">
        <f t="shared" si="17"/>
        <v>0</v>
      </c>
      <c r="CL34" s="433">
        <f t="shared" si="17"/>
        <v>0</v>
      </c>
      <c r="CM34" s="433">
        <f t="shared" si="17"/>
        <v>0</v>
      </c>
      <c r="CN34" s="433">
        <f t="shared" si="17"/>
        <v>0</v>
      </c>
      <c r="CO34" s="433">
        <f t="shared" si="17"/>
        <v>0</v>
      </c>
      <c r="CP34" s="444">
        <f t="shared" si="17"/>
        <v>0</v>
      </c>
      <c r="CQ34" s="444">
        <f t="shared" si="17"/>
        <v>0</v>
      </c>
      <c r="CR34" s="444">
        <f t="shared" si="17"/>
        <v>0</v>
      </c>
      <c r="CS34" s="444">
        <f t="shared" si="17"/>
        <v>0</v>
      </c>
    </row>
    <row r="35" spans="1:97" outlineLevel="1">
      <c r="B35" s="433" t="s">
        <v>91</v>
      </c>
      <c r="C35" s="444">
        <f t="shared" ref="C35:AH35" si="18">C18</f>
        <v>0</v>
      </c>
      <c r="D35" s="444">
        <f t="shared" si="18"/>
        <v>0</v>
      </c>
      <c r="E35" s="444">
        <f t="shared" si="18"/>
        <v>0</v>
      </c>
      <c r="F35" s="444">
        <f t="shared" si="18"/>
        <v>-46</v>
      </c>
      <c r="G35" s="444">
        <f t="shared" si="18"/>
        <v>-23</v>
      </c>
      <c r="H35" s="444">
        <f t="shared" si="18"/>
        <v>0</v>
      </c>
      <c r="I35" s="444">
        <f t="shared" si="18"/>
        <v>0</v>
      </c>
      <c r="J35" s="433">
        <f t="shared" si="18"/>
        <v>0</v>
      </c>
      <c r="K35" s="433">
        <f t="shared" si="18"/>
        <v>0</v>
      </c>
      <c r="L35" s="433">
        <f t="shared" si="18"/>
        <v>0</v>
      </c>
      <c r="M35" s="433">
        <f t="shared" si="18"/>
        <v>0</v>
      </c>
      <c r="N35" s="444">
        <f t="shared" si="18"/>
        <v>0</v>
      </c>
      <c r="O35" s="433">
        <f t="shared" si="18"/>
        <v>0</v>
      </c>
      <c r="P35" s="433">
        <f t="shared" si="18"/>
        <v>0</v>
      </c>
      <c r="Q35" s="433">
        <f t="shared" si="18"/>
        <v>0</v>
      </c>
      <c r="R35" s="433">
        <f t="shared" si="18"/>
        <v>0</v>
      </c>
      <c r="S35" s="444">
        <f t="shared" si="18"/>
        <v>0</v>
      </c>
      <c r="T35" s="433">
        <f t="shared" si="18"/>
        <v>0</v>
      </c>
      <c r="U35" s="433">
        <f t="shared" si="18"/>
        <v>0</v>
      </c>
      <c r="V35" s="433">
        <f t="shared" si="18"/>
        <v>0</v>
      </c>
      <c r="W35" s="433">
        <f t="shared" si="18"/>
        <v>0</v>
      </c>
      <c r="X35" s="444">
        <f t="shared" si="18"/>
        <v>0</v>
      </c>
      <c r="Y35" s="433">
        <f t="shared" si="18"/>
        <v>0</v>
      </c>
      <c r="Z35" s="433">
        <f t="shared" si="18"/>
        <v>0</v>
      </c>
      <c r="AA35" s="433">
        <f t="shared" si="18"/>
        <v>0</v>
      </c>
      <c r="AB35" s="433">
        <f t="shared" si="18"/>
        <v>0</v>
      </c>
      <c r="AC35" s="444">
        <f t="shared" si="18"/>
        <v>0</v>
      </c>
      <c r="AD35" s="433">
        <f t="shared" si="18"/>
        <v>0</v>
      </c>
      <c r="AE35" s="433">
        <f t="shared" si="18"/>
        <v>0</v>
      </c>
      <c r="AF35" s="433">
        <f t="shared" si="18"/>
        <v>0</v>
      </c>
      <c r="AG35" s="433">
        <f t="shared" si="18"/>
        <v>0</v>
      </c>
      <c r="AH35" s="444">
        <f t="shared" si="18"/>
        <v>0</v>
      </c>
      <c r="AI35" s="433">
        <f t="shared" ref="AI35:BN35" si="19">AI18</f>
        <v>0</v>
      </c>
      <c r="AJ35" s="433">
        <f t="shared" si="19"/>
        <v>0</v>
      </c>
      <c r="AK35" s="433">
        <f t="shared" si="19"/>
        <v>0</v>
      </c>
      <c r="AL35" s="433">
        <f t="shared" si="19"/>
        <v>0</v>
      </c>
      <c r="AM35" s="444">
        <f t="shared" si="19"/>
        <v>0</v>
      </c>
      <c r="AN35" s="433">
        <f t="shared" si="19"/>
        <v>0</v>
      </c>
      <c r="AO35" s="433">
        <f t="shared" si="19"/>
        <v>0</v>
      </c>
      <c r="AP35" s="433">
        <f t="shared" si="19"/>
        <v>0</v>
      </c>
      <c r="AQ35" s="433">
        <f t="shared" si="19"/>
        <v>0</v>
      </c>
      <c r="AR35" s="444">
        <f t="shared" si="19"/>
        <v>0</v>
      </c>
      <c r="AS35" s="433">
        <f t="shared" si="19"/>
        <v>0</v>
      </c>
      <c r="AT35" s="433">
        <f t="shared" si="19"/>
        <v>0</v>
      </c>
      <c r="AU35" s="433">
        <f t="shared" si="19"/>
        <v>0</v>
      </c>
      <c r="AV35" s="433">
        <f t="shared" si="19"/>
        <v>0</v>
      </c>
      <c r="AW35" s="444">
        <f t="shared" si="19"/>
        <v>0</v>
      </c>
      <c r="AX35" s="433">
        <f t="shared" si="19"/>
        <v>0</v>
      </c>
      <c r="AY35" s="433">
        <f t="shared" si="19"/>
        <v>0</v>
      </c>
      <c r="AZ35" s="433">
        <f t="shared" si="19"/>
        <v>0</v>
      </c>
      <c r="BA35" s="433">
        <f t="shared" si="19"/>
        <v>0</v>
      </c>
      <c r="BB35" s="444">
        <f t="shared" si="19"/>
        <v>0</v>
      </c>
      <c r="BC35" s="433">
        <f t="shared" si="19"/>
        <v>0</v>
      </c>
      <c r="BD35" s="433">
        <f t="shared" si="19"/>
        <v>0</v>
      </c>
      <c r="BE35" s="433">
        <f t="shared" si="19"/>
        <v>0</v>
      </c>
      <c r="BF35" s="433">
        <f t="shared" si="19"/>
        <v>0</v>
      </c>
      <c r="BG35" s="444">
        <f t="shared" si="19"/>
        <v>0</v>
      </c>
      <c r="BH35" s="433">
        <f t="shared" si="19"/>
        <v>0</v>
      </c>
      <c r="BI35" s="433">
        <f t="shared" si="19"/>
        <v>0</v>
      </c>
      <c r="BJ35" s="433">
        <f t="shared" si="19"/>
        <v>0</v>
      </c>
      <c r="BK35" s="433">
        <f t="shared" si="19"/>
        <v>0</v>
      </c>
      <c r="BL35" s="444">
        <f t="shared" si="19"/>
        <v>0</v>
      </c>
      <c r="BM35" s="433">
        <f t="shared" si="19"/>
        <v>0</v>
      </c>
      <c r="BN35" s="433">
        <f t="shared" si="19"/>
        <v>0</v>
      </c>
      <c r="BO35" s="433">
        <f t="shared" ref="BO35:CS35" si="20">BO18</f>
        <v>0</v>
      </c>
      <c r="BP35" s="433">
        <f t="shared" si="20"/>
        <v>0</v>
      </c>
      <c r="BQ35" s="444">
        <f t="shared" si="20"/>
        <v>0</v>
      </c>
      <c r="BR35" s="433">
        <f t="shared" si="20"/>
        <v>0</v>
      </c>
      <c r="BS35" s="433">
        <f t="shared" si="20"/>
        <v>0</v>
      </c>
      <c r="BT35" s="433">
        <f t="shared" si="20"/>
        <v>0</v>
      </c>
      <c r="BU35" s="433">
        <f t="shared" si="20"/>
        <v>0</v>
      </c>
      <c r="BV35" s="444">
        <f t="shared" si="20"/>
        <v>0</v>
      </c>
      <c r="BW35" s="433">
        <f t="shared" si="20"/>
        <v>0</v>
      </c>
      <c r="BX35" s="433">
        <f t="shared" si="20"/>
        <v>0</v>
      </c>
      <c r="BY35" s="433">
        <f t="shared" si="20"/>
        <v>0</v>
      </c>
      <c r="BZ35" s="433">
        <f t="shared" si="20"/>
        <v>0</v>
      </c>
      <c r="CA35" s="444">
        <f t="shared" si="20"/>
        <v>0</v>
      </c>
      <c r="CB35" s="433">
        <f t="shared" si="20"/>
        <v>0</v>
      </c>
      <c r="CC35" s="433">
        <f t="shared" si="20"/>
        <v>0</v>
      </c>
      <c r="CD35" s="433">
        <f t="shared" si="20"/>
        <v>0</v>
      </c>
      <c r="CE35" s="433">
        <f t="shared" si="20"/>
        <v>0</v>
      </c>
      <c r="CF35" s="444">
        <f t="shared" si="20"/>
        <v>0</v>
      </c>
      <c r="CG35" s="433">
        <f t="shared" si="20"/>
        <v>0</v>
      </c>
      <c r="CH35" s="433">
        <f t="shared" si="20"/>
        <v>0</v>
      </c>
      <c r="CI35" s="433">
        <f t="shared" si="20"/>
        <v>0</v>
      </c>
      <c r="CJ35" s="433">
        <f t="shared" si="20"/>
        <v>0</v>
      </c>
      <c r="CK35" s="444">
        <f t="shared" si="20"/>
        <v>0</v>
      </c>
      <c r="CL35" s="433">
        <f t="shared" si="20"/>
        <v>0</v>
      </c>
      <c r="CM35" s="433">
        <f t="shared" si="20"/>
        <v>0</v>
      </c>
      <c r="CN35" s="433">
        <f t="shared" si="20"/>
        <v>0</v>
      </c>
      <c r="CO35" s="433">
        <f t="shared" si="20"/>
        <v>0</v>
      </c>
      <c r="CP35" s="444">
        <f t="shared" si="20"/>
        <v>0</v>
      </c>
      <c r="CQ35" s="444">
        <f t="shared" si="20"/>
        <v>0</v>
      </c>
      <c r="CR35" s="444">
        <f t="shared" si="20"/>
        <v>0</v>
      </c>
      <c r="CS35" s="444">
        <f t="shared" si="20"/>
        <v>0</v>
      </c>
    </row>
    <row r="36" spans="1:97" outlineLevel="1">
      <c r="B36" s="467" t="s">
        <v>183</v>
      </c>
      <c r="C36" s="468">
        <f t="shared" ref="C36:AH36" si="21">SUM(C34:C35)</f>
        <v>0</v>
      </c>
      <c r="D36" s="468">
        <f t="shared" si="21"/>
        <v>0</v>
      </c>
      <c r="E36" s="468">
        <f t="shared" si="21"/>
        <v>0</v>
      </c>
      <c r="F36" s="468">
        <f t="shared" si="21"/>
        <v>-46</v>
      </c>
      <c r="G36" s="468">
        <f t="shared" si="21"/>
        <v>-23</v>
      </c>
      <c r="H36" s="468">
        <f t="shared" si="21"/>
        <v>0</v>
      </c>
      <c r="I36" s="468">
        <f t="shared" si="21"/>
        <v>0</v>
      </c>
      <c r="J36" s="467">
        <f t="shared" si="21"/>
        <v>0</v>
      </c>
      <c r="K36" s="467">
        <f t="shared" si="21"/>
        <v>0</v>
      </c>
      <c r="L36" s="467">
        <f t="shared" si="21"/>
        <v>0</v>
      </c>
      <c r="M36" s="467">
        <f t="shared" si="21"/>
        <v>0</v>
      </c>
      <c r="N36" s="468">
        <f t="shared" si="21"/>
        <v>0</v>
      </c>
      <c r="O36" s="467">
        <f t="shared" si="21"/>
        <v>0</v>
      </c>
      <c r="P36" s="467">
        <f t="shared" si="21"/>
        <v>0</v>
      </c>
      <c r="Q36" s="467">
        <f t="shared" si="21"/>
        <v>0</v>
      </c>
      <c r="R36" s="467">
        <f t="shared" si="21"/>
        <v>0</v>
      </c>
      <c r="S36" s="468">
        <f t="shared" si="21"/>
        <v>0</v>
      </c>
      <c r="T36" s="467">
        <f t="shared" si="21"/>
        <v>0</v>
      </c>
      <c r="U36" s="467">
        <f t="shared" si="21"/>
        <v>0</v>
      </c>
      <c r="V36" s="467">
        <f t="shared" si="21"/>
        <v>0</v>
      </c>
      <c r="W36" s="467">
        <f t="shared" si="21"/>
        <v>0</v>
      </c>
      <c r="X36" s="468">
        <f t="shared" si="21"/>
        <v>0</v>
      </c>
      <c r="Y36" s="467">
        <f t="shared" si="21"/>
        <v>0</v>
      </c>
      <c r="Z36" s="467">
        <f t="shared" si="21"/>
        <v>0</v>
      </c>
      <c r="AA36" s="467">
        <f t="shared" si="21"/>
        <v>0</v>
      </c>
      <c r="AB36" s="467">
        <f t="shared" si="21"/>
        <v>0</v>
      </c>
      <c r="AC36" s="468">
        <f t="shared" si="21"/>
        <v>0</v>
      </c>
      <c r="AD36" s="467">
        <f t="shared" si="21"/>
        <v>0</v>
      </c>
      <c r="AE36" s="467">
        <f t="shared" si="21"/>
        <v>0</v>
      </c>
      <c r="AF36" s="467">
        <f t="shared" si="21"/>
        <v>0</v>
      </c>
      <c r="AG36" s="467">
        <f t="shared" si="21"/>
        <v>0</v>
      </c>
      <c r="AH36" s="468">
        <f t="shared" si="21"/>
        <v>0</v>
      </c>
      <c r="AI36" s="467">
        <f t="shared" ref="AI36:BN36" si="22">SUM(AI34:AI35)</f>
        <v>0</v>
      </c>
      <c r="AJ36" s="467">
        <f t="shared" si="22"/>
        <v>0</v>
      </c>
      <c r="AK36" s="467">
        <f t="shared" si="22"/>
        <v>0</v>
      </c>
      <c r="AL36" s="467">
        <f t="shared" si="22"/>
        <v>0</v>
      </c>
      <c r="AM36" s="468">
        <f t="shared" si="22"/>
        <v>0</v>
      </c>
      <c r="AN36" s="467">
        <f t="shared" si="22"/>
        <v>0</v>
      </c>
      <c r="AO36" s="467">
        <f t="shared" si="22"/>
        <v>0</v>
      </c>
      <c r="AP36" s="467">
        <f t="shared" si="22"/>
        <v>0</v>
      </c>
      <c r="AQ36" s="467">
        <f t="shared" si="22"/>
        <v>0</v>
      </c>
      <c r="AR36" s="468">
        <f t="shared" si="22"/>
        <v>0</v>
      </c>
      <c r="AS36" s="467">
        <f t="shared" si="22"/>
        <v>0</v>
      </c>
      <c r="AT36" s="467">
        <f t="shared" si="22"/>
        <v>0</v>
      </c>
      <c r="AU36" s="467">
        <f t="shared" si="22"/>
        <v>0</v>
      </c>
      <c r="AV36" s="467">
        <f t="shared" si="22"/>
        <v>0</v>
      </c>
      <c r="AW36" s="468">
        <f t="shared" si="22"/>
        <v>0</v>
      </c>
      <c r="AX36" s="467">
        <f t="shared" si="22"/>
        <v>0</v>
      </c>
      <c r="AY36" s="467">
        <f t="shared" si="22"/>
        <v>0</v>
      </c>
      <c r="AZ36" s="467">
        <f t="shared" si="22"/>
        <v>0</v>
      </c>
      <c r="BA36" s="467">
        <f t="shared" si="22"/>
        <v>0</v>
      </c>
      <c r="BB36" s="468">
        <f t="shared" si="22"/>
        <v>0</v>
      </c>
      <c r="BC36" s="467">
        <f t="shared" si="22"/>
        <v>0</v>
      </c>
      <c r="BD36" s="467">
        <f t="shared" si="22"/>
        <v>0</v>
      </c>
      <c r="BE36" s="467">
        <f t="shared" si="22"/>
        <v>0</v>
      </c>
      <c r="BF36" s="467">
        <f t="shared" si="22"/>
        <v>0</v>
      </c>
      <c r="BG36" s="468">
        <f t="shared" si="22"/>
        <v>0</v>
      </c>
      <c r="BH36" s="467">
        <f t="shared" si="22"/>
        <v>0</v>
      </c>
      <c r="BI36" s="467">
        <f t="shared" si="22"/>
        <v>0</v>
      </c>
      <c r="BJ36" s="467">
        <f t="shared" si="22"/>
        <v>0</v>
      </c>
      <c r="BK36" s="467">
        <f t="shared" si="22"/>
        <v>0</v>
      </c>
      <c r="BL36" s="468">
        <f t="shared" si="22"/>
        <v>0</v>
      </c>
      <c r="BM36" s="467">
        <f t="shared" si="22"/>
        <v>0</v>
      </c>
      <c r="BN36" s="467">
        <f t="shared" si="22"/>
        <v>0</v>
      </c>
      <c r="BO36" s="467">
        <f t="shared" ref="BO36:CS36" si="23">SUM(BO34:BO35)</f>
        <v>0</v>
      </c>
      <c r="BP36" s="467">
        <f t="shared" si="23"/>
        <v>0</v>
      </c>
      <c r="BQ36" s="468">
        <f t="shared" si="23"/>
        <v>0</v>
      </c>
      <c r="BR36" s="467">
        <f t="shared" si="23"/>
        <v>0</v>
      </c>
      <c r="BS36" s="467">
        <f t="shared" si="23"/>
        <v>0</v>
      </c>
      <c r="BT36" s="467">
        <f t="shared" si="23"/>
        <v>0</v>
      </c>
      <c r="BU36" s="467">
        <f t="shared" si="23"/>
        <v>0</v>
      </c>
      <c r="BV36" s="468">
        <f t="shared" si="23"/>
        <v>0</v>
      </c>
      <c r="BW36" s="467">
        <f t="shared" si="23"/>
        <v>0</v>
      </c>
      <c r="BX36" s="467">
        <f t="shared" si="23"/>
        <v>0</v>
      </c>
      <c r="BY36" s="467">
        <f t="shared" si="23"/>
        <v>0</v>
      </c>
      <c r="BZ36" s="467">
        <f t="shared" si="23"/>
        <v>0</v>
      </c>
      <c r="CA36" s="468">
        <f t="shared" si="23"/>
        <v>0</v>
      </c>
      <c r="CB36" s="467">
        <f t="shared" si="23"/>
        <v>0</v>
      </c>
      <c r="CC36" s="467">
        <f t="shared" si="23"/>
        <v>0</v>
      </c>
      <c r="CD36" s="467">
        <f t="shared" si="23"/>
        <v>0</v>
      </c>
      <c r="CE36" s="467">
        <f t="shared" si="23"/>
        <v>0</v>
      </c>
      <c r="CF36" s="468">
        <f t="shared" si="23"/>
        <v>0</v>
      </c>
      <c r="CG36" s="467">
        <f t="shared" si="23"/>
        <v>0</v>
      </c>
      <c r="CH36" s="467">
        <f t="shared" si="23"/>
        <v>0</v>
      </c>
      <c r="CI36" s="467">
        <f t="shared" si="23"/>
        <v>0</v>
      </c>
      <c r="CJ36" s="467">
        <f t="shared" si="23"/>
        <v>0</v>
      </c>
      <c r="CK36" s="468">
        <f t="shared" si="23"/>
        <v>0</v>
      </c>
      <c r="CL36" s="467">
        <f t="shared" si="23"/>
        <v>0</v>
      </c>
      <c r="CM36" s="467">
        <f t="shared" si="23"/>
        <v>0</v>
      </c>
      <c r="CN36" s="467">
        <f t="shared" si="23"/>
        <v>0</v>
      </c>
      <c r="CO36" s="467">
        <f t="shared" si="23"/>
        <v>0</v>
      </c>
      <c r="CP36" s="468">
        <f t="shared" si="23"/>
        <v>0</v>
      </c>
      <c r="CQ36" s="468">
        <f t="shared" si="23"/>
        <v>0</v>
      </c>
      <c r="CR36" s="468">
        <f t="shared" si="23"/>
        <v>0</v>
      </c>
      <c r="CS36" s="468">
        <f t="shared" si="23"/>
        <v>0</v>
      </c>
    </row>
    <row r="37" spans="1:97">
      <c r="C37" s="444"/>
      <c r="D37" s="444"/>
      <c r="E37" s="444"/>
      <c r="F37" s="444"/>
      <c r="G37" s="444"/>
      <c r="H37" s="444"/>
      <c r="I37" s="444"/>
      <c r="N37" s="444"/>
      <c r="S37" s="444"/>
      <c r="X37" s="444"/>
      <c r="AC37" s="444"/>
      <c r="AH37" s="444"/>
      <c r="AL37" s="471"/>
      <c r="AM37" s="472"/>
      <c r="AN37" s="471"/>
      <c r="AO37" s="471"/>
      <c r="AQ37" s="471"/>
      <c r="AR37" s="472"/>
      <c r="AS37" s="471"/>
      <c r="AT37" s="471"/>
      <c r="AU37" s="471"/>
      <c r="AV37" s="471"/>
      <c r="AW37" s="473"/>
      <c r="AX37" s="471"/>
      <c r="AY37" s="471"/>
      <c r="AZ37" s="471"/>
      <c r="BA37" s="471"/>
      <c r="BB37" s="473"/>
      <c r="BC37" s="471"/>
      <c r="BD37" s="471"/>
      <c r="BE37" s="471"/>
      <c r="BF37" s="471"/>
      <c r="BG37" s="473"/>
      <c r="BH37" s="471"/>
      <c r="BI37" s="471"/>
      <c r="BJ37" s="471"/>
      <c r="BK37" s="471"/>
      <c r="BL37" s="473"/>
      <c r="BM37" s="471"/>
      <c r="BN37" s="471"/>
      <c r="BO37" s="471"/>
      <c r="BP37" s="471"/>
      <c r="BQ37" s="473"/>
      <c r="BR37" s="471"/>
      <c r="BS37" s="471"/>
      <c r="BT37" s="471"/>
      <c r="BU37" s="471"/>
      <c r="BV37" s="473"/>
      <c r="BW37" s="471"/>
      <c r="BX37" s="471"/>
      <c r="BY37" s="471"/>
      <c r="BZ37" s="471"/>
      <c r="CA37" s="473"/>
      <c r="CB37" s="471"/>
      <c r="CC37" s="471"/>
      <c r="CD37" s="471"/>
      <c r="CE37" s="471"/>
      <c r="CF37" s="473"/>
      <c r="CG37" s="471"/>
      <c r="CH37" s="471"/>
      <c r="CI37" s="471"/>
      <c r="CJ37" s="471"/>
      <c r="CK37" s="474"/>
      <c r="CL37" s="471"/>
      <c r="CM37" s="471"/>
      <c r="CN37" s="471"/>
      <c r="CO37" s="471"/>
      <c r="CP37" s="473"/>
      <c r="CQ37" s="473"/>
      <c r="CR37" s="473"/>
      <c r="CS37" s="473"/>
    </row>
    <row r="38" spans="1:97" s="476" customFormat="1">
      <c r="A38" s="433"/>
      <c r="B38" s="446" t="s">
        <v>119</v>
      </c>
      <c r="C38" s="475"/>
      <c r="D38" s="475"/>
      <c r="E38" s="475"/>
      <c r="F38" s="475"/>
      <c r="G38" s="475"/>
      <c r="H38" s="475"/>
      <c r="I38" s="475"/>
      <c r="N38" s="475"/>
      <c r="S38" s="475"/>
      <c r="X38" s="475"/>
      <c r="AC38" s="475"/>
      <c r="AH38" s="475"/>
      <c r="AM38" s="475"/>
      <c r="AR38" s="475"/>
      <c r="AW38" s="475"/>
      <c r="BB38" s="475"/>
      <c r="BG38" s="475"/>
      <c r="BL38" s="475"/>
      <c r="BQ38" s="475"/>
      <c r="BV38" s="475"/>
      <c r="CA38" s="475"/>
      <c r="CF38" s="475"/>
      <c r="CK38" s="475"/>
      <c r="CP38" s="475"/>
      <c r="CQ38" s="475"/>
      <c r="CR38" s="475"/>
      <c r="CS38" s="475"/>
    </row>
    <row r="39" spans="1:97" s="476" customFormat="1">
      <c r="A39" s="433"/>
      <c r="B39" s="433" t="s">
        <v>90</v>
      </c>
      <c r="C39" s="475"/>
      <c r="D39" s="475" t="str">
        <f>IF(ISERROR((#REF!-D34-D29)/(#REF!-C34)-1),"",(#REF!-D34-D29)/(#REF!-C34)-1)</f>
        <v/>
      </c>
      <c r="E39" s="475" t="str">
        <f>IF(ISERROR((#REF!-E34-E29)/(#REF!-D34)-1),"",(#REF!-E34-E29)/(#REF!-D34)-1)</f>
        <v/>
      </c>
      <c r="F39" s="475" t="str">
        <f>IF(ISERROR((#REF!-F34-F29)/(#REF!-E34)-1),"",(#REF!-F34-F29)/(#REF!-E34)-1)</f>
        <v/>
      </c>
      <c r="G39" s="475" t="str">
        <f>IF(ISERROR((#REF!-G34-G29)/(#REF!-F34)-1),"",(#REF!-G34-G29)/(#REF!-F34)-1)</f>
        <v/>
      </c>
      <c r="H39" s="475" t="str">
        <f>IF(ISERROR((#REF!-H34-H29)/(#REF!-G34)-1),"",(#REF!-H34-H29)/(#REF!-G34)-1)</f>
        <v/>
      </c>
      <c r="I39" s="475" t="str">
        <f>IF(ISERROR((#REF!-I34-I29)/(#REF!-H34)-1),"",(#REF!-I34-I29)/(#REF!-H34)-1)</f>
        <v/>
      </c>
      <c r="N39" s="475" t="str">
        <f t="shared" ref="N39:AS39" si="24">IF(ISERROR((N13-N29-N34)/(I13)-1),"",((N13-N29-N34)/(I13)-1))</f>
        <v/>
      </c>
      <c r="O39" s="476" t="str">
        <f t="shared" si="24"/>
        <v/>
      </c>
      <c r="P39" s="476" t="str">
        <f t="shared" si="24"/>
        <v/>
      </c>
      <c r="Q39" s="476" t="str">
        <f t="shared" si="24"/>
        <v/>
      </c>
      <c r="R39" s="476" t="str">
        <f t="shared" si="24"/>
        <v/>
      </c>
      <c r="S39" s="475" t="str">
        <f t="shared" si="24"/>
        <v/>
      </c>
      <c r="T39" s="476" t="str">
        <f t="shared" si="24"/>
        <v/>
      </c>
      <c r="U39" s="476" t="str">
        <f t="shared" si="24"/>
        <v/>
      </c>
      <c r="V39" s="476" t="str">
        <f t="shared" si="24"/>
        <v/>
      </c>
      <c r="W39" s="476" t="str">
        <f t="shared" si="24"/>
        <v/>
      </c>
      <c r="X39" s="475" t="str">
        <f t="shared" si="24"/>
        <v/>
      </c>
      <c r="Y39" s="476">
        <f t="shared" si="24"/>
        <v>-5.5861526357199209E-2</v>
      </c>
      <c r="Z39" s="476">
        <f t="shared" si="24"/>
        <v>5.7658450704225483E-2</v>
      </c>
      <c r="AA39" s="476">
        <f t="shared" si="24"/>
        <v>0.13196480938416433</v>
      </c>
      <c r="AB39" s="476">
        <f t="shared" si="24"/>
        <v>3.1652989449003632E-2</v>
      </c>
      <c r="AC39" s="475">
        <f t="shared" si="24"/>
        <v>3.6097250238878775E-2</v>
      </c>
      <c r="AD39" s="476">
        <f t="shared" si="24"/>
        <v>0.20374999999999988</v>
      </c>
      <c r="AE39" s="476">
        <f t="shared" si="24"/>
        <v>0.26217228464419473</v>
      </c>
      <c r="AF39" s="476">
        <f t="shared" si="24"/>
        <v>0.19948186528497414</v>
      </c>
      <c r="AG39" s="476">
        <f t="shared" si="24"/>
        <v>-7.0454545454545103E-2</v>
      </c>
      <c r="AH39" s="475">
        <f t="shared" si="24"/>
        <v>0.14294497387027372</v>
      </c>
      <c r="AI39" s="476">
        <f t="shared" si="24"/>
        <v>-0.12253374870197298</v>
      </c>
      <c r="AJ39" s="476">
        <f t="shared" si="24"/>
        <v>-0.27398615232443135</v>
      </c>
      <c r="AK39" s="476">
        <f t="shared" si="24"/>
        <v>-0.27285817134629231</v>
      </c>
      <c r="AL39" s="476">
        <f t="shared" si="24"/>
        <v>-0.15199674001630026</v>
      </c>
      <c r="AM39" s="475">
        <f t="shared" si="24"/>
        <v>-0.207638515330823</v>
      </c>
      <c r="AN39" s="476">
        <f t="shared" si="24"/>
        <v>-0.17435897435897429</v>
      </c>
      <c r="AO39" s="476">
        <f t="shared" si="24"/>
        <v>0.13714804722979124</v>
      </c>
      <c r="AP39" s="476">
        <f t="shared" si="24"/>
        <v>0.16039603960396032</v>
      </c>
      <c r="AQ39" s="476">
        <f t="shared" si="24"/>
        <v>0.19702066314272004</v>
      </c>
      <c r="AR39" s="475">
        <f t="shared" si="24"/>
        <v>6.720977596741351E-2</v>
      </c>
      <c r="AS39" s="476">
        <f t="shared" si="24"/>
        <v>0.29096989966555165</v>
      </c>
      <c r="AT39" s="476">
        <f t="shared" ref="AT39:BY39" si="25">IF(ISERROR((AT13-AT29-AT34)/(AO13)-1),"",((AT13-AT29-AT34)/(AO13)-1))</f>
        <v>0.16094249201277955</v>
      </c>
      <c r="AU39" s="476">
        <f t="shared" si="25"/>
        <v>0.18174061433447086</v>
      </c>
      <c r="AV39" s="476">
        <f t="shared" si="25"/>
        <v>0.1657968687274185</v>
      </c>
      <c r="AW39" s="477">
        <f t="shared" si="25"/>
        <v>0.19624681933842236</v>
      </c>
      <c r="AX39" s="476">
        <f t="shared" si="25"/>
        <v>0.22908956328645469</v>
      </c>
      <c r="AY39" s="476">
        <f t="shared" si="25"/>
        <v>0.14069487444100459</v>
      </c>
      <c r="AZ39" s="476">
        <f t="shared" si="25"/>
        <v>0.13321299638989159</v>
      </c>
      <c r="BA39" s="476">
        <f t="shared" si="25"/>
        <v>6.7837465564738464E-2</v>
      </c>
      <c r="BB39" s="477">
        <f t="shared" si="25"/>
        <v>0.1412744837365949</v>
      </c>
      <c r="BC39" s="476">
        <f t="shared" si="25"/>
        <v>2.8304727491719195E-2</v>
      </c>
      <c r="BD39" s="476">
        <f t="shared" si="25"/>
        <v>3.347406513872131E-2</v>
      </c>
      <c r="BE39" s="476">
        <f t="shared" si="25"/>
        <v>5.033450143357765E-2</v>
      </c>
      <c r="BF39" s="476">
        <f t="shared" si="25"/>
        <v>9.9645275717510362E-2</v>
      </c>
      <c r="BG39" s="475">
        <f t="shared" si="25"/>
        <v>5.2186068183583068E-2</v>
      </c>
      <c r="BH39" s="476">
        <f t="shared" si="25"/>
        <v>9.7510980966325045E-2</v>
      </c>
      <c r="BI39" s="476">
        <f t="shared" si="25"/>
        <v>0.10825795156113216</v>
      </c>
      <c r="BJ39" s="476">
        <f t="shared" si="25"/>
        <v>8.9778586593873388E-2</v>
      </c>
      <c r="BK39" s="476">
        <f t="shared" si="25"/>
        <v>9.5894428152492717E-2</v>
      </c>
      <c r="BL39" s="477">
        <f t="shared" si="25"/>
        <v>9.7940807439663491E-2</v>
      </c>
      <c r="BM39" s="476">
        <f t="shared" si="25"/>
        <v>3.4685165421558084E-2</v>
      </c>
      <c r="BN39" s="476">
        <f t="shared" si="25"/>
        <v>3.5808320168509544E-2</v>
      </c>
      <c r="BO39" s="476">
        <f t="shared" si="25"/>
        <v>1.1132758140829146E-2</v>
      </c>
      <c r="BP39" s="476">
        <f t="shared" si="25"/>
        <v>2.9167781643029356E-2</v>
      </c>
      <c r="BQ39" s="477">
        <f t="shared" si="25"/>
        <v>2.789728421618709E-2</v>
      </c>
      <c r="BR39" s="476">
        <f t="shared" si="25"/>
        <v>4.1516245487364767E-2</v>
      </c>
      <c r="BS39" s="476">
        <f t="shared" si="25"/>
        <v>0.1037112353838332</v>
      </c>
      <c r="BT39" s="476">
        <f t="shared" si="25"/>
        <v>0.11312964492155242</v>
      </c>
      <c r="BU39" s="476">
        <f t="shared" si="25"/>
        <v>2.7301092043681807E-2</v>
      </c>
      <c r="BV39" s="477">
        <f t="shared" si="25"/>
        <v>7.0956771957360498E-2</v>
      </c>
      <c r="BW39" s="476">
        <f t="shared" si="25"/>
        <v>-2.2469195457839986E-2</v>
      </c>
      <c r="BX39" s="476">
        <f t="shared" si="25"/>
        <v>-7.1589374155785701E-2</v>
      </c>
      <c r="BY39" s="476">
        <f t="shared" si="25"/>
        <v>2.1718146718148201E-3</v>
      </c>
      <c r="BZ39" s="476">
        <f t="shared" ref="BZ39:CP39" si="26">IF(ISERROR((BZ13-BZ29-BZ34)/(BU13)-1),"",((BZ13-BZ29-BZ34)/(BU13)-1))</f>
        <v>4.2705504813626227E-2</v>
      </c>
      <c r="CA39" s="477">
        <f t="shared" si="26"/>
        <v>-1.3650453028135501E-2</v>
      </c>
      <c r="CB39" s="476">
        <f t="shared" si="26"/>
        <v>0.13148788927335642</v>
      </c>
      <c r="CC39" s="476">
        <f t="shared" si="26"/>
        <v>0.1132395732298741</v>
      </c>
      <c r="CD39" s="476">
        <f t="shared" si="26"/>
        <v>6.6698771972068416E-2</v>
      </c>
      <c r="CE39" s="476">
        <f t="shared" si="26"/>
        <v>8.5901027077497805E-2</v>
      </c>
      <c r="CF39" s="477">
        <f t="shared" si="26"/>
        <v>9.8994399951827683E-2</v>
      </c>
      <c r="CG39" s="476">
        <f t="shared" si="26"/>
        <v>9.2927986200948665E-2</v>
      </c>
      <c r="CH39" s="476">
        <f t="shared" si="26"/>
        <v>8.4531216477150783E-2</v>
      </c>
      <c r="CI39" s="476">
        <f t="shared" si="26"/>
        <v>4.7333333333333449E-2</v>
      </c>
      <c r="CJ39" s="476">
        <f t="shared" si="26"/>
        <v>-5.1590713671538779E-3</v>
      </c>
      <c r="CK39" s="477">
        <f t="shared" si="26"/>
        <v>5.4956370928404885E-2</v>
      </c>
      <c r="CL39" s="476">
        <f t="shared" si="26"/>
        <v>-8.6013020319589573E-2</v>
      </c>
      <c r="CM39" s="476">
        <f t="shared" si="26"/>
        <v>-0.47241467853610286</v>
      </c>
      <c r="CN39" s="476">
        <f t="shared" si="26"/>
        <v>-0.35060653511563755</v>
      </c>
      <c r="CO39" s="476">
        <f t="shared" si="26"/>
        <v>-0.22551499567847877</v>
      </c>
      <c r="CP39" s="477">
        <f t="shared" si="26"/>
        <v>-0.28359353711790392</v>
      </c>
      <c r="CQ39" s="477">
        <f>IF(ISERROR((CQ13-CQ29-CQ34)/(CP13)-1),"",((CQ13-CQ29-CQ34)/(CP13)-1))</f>
        <v>7.9680127256712696E-2</v>
      </c>
      <c r="CR39" s="477">
        <f>IF(ISERROR((CR13-CR29-CR34)/(CQ13)-1),"",((CR13-CR29-CR34)/(CQ13)-1))</f>
        <v>8.543875016625746E-2</v>
      </c>
      <c r="CS39" s="477">
        <f>IF(ISERROR((CS13-CS29-CS34)/(CR13)-1),"",((CS13-CS29-CS34)/(CR13)-1))</f>
        <v>9.8717729306971647E-2</v>
      </c>
    </row>
    <row r="40" spans="1:97" s="476" customFormat="1">
      <c r="A40" s="433"/>
      <c r="B40" s="433" t="s">
        <v>91</v>
      </c>
      <c r="C40" s="475"/>
      <c r="D40" s="475" t="str">
        <f>IF(ISERROR((#REF!-D35-D30)/(#REF!-C35)-1),"",(#REF!-D35-D30)/(#REF!-C35)-1)</f>
        <v/>
      </c>
      <c r="E40" s="475" t="str">
        <f>IF(ISERROR((#REF!-E35-E30)/(#REF!-D35)-1),"",(#REF!-E35-E30)/(#REF!-D35)-1)</f>
        <v/>
      </c>
      <c r="F40" s="475" t="str">
        <f>IF(ISERROR((#REF!-F35-F30)/(#REF!-E35)-1),"",(#REF!-F35-F30)/(#REF!-E35)-1)</f>
        <v/>
      </c>
      <c r="G40" s="475" t="str">
        <f>IF(ISERROR((#REF!-G35-G30)/(#REF!-F35)-1),"",(#REF!-G35-G30)/(#REF!-F35)-1)</f>
        <v/>
      </c>
      <c r="H40" s="475" t="str">
        <f>IF(ISERROR((#REF!-H35-H30)/(#REF!-G35)-1),"",(#REF!-H35-H30)/(#REF!-G35)-1)</f>
        <v/>
      </c>
      <c r="I40" s="475" t="str">
        <f>IF(ISERROR((#REF!-I35-I30)/(#REF!-H35)-1),"",(#REF!-I35-I30)/(#REF!-H35)-1)</f>
        <v/>
      </c>
      <c r="N40" s="475" t="str">
        <f t="shared" ref="N40:AS40" si="27">IF(ISERROR((N19-N30-N35)/(I19)-1),"",(N19-N30-N35)/(I19)-1)</f>
        <v/>
      </c>
      <c r="O40" s="476" t="str">
        <f t="shared" si="27"/>
        <v/>
      </c>
      <c r="P40" s="476" t="str">
        <f t="shared" si="27"/>
        <v/>
      </c>
      <c r="Q40" s="476" t="str">
        <f t="shared" si="27"/>
        <v/>
      </c>
      <c r="R40" s="476" t="str">
        <f t="shared" si="27"/>
        <v/>
      </c>
      <c r="S40" s="475" t="str">
        <f t="shared" si="27"/>
        <v/>
      </c>
      <c r="T40" s="476" t="str">
        <f t="shared" si="27"/>
        <v/>
      </c>
      <c r="U40" s="476" t="str">
        <f t="shared" si="27"/>
        <v/>
      </c>
      <c r="V40" s="476" t="str">
        <f t="shared" si="27"/>
        <v/>
      </c>
      <c r="W40" s="476" t="str">
        <f t="shared" si="27"/>
        <v/>
      </c>
      <c r="X40" s="475" t="str">
        <f t="shared" si="27"/>
        <v/>
      </c>
      <c r="Y40" s="476">
        <f t="shared" si="27"/>
        <v>-0.27023319615912211</v>
      </c>
      <c r="Z40" s="476">
        <f t="shared" si="27"/>
        <v>0.25641025641025639</v>
      </c>
      <c r="AA40" s="476">
        <f t="shared" si="27"/>
        <v>0.20545073375262057</v>
      </c>
      <c r="AB40" s="476">
        <f t="shared" si="27"/>
        <v>6.4724919093852584E-3</v>
      </c>
      <c r="AC40" s="475">
        <f t="shared" si="27"/>
        <v>1.0907504363001808E-2</v>
      </c>
      <c r="AD40" s="476">
        <f t="shared" si="27"/>
        <v>0.25751879699248126</v>
      </c>
      <c r="AE40" s="476">
        <f t="shared" si="27"/>
        <v>0.13945578231292521</v>
      </c>
      <c r="AF40" s="476">
        <f t="shared" si="27"/>
        <v>9.2173913043478217E-2</v>
      </c>
      <c r="AG40" s="476">
        <f t="shared" si="27"/>
        <v>-0.14308681672025692</v>
      </c>
      <c r="AH40" s="475">
        <f t="shared" si="27"/>
        <v>7.8981441519205831E-2</v>
      </c>
      <c r="AI40" s="476">
        <f t="shared" si="27"/>
        <v>-5.9790732436472482E-2</v>
      </c>
      <c r="AJ40" s="476">
        <f t="shared" si="27"/>
        <v>-5.2238805970149294E-2</v>
      </c>
      <c r="AK40" s="476">
        <f t="shared" si="27"/>
        <v>-2.2292993630573243E-2</v>
      </c>
      <c r="AL40" s="476">
        <f t="shared" si="27"/>
        <v>0.20075046904315164</v>
      </c>
      <c r="AM40" s="475">
        <f t="shared" si="27"/>
        <v>7.2000000000000952E-3</v>
      </c>
      <c r="AN40" s="476">
        <f t="shared" si="27"/>
        <v>-4.7694753577106619E-3</v>
      </c>
      <c r="AO40" s="476">
        <f t="shared" si="27"/>
        <v>4.7244094488188892E-2</v>
      </c>
      <c r="AP40" s="476">
        <f t="shared" si="27"/>
        <v>0.13843648208469062</v>
      </c>
      <c r="AQ40" s="476">
        <f t="shared" si="27"/>
        <v>0.10468749999999982</v>
      </c>
      <c r="AR40" s="475">
        <f t="shared" si="27"/>
        <v>7.1088165210484444E-2</v>
      </c>
      <c r="AS40" s="476">
        <f t="shared" si="27"/>
        <v>0.20766773162939289</v>
      </c>
      <c r="AT40" s="476">
        <f t="shared" ref="AT40:BY40" si="28">IF(ISERROR((AT19-AT30-AT35)/(AO19)-1),"",(AT19-AT30-AT35)/(AO19)-1)</f>
        <v>0.15939849624060165</v>
      </c>
      <c r="AU40" s="476">
        <f t="shared" si="28"/>
        <v>0.28326180257510725</v>
      </c>
      <c r="AV40" s="476">
        <f t="shared" si="28"/>
        <v>9.052333804809054E-2</v>
      </c>
      <c r="AW40" s="477">
        <f t="shared" si="28"/>
        <v>0.18464961067853181</v>
      </c>
      <c r="AX40" s="476">
        <f t="shared" si="28"/>
        <v>0.11111111111111116</v>
      </c>
      <c r="AY40" s="476">
        <f t="shared" si="28"/>
        <v>7.2632944228274932E-2</v>
      </c>
      <c r="AZ40" s="476">
        <f t="shared" si="28"/>
        <v>3.2329988851727887E-2</v>
      </c>
      <c r="BA40" s="476">
        <f t="shared" si="28"/>
        <v>0.16731517509727634</v>
      </c>
      <c r="BB40" s="477">
        <f t="shared" si="28"/>
        <v>9.3270735524256576E-2</v>
      </c>
      <c r="BC40" s="476">
        <f t="shared" si="28"/>
        <v>9.8809523809523681E-2</v>
      </c>
      <c r="BD40" s="476">
        <f t="shared" si="28"/>
        <v>0.18984280532043529</v>
      </c>
      <c r="BE40" s="476">
        <f t="shared" si="28"/>
        <v>7.7753779697624203E-2</v>
      </c>
      <c r="BF40" s="476">
        <f t="shared" si="28"/>
        <v>0.1399999999999999</v>
      </c>
      <c r="BG40" s="475">
        <f t="shared" si="28"/>
        <v>0.12539364443172074</v>
      </c>
      <c r="BH40" s="476">
        <f t="shared" si="28"/>
        <v>0.14301191765980503</v>
      </c>
      <c r="BI40" s="476">
        <f t="shared" si="28"/>
        <v>0.10772357723577231</v>
      </c>
      <c r="BJ40" s="476">
        <f t="shared" si="28"/>
        <v>9.6192384769539174E-2</v>
      </c>
      <c r="BK40" s="476">
        <f t="shared" si="28"/>
        <v>9.6491228070175517E-2</v>
      </c>
      <c r="BL40" s="477">
        <f t="shared" si="28"/>
        <v>0.11015008903586865</v>
      </c>
      <c r="BM40" s="476">
        <f t="shared" si="28"/>
        <v>-9.4786729857819774E-3</v>
      </c>
      <c r="BN40" s="476">
        <f t="shared" si="28"/>
        <v>-6.2385321100917435E-2</v>
      </c>
      <c r="BO40" s="476">
        <f t="shared" si="28"/>
        <v>-7.312614259597805E-2</v>
      </c>
      <c r="BP40" s="476">
        <f t="shared" si="28"/>
        <v>-8.5333333333333261E-2</v>
      </c>
      <c r="BQ40" s="477">
        <f t="shared" si="28"/>
        <v>-5.8203483043079651E-2</v>
      </c>
      <c r="BR40" s="476">
        <f t="shared" si="28"/>
        <v>-2.4880382775119614E-2</v>
      </c>
      <c r="BS40" s="476">
        <f t="shared" si="28"/>
        <v>-4.7945205479452135E-2</v>
      </c>
      <c r="BT40" s="476">
        <f t="shared" si="28"/>
        <v>8.8757396449703485E-3</v>
      </c>
      <c r="BU40" s="476">
        <f t="shared" si="28"/>
        <v>-9.7181729834791009E-2</v>
      </c>
      <c r="BV40" s="477">
        <f t="shared" si="28"/>
        <v>-4.038929440389305E-2</v>
      </c>
      <c r="BW40" s="476">
        <f t="shared" si="28"/>
        <v>-0.10402355250245343</v>
      </c>
      <c r="BX40" s="476">
        <f t="shared" si="28"/>
        <v>-3.3915724563206573E-2</v>
      </c>
      <c r="BY40" s="476">
        <f t="shared" si="28"/>
        <v>-9.4819159335288394E-2</v>
      </c>
      <c r="BZ40" s="476">
        <f t="shared" ref="BZ40:CP40" si="29">IF(ISERROR((BZ19-BZ30-BZ35)/(BU19)-1),"",(BZ19-BZ30-BZ35)/(BU19)-1)</f>
        <v>6.2432723358449849E-2</v>
      </c>
      <c r="CA40" s="477">
        <f t="shared" si="29"/>
        <v>-4.5131845841784979E-2</v>
      </c>
      <c r="CB40" s="476">
        <f t="shared" si="29"/>
        <v>4.6002190580503921E-2</v>
      </c>
      <c r="CC40" s="476">
        <f t="shared" si="29"/>
        <v>8.1914893617021312E-2</v>
      </c>
      <c r="CD40" s="476">
        <f t="shared" si="29"/>
        <v>0.16306695464362853</v>
      </c>
      <c r="CE40" s="476">
        <f t="shared" si="29"/>
        <v>0.15298885511651461</v>
      </c>
      <c r="CF40" s="477">
        <f t="shared" si="29"/>
        <v>0.11178969729155619</v>
      </c>
      <c r="CG40" s="476">
        <f t="shared" si="29"/>
        <v>0.14973821989528791</v>
      </c>
      <c r="CH40" s="476">
        <f t="shared" si="29"/>
        <v>0.10619469026548667</v>
      </c>
      <c r="CI40" s="476">
        <f t="shared" si="29"/>
        <v>3.5283194057567302E-2</v>
      </c>
      <c r="CJ40" s="476">
        <f t="shared" si="29"/>
        <v>-2.8119507908611618E-2</v>
      </c>
      <c r="CK40" s="477">
        <f t="shared" si="29"/>
        <v>6.1380463338906122E-2</v>
      </c>
      <c r="CL40" s="476">
        <f t="shared" si="29"/>
        <v>-0.15780866721177433</v>
      </c>
      <c r="CM40" s="476">
        <f t="shared" si="29"/>
        <v>-0.56502703999999992</v>
      </c>
      <c r="CN40" s="476">
        <f t="shared" si="29"/>
        <v>-0.48253927710843381</v>
      </c>
      <c r="CO40" s="476">
        <f t="shared" si="29"/>
        <v>-0.34699555921052627</v>
      </c>
      <c r="CP40" s="477">
        <f t="shared" si="29"/>
        <v>-0.38954029185245231</v>
      </c>
      <c r="CQ40" s="477">
        <f>IF(ISERROR((CQ19-CQ30-CQ35)/(CP19)-1),"",(CQ19-CQ30-CQ35)/(CP19)-1)</f>
        <v>0.11555334875914314</v>
      </c>
      <c r="CR40" s="477">
        <f>IF(ISERROR((CR19-CR30-CR35)/(CQ19)-1),"",(CR19-CR30-CR35)/(CQ19)-1)</f>
        <v>9.9154799473490041E-2</v>
      </c>
      <c r="CS40" s="477">
        <f>IF(ISERROR((CS19-CS30-CS35)/(CR19)-1),"",(CS19-CS30-CS35)/(CR19)-1)</f>
        <v>0.11677502451172206</v>
      </c>
    </row>
    <row r="41" spans="1:97" s="476" customFormat="1">
      <c r="A41" s="433"/>
      <c r="B41" s="463" t="s">
        <v>93</v>
      </c>
      <c r="C41" s="478"/>
      <c r="D41" s="478">
        <f t="shared" ref="D41:I41" si="30">IF(ISERROR((D26-D31-D36)/(C26)-1),"",(D26-D31-D36)/(C26)-1)</f>
        <v>0.16239086348596432</v>
      </c>
      <c r="E41" s="478">
        <f t="shared" si="30"/>
        <v>5.7349381659510756E-2</v>
      </c>
      <c r="F41" s="478">
        <f t="shared" si="30"/>
        <v>-4.3247937472861486E-2</v>
      </c>
      <c r="G41" s="478">
        <f t="shared" si="30"/>
        <v>-2.2070664014397945E-2</v>
      </c>
      <c r="H41" s="478">
        <f t="shared" si="30"/>
        <v>-0.15712304339211414</v>
      </c>
      <c r="I41" s="478">
        <f t="shared" si="30"/>
        <v>5.4184297132110926E-2</v>
      </c>
      <c r="J41" s="479"/>
      <c r="K41" s="479"/>
      <c r="L41" s="479"/>
      <c r="M41" s="479"/>
      <c r="N41" s="478">
        <f t="shared" ref="N41:AS41" si="31">IF(ISERROR((N26-N31-N36)/(I26)-1),"",(N26-N31-N36)/(I26)-1)</f>
        <v>0.19801538633069482</v>
      </c>
      <c r="O41" s="479">
        <f t="shared" si="31"/>
        <v>0.10578386605783874</v>
      </c>
      <c r="P41" s="479">
        <f t="shared" si="31"/>
        <v>0.14364437913299044</v>
      </c>
      <c r="Q41" s="479">
        <f t="shared" si="31"/>
        <v>5.1311288483466333E-2</v>
      </c>
      <c r="R41" s="479">
        <f t="shared" si="31"/>
        <v>2.3516642547033006E-2</v>
      </c>
      <c r="S41" s="478">
        <f t="shared" si="31"/>
        <v>8.0874825500232728E-2</v>
      </c>
      <c r="T41" s="479">
        <f t="shared" si="31"/>
        <v>5.6434962147281498E-2</v>
      </c>
      <c r="U41" s="479">
        <f t="shared" si="31"/>
        <v>1.5097976228718224E-2</v>
      </c>
      <c r="V41" s="479">
        <f t="shared" si="31"/>
        <v>4.5191612436731754E-2</v>
      </c>
      <c r="W41" s="479">
        <f t="shared" si="31"/>
        <v>-6.7161541180625894E-3</v>
      </c>
      <c r="X41" s="478">
        <f t="shared" si="31"/>
        <v>2.7294644394696199E-2</v>
      </c>
      <c r="Y41" s="479">
        <f t="shared" si="31"/>
        <v>-7.9478827361563642E-2</v>
      </c>
      <c r="Z41" s="479">
        <f t="shared" si="31"/>
        <v>-8.2911392405063289E-2</v>
      </c>
      <c r="AA41" s="479">
        <f t="shared" si="31"/>
        <v>-2.7672085783465916E-2</v>
      </c>
      <c r="AB41" s="479">
        <f t="shared" si="31"/>
        <v>0.13024911032028452</v>
      </c>
      <c r="AC41" s="478">
        <f t="shared" si="31"/>
        <v>-1.8439359651328702E-2</v>
      </c>
      <c r="AD41" s="479">
        <f t="shared" si="31"/>
        <v>0.21903750884642603</v>
      </c>
      <c r="AE41" s="479">
        <f t="shared" si="31"/>
        <v>0.24051069703243622</v>
      </c>
      <c r="AF41" s="479">
        <f t="shared" si="31"/>
        <v>0.17893987904660258</v>
      </c>
      <c r="AG41" s="479">
        <f t="shared" si="31"/>
        <v>-8.8476070528966777E-2</v>
      </c>
      <c r="AH41" s="478">
        <f t="shared" si="31"/>
        <v>0.13132951925540115</v>
      </c>
      <c r="AI41" s="479">
        <f t="shared" si="31"/>
        <v>-0.10798258345428158</v>
      </c>
      <c r="AJ41" s="479">
        <f t="shared" si="31"/>
        <v>-0.22865090403337962</v>
      </c>
      <c r="AK41" s="479">
        <f t="shared" si="31"/>
        <v>-0.22420036210018124</v>
      </c>
      <c r="AL41" s="479">
        <f t="shared" si="31"/>
        <v>-7.9101899827288658E-2</v>
      </c>
      <c r="AM41" s="478">
        <f t="shared" si="31"/>
        <v>-0.16348403653105892</v>
      </c>
      <c r="AN41" s="479">
        <f t="shared" si="31"/>
        <v>-0.14415880247315294</v>
      </c>
      <c r="AO41" s="479">
        <f t="shared" si="31"/>
        <v>0.10025243418680119</v>
      </c>
      <c r="AP41" s="479">
        <f t="shared" si="31"/>
        <v>0.14546868922598222</v>
      </c>
      <c r="AQ41" s="479">
        <f t="shared" si="31"/>
        <v>0.16654163540885203</v>
      </c>
      <c r="AR41" s="478">
        <f t="shared" si="31"/>
        <v>5.8919065235044643E-2</v>
      </c>
      <c r="AS41" s="479">
        <f t="shared" si="31"/>
        <v>0.26083650190114027</v>
      </c>
      <c r="AT41" s="479">
        <f t="shared" ref="AT41:BY41" si="32">IF(ISERROR((AT26-AT31-AT36)/(AO26)-1),"",(AT26-AT31-AT36)/(AO26)-1)</f>
        <v>0.15929203539823011</v>
      </c>
      <c r="AU41" s="479">
        <f t="shared" si="32"/>
        <v>0.19456706281833624</v>
      </c>
      <c r="AV41" s="479">
        <f t="shared" si="32"/>
        <v>0.14244372990353704</v>
      </c>
      <c r="AW41" s="478">
        <f t="shared" si="32"/>
        <v>0.18643490115882733</v>
      </c>
      <c r="AX41" s="479">
        <f t="shared" si="32"/>
        <v>0.2065741857659833</v>
      </c>
      <c r="AY41" s="479">
        <f t="shared" si="32"/>
        <v>0.12864009047215164</v>
      </c>
      <c r="AZ41" s="479">
        <f t="shared" si="32"/>
        <v>0.11313246162592394</v>
      </c>
      <c r="BA41" s="479">
        <f t="shared" si="32"/>
        <v>9.0064734027582416E-2</v>
      </c>
      <c r="BB41" s="478">
        <f t="shared" si="32"/>
        <v>0.13343866704969853</v>
      </c>
      <c r="BC41" s="479">
        <f t="shared" si="32"/>
        <v>4.0989752561859438E-2</v>
      </c>
      <c r="BD41" s="479">
        <f t="shared" si="32"/>
        <v>5.8617234468937962E-2</v>
      </c>
      <c r="BE41" s="479">
        <f t="shared" si="32"/>
        <v>5.2860061287027582E-2</v>
      </c>
      <c r="BF41" s="479">
        <f t="shared" si="32"/>
        <v>0.1019881229021431</v>
      </c>
      <c r="BG41" s="478">
        <f t="shared" si="32"/>
        <v>6.3363325307312035E-2</v>
      </c>
      <c r="BH41" s="479">
        <f t="shared" si="32"/>
        <v>0.10852340936374549</v>
      </c>
      <c r="BI41" s="479">
        <f t="shared" si="32"/>
        <v>0.11239943208708003</v>
      </c>
      <c r="BJ41" s="479">
        <f t="shared" si="32"/>
        <v>9.6046568032985835E-2</v>
      </c>
      <c r="BK41" s="479">
        <f t="shared" si="32"/>
        <v>0.10543580131208996</v>
      </c>
      <c r="BL41" s="478">
        <f t="shared" si="32"/>
        <v>0.10564890954594208</v>
      </c>
      <c r="BM41" s="479">
        <f t="shared" si="32"/>
        <v>2.1875676846436987E-2</v>
      </c>
      <c r="BN41" s="479">
        <f t="shared" si="32"/>
        <v>1.1912359072537626E-2</v>
      </c>
      <c r="BO41" s="479">
        <f t="shared" si="32"/>
        <v>-6.8599247621157211E-3</v>
      </c>
      <c r="BP41" s="479">
        <f t="shared" si="32"/>
        <v>-1.46248410343367E-2</v>
      </c>
      <c r="BQ41" s="478">
        <f t="shared" si="32"/>
        <v>3.071948261923918E-3</v>
      </c>
      <c r="BR41" s="479">
        <f t="shared" si="32"/>
        <v>3.3700720644340709E-2</v>
      </c>
      <c r="BS41" s="479">
        <f t="shared" si="32"/>
        <v>7.756989699390382E-2</v>
      </c>
      <c r="BT41" s="479">
        <f t="shared" si="32"/>
        <v>9.2914438502673891E-2</v>
      </c>
      <c r="BU41" s="479">
        <f t="shared" si="32"/>
        <v>1.8498601849860297E-2</v>
      </c>
      <c r="BV41" s="480">
        <f t="shared" si="32"/>
        <v>5.5394369224156526E-2</v>
      </c>
      <c r="BW41" s="479">
        <f t="shared" si="32"/>
        <v>-3.7974683544303667E-2</v>
      </c>
      <c r="BX41" s="479">
        <f t="shared" si="32"/>
        <v>-5.9892843474933177E-2</v>
      </c>
      <c r="BY41" s="479">
        <f t="shared" si="32"/>
        <v>-1.7982017982017817E-2</v>
      </c>
      <c r="BZ41" s="479">
        <f t="shared" ref="BZ41:CP41" si="33">IF(ISERROR((BZ26-BZ31-BZ36)/(BU26)-1),"",(BZ26-BZ31-BZ36)/(BU26)-1)</f>
        <v>4.5915201654602056E-2</v>
      </c>
      <c r="CA41" s="478">
        <f t="shared" si="33"/>
        <v>-1.8460310332784613E-2</v>
      </c>
      <c r="CB41" s="479">
        <f t="shared" si="33"/>
        <v>0.11549707602339154</v>
      </c>
      <c r="CC41" s="479">
        <f t="shared" si="33"/>
        <v>0.10014247913698382</v>
      </c>
      <c r="CD41" s="479">
        <f t="shared" si="33"/>
        <v>8.5452695829094649E-2</v>
      </c>
      <c r="CE41" s="479">
        <f t="shared" si="33"/>
        <v>9.6345514950165967E-2</v>
      </c>
      <c r="CF41" s="478">
        <f t="shared" si="33"/>
        <v>9.9224649065018378E-2</v>
      </c>
      <c r="CG41" s="479">
        <f t="shared" si="33"/>
        <v>0.10609146454360308</v>
      </c>
      <c r="CH41" s="479">
        <f t="shared" si="33"/>
        <v>8.9497716894976875E-2</v>
      </c>
      <c r="CI41" s="479">
        <f t="shared" si="33"/>
        <v>3.5152636447733476E-2</v>
      </c>
      <c r="CJ41" s="479">
        <f t="shared" si="33"/>
        <v>-1.3725490196078494E-2</v>
      </c>
      <c r="CK41" s="478">
        <f t="shared" si="33"/>
        <v>5.3720707139920387E-2</v>
      </c>
      <c r="CL41" s="479">
        <f t="shared" si="33"/>
        <v>-0.11296933923594032</v>
      </c>
      <c r="CM41" s="479">
        <f t="shared" si="33"/>
        <v>-0.50563875205254516</v>
      </c>
      <c r="CN41" s="479">
        <f t="shared" si="33"/>
        <v>-0.38605589519650652</v>
      </c>
      <c r="CO41" s="479">
        <f t="shared" si="33"/>
        <v>-0.26309232677653727</v>
      </c>
      <c r="CP41" s="478">
        <f t="shared" si="33"/>
        <v>-0.31681198794413545</v>
      </c>
      <c r="CQ41" s="478">
        <f>IF(ISERROR((CQ26-CQ31-CQ36)/(CP26)-1),"",(CQ26-CQ31-CQ36)/(CP26)-1)</f>
        <v>9.3959758566310114E-2</v>
      </c>
      <c r="CR41" s="478">
        <f>IF(ISERROR((CR26-CR31-CR36)/(CQ26)-1),"",(CR26-CR31-CR36)/(CQ26)-1)</f>
        <v>9.1419203910259039E-2</v>
      </c>
      <c r="CS41" s="478">
        <f>IF(ISERROR((CS26-CS31-CS36)/(CR26)-1),"",(CS26-CS31-CS36)/(CR26)-1)</f>
        <v>0.10588057512535731</v>
      </c>
    </row>
    <row r="42" spans="1:97" s="476" customFormat="1">
      <c r="A42" s="433"/>
      <c r="B42" s="433"/>
      <c r="C42" s="475"/>
      <c r="D42" s="475"/>
      <c r="E42" s="475"/>
      <c r="F42" s="475"/>
      <c r="G42" s="475"/>
      <c r="H42" s="475"/>
      <c r="I42" s="475"/>
      <c r="N42" s="475"/>
      <c r="S42" s="475"/>
      <c r="X42" s="475"/>
      <c r="AC42" s="475"/>
      <c r="AH42" s="475"/>
      <c r="AM42" s="475"/>
      <c r="AR42" s="475"/>
      <c r="AW42" s="475"/>
      <c r="BB42" s="475"/>
      <c r="BG42" s="475"/>
      <c r="BL42" s="475"/>
      <c r="BQ42" s="475"/>
      <c r="BV42" s="475"/>
      <c r="CA42" s="475"/>
      <c r="CF42" s="475"/>
      <c r="CK42" s="475"/>
      <c r="CP42" s="475"/>
      <c r="CQ42" s="475"/>
      <c r="CR42" s="475"/>
      <c r="CS42" s="475"/>
    </row>
    <row r="43" spans="1:97" s="476" customFormat="1">
      <c r="A43" s="433"/>
      <c r="B43" s="481" t="s">
        <v>120</v>
      </c>
      <c r="C43" s="475"/>
      <c r="D43" s="475"/>
      <c r="E43" s="475"/>
      <c r="F43" s="475"/>
      <c r="G43" s="475"/>
      <c r="H43" s="475"/>
      <c r="I43" s="475"/>
      <c r="N43" s="475"/>
      <c r="S43" s="475"/>
      <c r="X43" s="475"/>
      <c r="AC43" s="475"/>
      <c r="AH43" s="475"/>
      <c r="AM43" s="475"/>
      <c r="AR43" s="475"/>
      <c r="AW43" s="475"/>
      <c r="BB43" s="475"/>
      <c r="BG43" s="475"/>
      <c r="BL43" s="475"/>
      <c r="BQ43" s="475"/>
      <c r="BV43" s="475"/>
      <c r="CA43" s="475"/>
      <c r="CF43" s="475"/>
      <c r="CK43" s="475"/>
      <c r="CP43" s="475"/>
      <c r="CQ43" s="475"/>
      <c r="CR43" s="475"/>
      <c r="CS43" s="475"/>
    </row>
    <row r="44" spans="1:97" s="476" customFormat="1">
      <c r="A44" s="433"/>
      <c r="B44" s="433" t="s">
        <v>90</v>
      </c>
      <c r="C44" s="475"/>
      <c r="D44" s="475" t="str">
        <f>IF(ISERROR((#REF!-D39-D34)/(#REF!-C39)-1),"",(#REF!-D39-D34)/(#REF!-C39)-1)</f>
        <v/>
      </c>
      <c r="E44" s="475" t="str">
        <f>IF(ISERROR((#REF!-E39-E34)/(#REF!-D39)-1),"",(#REF!-E39-E34)/(#REF!-D39)-1)</f>
        <v/>
      </c>
      <c r="F44" s="475" t="str">
        <f>IF(ISERROR((#REF!-F39-F34)/(#REF!-E39)-1),"",(#REF!-F39-F34)/(#REF!-E39)-1)</f>
        <v/>
      </c>
      <c r="G44" s="475" t="str">
        <f>IF(ISERROR((#REF!-G39-G34)/(#REF!-F39)-1),"",(#REF!-G39-G34)/(#REF!-F39)-1)</f>
        <v/>
      </c>
      <c r="H44" s="475" t="str">
        <f>IF(ISERROR((#REF!-H39-H34)/(#REF!-G39)-1),"",(#REF!-H39-H34)/(#REF!-G39)-1)</f>
        <v/>
      </c>
      <c r="I44" s="475" t="str">
        <f>IF(ISERROR((#REF!-I39-I34)/(#REF!-H39)-1),"",(#REF!-I39-I34)/(#REF!-H39)-1)</f>
        <v/>
      </c>
      <c r="N44" s="475" t="str">
        <f t="shared" ref="N44:AS44" si="34">IF(ISERROR(N13/I13-1),"",(N13/I13-1))</f>
        <v/>
      </c>
      <c r="O44" s="476" t="str">
        <f t="shared" si="34"/>
        <v/>
      </c>
      <c r="P44" s="476" t="str">
        <f t="shared" si="34"/>
        <v/>
      </c>
      <c r="Q44" s="476" t="str">
        <f t="shared" si="34"/>
        <v/>
      </c>
      <c r="R44" s="476" t="str">
        <f t="shared" si="34"/>
        <v/>
      </c>
      <c r="S44" s="475" t="str">
        <f t="shared" si="34"/>
        <v/>
      </c>
      <c r="T44" s="476" t="str">
        <f t="shared" si="34"/>
        <v/>
      </c>
      <c r="U44" s="476" t="str">
        <f t="shared" si="34"/>
        <v/>
      </c>
      <c r="V44" s="476" t="str">
        <f t="shared" si="34"/>
        <v/>
      </c>
      <c r="W44" s="476" t="str">
        <f t="shared" si="34"/>
        <v/>
      </c>
      <c r="X44" s="475" t="str">
        <f t="shared" si="34"/>
        <v/>
      </c>
      <c r="Y44" s="476">
        <f t="shared" si="34"/>
        <v>-5.5861526357199209E-2</v>
      </c>
      <c r="Z44" s="476">
        <f t="shared" si="34"/>
        <v>5.7658450704225483E-2</v>
      </c>
      <c r="AA44" s="476">
        <f t="shared" si="34"/>
        <v>0.13196480938416433</v>
      </c>
      <c r="AB44" s="476">
        <f t="shared" si="34"/>
        <v>3.1652989449003632E-2</v>
      </c>
      <c r="AC44" s="475">
        <f t="shared" si="34"/>
        <v>3.6097250238878775E-2</v>
      </c>
      <c r="AD44" s="476">
        <f t="shared" si="34"/>
        <v>0.20374999999999988</v>
      </c>
      <c r="AE44" s="476">
        <f t="shared" si="34"/>
        <v>0.26217228464419473</v>
      </c>
      <c r="AF44" s="476">
        <f t="shared" si="34"/>
        <v>0.19948186528497414</v>
      </c>
      <c r="AG44" s="476">
        <f t="shared" si="34"/>
        <v>-7.0454545454545103E-2</v>
      </c>
      <c r="AH44" s="475">
        <f t="shared" si="34"/>
        <v>0.14294497387027372</v>
      </c>
      <c r="AI44" s="476">
        <f t="shared" si="34"/>
        <v>-0.12253374870197298</v>
      </c>
      <c r="AJ44" s="476">
        <f t="shared" si="34"/>
        <v>-0.27398615232443135</v>
      </c>
      <c r="AK44" s="482">
        <f t="shared" si="34"/>
        <v>-0.27285817134629231</v>
      </c>
      <c r="AL44" s="482">
        <f t="shared" si="34"/>
        <v>-0.15199674001630026</v>
      </c>
      <c r="AM44" s="477">
        <f t="shared" si="34"/>
        <v>-0.207638515330823</v>
      </c>
      <c r="AN44" s="482">
        <f t="shared" si="34"/>
        <v>-0.17435897435897429</v>
      </c>
      <c r="AO44" s="482">
        <f t="shared" si="34"/>
        <v>0.13714804722979124</v>
      </c>
      <c r="AP44" s="482">
        <f t="shared" si="34"/>
        <v>0.16039603960396032</v>
      </c>
      <c r="AQ44" s="482">
        <f t="shared" si="34"/>
        <v>0.19702066314272004</v>
      </c>
      <c r="AR44" s="477">
        <f t="shared" si="34"/>
        <v>6.720977596741351E-2</v>
      </c>
      <c r="AS44" s="482">
        <f t="shared" si="34"/>
        <v>0.29096989966555165</v>
      </c>
      <c r="AT44" s="482">
        <f t="shared" ref="AT44:BY44" si="35">IF(ISERROR(AT13/AO13-1),"",(AT13/AO13-1))</f>
        <v>0.16094249201277955</v>
      </c>
      <c r="AU44" s="482">
        <f t="shared" si="35"/>
        <v>0.18174061433447086</v>
      </c>
      <c r="AV44" s="482">
        <f t="shared" si="35"/>
        <v>0.1657968687274185</v>
      </c>
      <c r="AW44" s="477">
        <f t="shared" si="35"/>
        <v>0.19624681933842236</v>
      </c>
      <c r="AX44" s="482">
        <f t="shared" si="35"/>
        <v>0.22908956328645469</v>
      </c>
      <c r="AY44" s="482">
        <f t="shared" si="35"/>
        <v>0.14069487444100459</v>
      </c>
      <c r="AZ44" s="482">
        <f t="shared" si="35"/>
        <v>0.13321299638989159</v>
      </c>
      <c r="BA44" s="476">
        <f t="shared" si="35"/>
        <v>6.7837465564738464E-2</v>
      </c>
      <c r="BB44" s="477">
        <f t="shared" si="35"/>
        <v>0.1412744837365949</v>
      </c>
      <c r="BC44" s="476">
        <f t="shared" si="35"/>
        <v>2.8304727491719195E-2</v>
      </c>
      <c r="BD44" s="482">
        <f t="shared" si="35"/>
        <v>3.347406513872131E-2</v>
      </c>
      <c r="BE44" s="482">
        <f t="shared" si="35"/>
        <v>5.033450143357765E-2</v>
      </c>
      <c r="BF44" s="482">
        <f t="shared" si="35"/>
        <v>9.9645275717510362E-2</v>
      </c>
      <c r="BG44" s="475">
        <f t="shared" si="35"/>
        <v>5.2186068183583068E-2</v>
      </c>
      <c r="BH44" s="482">
        <f t="shared" si="35"/>
        <v>9.7510980966325045E-2</v>
      </c>
      <c r="BI44" s="482">
        <f t="shared" si="35"/>
        <v>0.10825795156113216</v>
      </c>
      <c r="BJ44" s="482">
        <f t="shared" si="35"/>
        <v>8.9778586593873388E-2</v>
      </c>
      <c r="BK44" s="482">
        <f t="shared" si="35"/>
        <v>9.5894428152492717E-2</v>
      </c>
      <c r="BL44" s="477">
        <f t="shared" si="35"/>
        <v>9.7940807439663491E-2</v>
      </c>
      <c r="BM44" s="482">
        <f t="shared" si="35"/>
        <v>3.4685165421558084E-2</v>
      </c>
      <c r="BN44" s="482">
        <f t="shared" si="35"/>
        <v>3.5808320168509544E-2</v>
      </c>
      <c r="BO44" s="482">
        <f t="shared" si="35"/>
        <v>1.1132758140829146E-2</v>
      </c>
      <c r="BP44" s="482">
        <f t="shared" si="35"/>
        <v>2.9167781643029356E-2</v>
      </c>
      <c r="BQ44" s="477">
        <f t="shared" si="35"/>
        <v>2.789728421618709E-2</v>
      </c>
      <c r="BR44" s="482">
        <f t="shared" si="35"/>
        <v>6.7302733367715417E-2</v>
      </c>
      <c r="BS44" s="482">
        <f t="shared" si="35"/>
        <v>0.12913065582104721</v>
      </c>
      <c r="BT44" s="482">
        <f t="shared" si="35"/>
        <v>0.14065510597302522</v>
      </c>
      <c r="BU44" s="482">
        <f t="shared" si="35"/>
        <v>5.3302132085283338E-2</v>
      </c>
      <c r="BV44" s="477">
        <f t="shared" si="35"/>
        <v>9.7115950559152342E-2</v>
      </c>
      <c r="BW44" s="482">
        <f t="shared" si="35"/>
        <v>-2.2469195457839986E-2</v>
      </c>
      <c r="BX44" s="482">
        <f t="shared" si="35"/>
        <v>-7.1589374155785701E-2</v>
      </c>
      <c r="BY44" s="482">
        <f t="shared" si="35"/>
        <v>2.1718146718148201E-3</v>
      </c>
      <c r="BZ44" s="482">
        <f t="shared" ref="BZ44:CP44" si="36">IF(ISERROR(BZ13/BU13-1),"",(BZ13/BU13-1))</f>
        <v>5.7516662552456133E-2</v>
      </c>
      <c r="CA44" s="477">
        <f t="shared" si="36"/>
        <v>-1.0073915116833643E-2</v>
      </c>
      <c r="CB44" s="482">
        <f t="shared" si="36"/>
        <v>0.14631735046959959</v>
      </c>
      <c r="CC44" s="482">
        <f t="shared" si="36"/>
        <v>0.13021338506304581</v>
      </c>
      <c r="CD44" s="482">
        <f t="shared" si="36"/>
        <v>8.3554057307970053E-2</v>
      </c>
      <c r="CE44" s="482">
        <f t="shared" si="36"/>
        <v>8.5901027077497805E-2</v>
      </c>
      <c r="CF44" s="477">
        <f t="shared" si="36"/>
        <v>0.11103751430119857</v>
      </c>
      <c r="CG44" s="482">
        <f t="shared" si="36"/>
        <v>9.2927986200948665E-2</v>
      </c>
      <c r="CH44" s="482">
        <f t="shared" si="36"/>
        <v>8.4531216477150783E-2</v>
      </c>
      <c r="CI44" s="482">
        <f t="shared" si="36"/>
        <v>4.7333333333333449E-2</v>
      </c>
      <c r="CJ44" s="482">
        <f t="shared" si="36"/>
        <v>-5.1590713671538779E-3</v>
      </c>
      <c r="CK44" s="477">
        <f t="shared" si="36"/>
        <v>5.4956370928404885E-2</v>
      </c>
      <c r="CL44" s="482">
        <f t="shared" si="36"/>
        <v>-8.6013020319589573E-2</v>
      </c>
      <c r="CM44" s="482">
        <f t="shared" si="36"/>
        <v>-0.47241467853610286</v>
      </c>
      <c r="CN44" s="482">
        <f t="shared" si="36"/>
        <v>-0.35060653511563755</v>
      </c>
      <c r="CO44" s="482">
        <f t="shared" si="36"/>
        <v>-0.22551499567847877</v>
      </c>
      <c r="CP44" s="477">
        <f t="shared" si="36"/>
        <v>-0.28359353711790392</v>
      </c>
      <c r="CQ44" s="477">
        <f>IF(ISERROR(CQ13/CP13-1),"",(CQ13/CP13-1))</f>
        <v>7.9680127256712696E-2</v>
      </c>
      <c r="CR44" s="477">
        <f>IF(ISERROR(CR13/CQ13-1),"",(CR13/CQ13-1))</f>
        <v>8.543875016625746E-2</v>
      </c>
      <c r="CS44" s="477">
        <f>IF(ISERROR(CS13/CR13-1),"",(CS13/CR13-1))</f>
        <v>9.8717729306971647E-2</v>
      </c>
    </row>
    <row r="45" spans="1:97" s="476" customFormat="1">
      <c r="A45" s="433"/>
      <c r="B45" s="433" t="s">
        <v>91</v>
      </c>
      <c r="C45" s="475"/>
      <c r="D45" s="475" t="str">
        <f>IF(ISERROR((#REF!-D40-D35)/(#REF!-C40)-1),"",(#REF!-D40-D35)/(#REF!-C40)-1)</f>
        <v/>
      </c>
      <c r="E45" s="475" t="str">
        <f>IF(ISERROR((#REF!-E40-E35)/(#REF!-D40)-1),"",(#REF!-E40-E35)/(#REF!-D40)-1)</f>
        <v/>
      </c>
      <c r="F45" s="475" t="str">
        <f>IF(ISERROR((#REF!-F40-F35)/(#REF!-E40)-1),"",(#REF!-F40-F35)/(#REF!-E40)-1)</f>
        <v/>
      </c>
      <c r="G45" s="475" t="str">
        <f>IF(ISERROR((#REF!-G40-G35)/(#REF!-F40)-1),"",(#REF!-G40-G35)/(#REF!-F40)-1)</f>
        <v/>
      </c>
      <c r="H45" s="475" t="str">
        <f>IF(ISERROR((#REF!-H40-H35)/(#REF!-G40)-1),"",(#REF!-H40-H35)/(#REF!-G40)-1)</f>
        <v/>
      </c>
      <c r="I45" s="475" t="str">
        <f>IF(ISERROR((#REF!-I40-I35)/(#REF!-H40)-1),"",(#REF!-I40-I35)/(#REF!-H40)-1)</f>
        <v/>
      </c>
      <c r="N45" s="475" t="str">
        <f t="shared" ref="N45:AS45" si="37">IF(ISERROR(N19/I19-1),"",(N19/I19-1))</f>
        <v/>
      </c>
      <c r="O45" s="476" t="str">
        <f t="shared" si="37"/>
        <v/>
      </c>
      <c r="P45" s="476" t="str">
        <f t="shared" si="37"/>
        <v/>
      </c>
      <c r="Q45" s="476" t="str">
        <f t="shared" si="37"/>
        <v/>
      </c>
      <c r="R45" s="476" t="str">
        <f t="shared" si="37"/>
        <v/>
      </c>
      <c r="S45" s="475" t="str">
        <f t="shared" si="37"/>
        <v/>
      </c>
      <c r="T45" s="476" t="str">
        <f t="shared" si="37"/>
        <v/>
      </c>
      <c r="U45" s="476" t="str">
        <f t="shared" si="37"/>
        <v/>
      </c>
      <c r="V45" s="476" t="str">
        <f t="shared" si="37"/>
        <v/>
      </c>
      <c r="W45" s="476" t="str">
        <f t="shared" si="37"/>
        <v/>
      </c>
      <c r="X45" s="475" t="str">
        <f t="shared" si="37"/>
        <v/>
      </c>
      <c r="Y45" s="476">
        <f t="shared" si="37"/>
        <v>-0.27023319615912211</v>
      </c>
      <c r="Z45" s="476">
        <f t="shared" si="37"/>
        <v>0.25641025641025639</v>
      </c>
      <c r="AA45" s="476">
        <f t="shared" si="37"/>
        <v>0.20545073375262057</v>
      </c>
      <c r="AB45" s="476">
        <f t="shared" si="37"/>
        <v>6.4724919093852584E-3</v>
      </c>
      <c r="AC45" s="475">
        <f t="shared" si="37"/>
        <v>1.0907504363001808E-2</v>
      </c>
      <c r="AD45" s="476">
        <f t="shared" si="37"/>
        <v>0.25751879699248126</v>
      </c>
      <c r="AE45" s="476">
        <f t="shared" si="37"/>
        <v>0.13945578231292521</v>
      </c>
      <c r="AF45" s="476">
        <f t="shared" si="37"/>
        <v>9.2173913043478217E-2</v>
      </c>
      <c r="AG45" s="476">
        <f t="shared" si="37"/>
        <v>-0.14308681672025692</v>
      </c>
      <c r="AH45" s="475">
        <f t="shared" si="37"/>
        <v>7.8981441519205831E-2</v>
      </c>
      <c r="AI45" s="476">
        <f t="shared" si="37"/>
        <v>-5.9790732436472482E-2</v>
      </c>
      <c r="AJ45" s="476">
        <f t="shared" si="37"/>
        <v>-5.2238805970149294E-2</v>
      </c>
      <c r="AK45" s="482">
        <f t="shared" si="37"/>
        <v>-2.2292993630573243E-2</v>
      </c>
      <c r="AL45" s="482">
        <f t="shared" si="37"/>
        <v>0.20075046904315164</v>
      </c>
      <c r="AM45" s="477">
        <f t="shared" si="37"/>
        <v>7.2000000000000952E-3</v>
      </c>
      <c r="AN45" s="482">
        <f t="shared" si="37"/>
        <v>-4.7694753577106619E-3</v>
      </c>
      <c r="AO45" s="482">
        <f t="shared" si="37"/>
        <v>4.7244094488188892E-2</v>
      </c>
      <c r="AP45" s="482">
        <f t="shared" si="37"/>
        <v>0.13843648208469062</v>
      </c>
      <c r="AQ45" s="482">
        <f t="shared" si="37"/>
        <v>0.10468749999999982</v>
      </c>
      <c r="AR45" s="477">
        <f t="shared" si="37"/>
        <v>7.1088165210484444E-2</v>
      </c>
      <c r="AS45" s="482">
        <f t="shared" si="37"/>
        <v>0.20766773162939289</v>
      </c>
      <c r="AT45" s="482">
        <f t="shared" ref="AT45:BY45" si="38">IF(ISERROR(AT19/AO19-1),"",(AT19/AO19-1))</f>
        <v>0.15939849624060165</v>
      </c>
      <c r="AU45" s="482">
        <f t="shared" si="38"/>
        <v>0.28326180257510725</v>
      </c>
      <c r="AV45" s="482">
        <f t="shared" si="38"/>
        <v>9.052333804809054E-2</v>
      </c>
      <c r="AW45" s="477">
        <f t="shared" si="38"/>
        <v>0.18464961067853181</v>
      </c>
      <c r="AX45" s="482">
        <f t="shared" si="38"/>
        <v>0.11111111111111116</v>
      </c>
      <c r="AY45" s="482">
        <f t="shared" si="38"/>
        <v>7.2632944228274932E-2</v>
      </c>
      <c r="AZ45" s="482">
        <f t="shared" si="38"/>
        <v>3.2329988851727887E-2</v>
      </c>
      <c r="BA45" s="476">
        <f t="shared" si="38"/>
        <v>0.16731517509727634</v>
      </c>
      <c r="BB45" s="477">
        <f t="shared" si="38"/>
        <v>9.3270735524256576E-2</v>
      </c>
      <c r="BC45" s="476">
        <f t="shared" si="38"/>
        <v>9.8809523809523681E-2</v>
      </c>
      <c r="BD45" s="482">
        <f t="shared" si="38"/>
        <v>0.18984280532043529</v>
      </c>
      <c r="BE45" s="482">
        <f t="shared" si="38"/>
        <v>7.7753779697624203E-2</v>
      </c>
      <c r="BF45" s="482">
        <f t="shared" si="38"/>
        <v>0.1399999999999999</v>
      </c>
      <c r="BG45" s="475">
        <f t="shared" si="38"/>
        <v>0.12539364443172074</v>
      </c>
      <c r="BH45" s="482">
        <f t="shared" si="38"/>
        <v>0.14301191765980503</v>
      </c>
      <c r="BI45" s="482">
        <f t="shared" si="38"/>
        <v>0.10772357723577231</v>
      </c>
      <c r="BJ45" s="482">
        <f t="shared" si="38"/>
        <v>9.6192384769539174E-2</v>
      </c>
      <c r="BK45" s="482">
        <f t="shared" si="38"/>
        <v>9.6491228070175517E-2</v>
      </c>
      <c r="BL45" s="477">
        <f t="shared" si="38"/>
        <v>0.11015008903586865</v>
      </c>
      <c r="BM45" s="482">
        <f t="shared" si="38"/>
        <v>-9.4786729857819774E-3</v>
      </c>
      <c r="BN45" s="482">
        <f t="shared" si="38"/>
        <v>-6.2385321100917435E-2</v>
      </c>
      <c r="BO45" s="482">
        <f t="shared" si="38"/>
        <v>-7.312614259597805E-2</v>
      </c>
      <c r="BP45" s="482">
        <f t="shared" si="38"/>
        <v>-8.5333333333333261E-2</v>
      </c>
      <c r="BQ45" s="477">
        <f t="shared" si="38"/>
        <v>-5.8203483043079651E-2</v>
      </c>
      <c r="BR45" s="482">
        <f t="shared" si="38"/>
        <v>-2.4880382775119614E-2</v>
      </c>
      <c r="BS45" s="482">
        <f t="shared" si="38"/>
        <v>-4.7945205479452135E-2</v>
      </c>
      <c r="BT45" s="482">
        <f t="shared" si="38"/>
        <v>8.8757396449703485E-3</v>
      </c>
      <c r="BU45" s="482">
        <f t="shared" si="38"/>
        <v>-9.7181729834791009E-2</v>
      </c>
      <c r="BV45" s="477">
        <f t="shared" si="38"/>
        <v>-4.038929440389305E-2</v>
      </c>
      <c r="BW45" s="482">
        <f t="shared" si="38"/>
        <v>-0.10402355250245343</v>
      </c>
      <c r="BX45" s="482">
        <f t="shared" si="38"/>
        <v>-3.3915724563206573E-2</v>
      </c>
      <c r="BY45" s="482">
        <f t="shared" si="38"/>
        <v>-9.4819159335288394E-2</v>
      </c>
      <c r="BZ45" s="482">
        <f t="shared" ref="BZ45:CP45" si="39">IF(ISERROR(BZ19/BU19-1),"",(BZ19/BU19-1))</f>
        <v>6.2432723358449849E-2</v>
      </c>
      <c r="CA45" s="477">
        <f t="shared" si="39"/>
        <v>-4.5131845841784979E-2</v>
      </c>
      <c r="CB45" s="482">
        <f t="shared" si="39"/>
        <v>4.6002190580503921E-2</v>
      </c>
      <c r="CC45" s="482">
        <f t="shared" si="39"/>
        <v>8.1914893617021312E-2</v>
      </c>
      <c r="CD45" s="482">
        <f t="shared" si="39"/>
        <v>0.16306695464362853</v>
      </c>
      <c r="CE45" s="482">
        <f t="shared" si="39"/>
        <v>0.15298885511651461</v>
      </c>
      <c r="CF45" s="477">
        <f t="shared" si="39"/>
        <v>0.11178969729155619</v>
      </c>
      <c r="CG45" s="482">
        <f t="shared" si="39"/>
        <v>0.28062827225130893</v>
      </c>
      <c r="CH45" s="482">
        <f t="shared" si="39"/>
        <v>0.2291052114060963</v>
      </c>
      <c r="CI45" s="482">
        <f t="shared" si="39"/>
        <v>0.15598885793871853</v>
      </c>
      <c r="CJ45" s="482">
        <f t="shared" si="39"/>
        <v>6.8541300527240834E-2</v>
      </c>
      <c r="CK45" s="477">
        <f t="shared" si="39"/>
        <v>0.17840936231191784</v>
      </c>
      <c r="CL45" s="482">
        <f t="shared" si="39"/>
        <v>-0.15780866721177433</v>
      </c>
      <c r="CM45" s="482">
        <f t="shared" si="39"/>
        <v>-0.56502703999999992</v>
      </c>
      <c r="CN45" s="482">
        <f t="shared" si="39"/>
        <v>-0.48253927710843381</v>
      </c>
      <c r="CO45" s="482">
        <f t="shared" si="39"/>
        <v>-0.34699555921052627</v>
      </c>
      <c r="CP45" s="477">
        <f t="shared" si="39"/>
        <v>-0.38954029185245231</v>
      </c>
      <c r="CQ45" s="477">
        <f>IF(ISERROR(CQ19/CP19-1),"",(CQ19/CP19-1))</f>
        <v>0.11555334875914314</v>
      </c>
      <c r="CR45" s="477">
        <f>IF(ISERROR(CR19/CQ19-1),"",(CR19/CQ19-1))</f>
        <v>9.9154799473490041E-2</v>
      </c>
      <c r="CS45" s="477">
        <f>IF(ISERROR(CS19/CR19-1),"",(CS19/CR19-1))</f>
        <v>0.11677502451172206</v>
      </c>
    </row>
    <row r="46" spans="1:97" s="476" customFormat="1">
      <c r="A46" s="433"/>
      <c r="B46" s="463" t="s">
        <v>93</v>
      </c>
      <c r="C46" s="478"/>
      <c r="D46" s="478">
        <f t="shared" ref="D46:I46" si="40">IF(ISERROR(D26/C26-1),"",(D26/C26-1))</f>
        <v>0.16239086348596432</v>
      </c>
      <c r="E46" s="478">
        <f t="shared" si="40"/>
        <v>5.7349381659510756E-2</v>
      </c>
      <c r="F46" s="478">
        <f t="shared" si="40"/>
        <v>-8.3195831524098929E-2</v>
      </c>
      <c r="G46" s="478">
        <f t="shared" si="40"/>
        <v>-4.3857156389125795E-2</v>
      </c>
      <c r="H46" s="478">
        <f t="shared" si="40"/>
        <v>-0.15712304339211414</v>
      </c>
      <c r="I46" s="478">
        <f t="shared" si="40"/>
        <v>5.4184297132110926E-2</v>
      </c>
      <c r="J46" s="479"/>
      <c r="K46" s="479"/>
      <c r="L46" s="479"/>
      <c r="M46" s="479"/>
      <c r="N46" s="478">
        <f t="shared" ref="N46:AS46" si="41">IF(ISERROR(N26/I26-1),"",(N26/I26-1))</f>
        <v>0.19801538633069482</v>
      </c>
      <c r="O46" s="479">
        <f t="shared" si="41"/>
        <v>0.10578386605783874</v>
      </c>
      <c r="P46" s="479">
        <f t="shared" si="41"/>
        <v>0.14364437913299044</v>
      </c>
      <c r="Q46" s="479">
        <f t="shared" si="41"/>
        <v>5.1311288483466333E-2</v>
      </c>
      <c r="R46" s="479">
        <f t="shared" si="41"/>
        <v>2.3516642547033006E-2</v>
      </c>
      <c r="S46" s="478">
        <f t="shared" si="41"/>
        <v>8.0874825500232728E-2</v>
      </c>
      <c r="T46" s="479">
        <f t="shared" si="41"/>
        <v>5.6434962147281498E-2</v>
      </c>
      <c r="U46" s="479">
        <f t="shared" si="41"/>
        <v>1.5097976228718224E-2</v>
      </c>
      <c r="V46" s="479">
        <f t="shared" si="41"/>
        <v>4.5191612436731754E-2</v>
      </c>
      <c r="W46" s="479">
        <f t="shared" si="41"/>
        <v>-6.7161541180625894E-3</v>
      </c>
      <c r="X46" s="478">
        <f t="shared" si="41"/>
        <v>2.7294644394696199E-2</v>
      </c>
      <c r="Y46" s="479">
        <f t="shared" si="41"/>
        <v>-7.9478827361563642E-2</v>
      </c>
      <c r="Z46" s="479">
        <f t="shared" si="41"/>
        <v>-8.2911392405063289E-2</v>
      </c>
      <c r="AA46" s="479">
        <f t="shared" si="41"/>
        <v>-2.7672085783465916E-2</v>
      </c>
      <c r="AB46" s="479">
        <f t="shared" si="41"/>
        <v>0.13024911032028452</v>
      </c>
      <c r="AC46" s="478">
        <f t="shared" si="41"/>
        <v>-1.8439359651328702E-2</v>
      </c>
      <c r="AD46" s="479">
        <f t="shared" si="41"/>
        <v>0.21903750884642603</v>
      </c>
      <c r="AE46" s="479">
        <f t="shared" si="41"/>
        <v>0.24051069703243622</v>
      </c>
      <c r="AF46" s="479">
        <f t="shared" si="41"/>
        <v>0.17893987904660258</v>
      </c>
      <c r="AG46" s="479">
        <f t="shared" si="41"/>
        <v>-8.8476070528966777E-2</v>
      </c>
      <c r="AH46" s="478">
        <f t="shared" si="41"/>
        <v>0.13132951925540115</v>
      </c>
      <c r="AI46" s="479">
        <f t="shared" si="41"/>
        <v>-0.10798258345428158</v>
      </c>
      <c r="AJ46" s="479">
        <f t="shared" si="41"/>
        <v>-0.22865090403337962</v>
      </c>
      <c r="AK46" s="483">
        <f t="shared" si="41"/>
        <v>-0.22420036210018124</v>
      </c>
      <c r="AL46" s="483">
        <f t="shared" si="41"/>
        <v>-7.9101899827288658E-2</v>
      </c>
      <c r="AM46" s="484">
        <f t="shared" si="41"/>
        <v>-0.16348403653105892</v>
      </c>
      <c r="AN46" s="483">
        <f t="shared" si="41"/>
        <v>-0.14415880247315294</v>
      </c>
      <c r="AO46" s="483">
        <f t="shared" si="41"/>
        <v>0.10025243418680119</v>
      </c>
      <c r="AP46" s="483">
        <f t="shared" si="41"/>
        <v>0.14546868922598222</v>
      </c>
      <c r="AQ46" s="483">
        <f t="shared" si="41"/>
        <v>0.16654163540885203</v>
      </c>
      <c r="AR46" s="484">
        <f t="shared" si="41"/>
        <v>5.8919065235044643E-2</v>
      </c>
      <c r="AS46" s="483">
        <f t="shared" si="41"/>
        <v>0.26083650190114027</v>
      </c>
      <c r="AT46" s="483">
        <f t="shared" ref="AT46:BY46" si="42">IF(ISERROR(AT26/AO26-1),"",(AT26/AO26-1))</f>
        <v>0.15929203539823011</v>
      </c>
      <c r="AU46" s="483">
        <f t="shared" si="42"/>
        <v>0.19456706281833624</v>
      </c>
      <c r="AV46" s="483">
        <f t="shared" si="42"/>
        <v>0.14244372990353704</v>
      </c>
      <c r="AW46" s="484">
        <f t="shared" si="42"/>
        <v>0.18643490115882733</v>
      </c>
      <c r="AX46" s="483">
        <f t="shared" si="42"/>
        <v>0.2065741857659833</v>
      </c>
      <c r="AY46" s="483">
        <f t="shared" si="42"/>
        <v>0.12864009047215164</v>
      </c>
      <c r="AZ46" s="483">
        <f t="shared" si="42"/>
        <v>0.11313246162592394</v>
      </c>
      <c r="BA46" s="479">
        <f t="shared" si="42"/>
        <v>9.0064734027582416E-2</v>
      </c>
      <c r="BB46" s="484">
        <f t="shared" si="42"/>
        <v>0.13343866704969853</v>
      </c>
      <c r="BC46" s="479">
        <f t="shared" si="42"/>
        <v>4.0989752561859438E-2</v>
      </c>
      <c r="BD46" s="483">
        <f t="shared" si="42"/>
        <v>5.8617234468937962E-2</v>
      </c>
      <c r="BE46" s="483">
        <f t="shared" si="42"/>
        <v>5.2860061287027582E-2</v>
      </c>
      <c r="BF46" s="483">
        <f t="shared" si="42"/>
        <v>0.1019881229021431</v>
      </c>
      <c r="BG46" s="478">
        <f t="shared" si="42"/>
        <v>6.3363325307312035E-2</v>
      </c>
      <c r="BH46" s="483">
        <f t="shared" si="42"/>
        <v>0.10852340936374549</v>
      </c>
      <c r="BI46" s="483">
        <f t="shared" si="42"/>
        <v>0.11239943208708003</v>
      </c>
      <c r="BJ46" s="483">
        <f t="shared" si="42"/>
        <v>9.6046568032985835E-2</v>
      </c>
      <c r="BK46" s="483">
        <f t="shared" si="42"/>
        <v>0.10543580131208996</v>
      </c>
      <c r="BL46" s="484">
        <f t="shared" si="42"/>
        <v>0.10564890954594208</v>
      </c>
      <c r="BM46" s="483">
        <f t="shared" si="42"/>
        <v>2.1875676846436987E-2</v>
      </c>
      <c r="BN46" s="483">
        <f t="shared" si="42"/>
        <v>1.1912359072537626E-2</v>
      </c>
      <c r="BO46" s="483">
        <f t="shared" si="42"/>
        <v>-6.8599247621157211E-3</v>
      </c>
      <c r="BP46" s="483">
        <f t="shared" si="42"/>
        <v>-1.46248410343367E-2</v>
      </c>
      <c r="BQ46" s="484">
        <f t="shared" si="42"/>
        <v>3.071948261923918E-3</v>
      </c>
      <c r="BR46" s="483">
        <f t="shared" si="42"/>
        <v>5.4896142433234374E-2</v>
      </c>
      <c r="BS46" s="483">
        <f t="shared" si="42"/>
        <v>9.8591549295774739E-2</v>
      </c>
      <c r="BT46" s="483">
        <f t="shared" si="42"/>
        <v>0.11519607843137258</v>
      </c>
      <c r="BU46" s="483">
        <f t="shared" si="42"/>
        <v>4.0008604000860482E-2</v>
      </c>
      <c r="BV46" s="484">
        <f t="shared" si="42"/>
        <v>7.6885880077369517E-2</v>
      </c>
      <c r="BW46" s="483">
        <f t="shared" si="42"/>
        <v>-3.7974683544303667E-2</v>
      </c>
      <c r="BX46" s="483">
        <f t="shared" si="42"/>
        <v>-5.9892843474933177E-2</v>
      </c>
      <c r="BY46" s="483">
        <f t="shared" si="42"/>
        <v>-1.7982017982017817E-2</v>
      </c>
      <c r="BZ46" s="483">
        <f t="shared" ref="BZ46:CP46" si="43">IF(ISERROR(BZ26/BU26-1),"",(BZ26/BU26-1))</f>
        <v>5.8324715615305056E-2</v>
      </c>
      <c r="CA46" s="484">
        <f t="shared" si="43"/>
        <v>-1.5466746495035766E-2</v>
      </c>
      <c r="CB46" s="483">
        <f t="shared" si="43"/>
        <v>0.12802840434419349</v>
      </c>
      <c r="CC46" s="483">
        <f t="shared" si="43"/>
        <v>0.11439039283533514</v>
      </c>
      <c r="CD46" s="483">
        <f t="shared" si="43"/>
        <v>9.9694811800610461E-2</v>
      </c>
      <c r="CE46" s="483">
        <f t="shared" si="43"/>
        <v>9.6345514950165967E-2</v>
      </c>
      <c r="CF46" s="484">
        <f t="shared" si="43"/>
        <v>0.10935995540465249</v>
      </c>
      <c r="CG46" s="483">
        <f t="shared" si="43"/>
        <v>0.12923532679133509</v>
      </c>
      <c r="CH46" s="483">
        <f t="shared" si="43"/>
        <v>0.11232876712328754</v>
      </c>
      <c r="CI46" s="483">
        <f t="shared" si="43"/>
        <v>5.9204440333024966E-2</v>
      </c>
      <c r="CJ46" s="483">
        <f t="shared" si="43"/>
        <v>5.8823529411764497E-3</v>
      </c>
      <c r="CK46" s="484">
        <f t="shared" si="43"/>
        <v>7.6104335114887345E-2</v>
      </c>
      <c r="CL46" s="483">
        <f t="shared" si="43"/>
        <v>-0.11296933923594032</v>
      </c>
      <c r="CM46" s="483">
        <f t="shared" si="43"/>
        <v>-0.50563875205254516</v>
      </c>
      <c r="CN46" s="483">
        <f t="shared" si="43"/>
        <v>-0.38605589519650652</v>
      </c>
      <c r="CO46" s="483">
        <f t="shared" si="43"/>
        <v>-0.26309232677653727</v>
      </c>
      <c r="CP46" s="484">
        <f t="shared" si="43"/>
        <v>-0.31681198794413545</v>
      </c>
      <c r="CQ46" s="484">
        <f>IF(ISERROR(CQ26/CP26-1),"",(CQ26/CP26-1))</f>
        <v>9.3959758566310114E-2</v>
      </c>
      <c r="CR46" s="484">
        <f>IF(ISERROR(CR26/CQ26-1),"",(CR26/CQ26-1))</f>
        <v>9.1419203910259039E-2</v>
      </c>
      <c r="CS46" s="484">
        <f>IF(ISERROR(CS26/CR26-1),"",(CS26/CR26-1))</f>
        <v>0.10588057512535731</v>
      </c>
    </row>
    <row r="47" spans="1:97" s="476" customFormat="1">
      <c r="A47" s="433"/>
      <c r="B47" s="433"/>
      <c r="C47" s="475"/>
      <c r="D47" s="475"/>
      <c r="E47" s="475"/>
      <c r="F47" s="475"/>
      <c r="G47" s="475"/>
      <c r="H47" s="475"/>
      <c r="I47" s="475"/>
      <c r="N47" s="475"/>
      <c r="S47" s="475"/>
      <c r="X47" s="475"/>
      <c r="AC47" s="475"/>
      <c r="AH47" s="475"/>
      <c r="AM47" s="475"/>
      <c r="AR47" s="475"/>
      <c r="AW47" s="475"/>
      <c r="BB47" s="475"/>
      <c r="BG47" s="475"/>
      <c r="BL47" s="475"/>
      <c r="BQ47" s="475"/>
      <c r="BV47" s="475"/>
      <c r="CA47" s="475"/>
      <c r="CF47" s="475"/>
      <c r="CK47" s="475"/>
      <c r="CP47" s="475"/>
      <c r="CQ47" s="475"/>
      <c r="CR47" s="475"/>
      <c r="CS47" s="475"/>
    </row>
    <row r="48" spans="1:97" s="476" customFormat="1">
      <c r="A48" s="433"/>
      <c r="B48" s="481" t="s">
        <v>118</v>
      </c>
      <c r="C48" s="475"/>
      <c r="D48" s="475"/>
      <c r="E48" s="475"/>
      <c r="F48" s="475"/>
      <c r="G48" s="475"/>
      <c r="H48" s="475"/>
      <c r="I48" s="475"/>
      <c r="N48" s="475"/>
      <c r="S48" s="475"/>
      <c r="X48" s="475"/>
      <c r="AC48" s="475"/>
      <c r="AH48" s="475"/>
      <c r="AM48" s="475"/>
      <c r="AR48" s="475"/>
      <c r="AW48" s="475"/>
      <c r="BB48" s="475"/>
      <c r="BG48" s="475"/>
      <c r="BL48" s="475"/>
      <c r="BQ48" s="475"/>
      <c r="BV48" s="475"/>
      <c r="CA48" s="475"/>
      <c r="CF48" s="475"/>
      <c r="CK48" s="475"/>
      <c r="CP48" s="475"/>
      <c r="CQ48" s="475"/>
      <c r="CR48" s="475"/>
      <c r="CS48" s="475"/>
    </row>
    <row r="49" spans="1:97" s="476" customFormat="1">
      <c r="A49" s="433"/>
      <c r="B49" s="433" t="s">
        <v>90</v>
      </c>
      <c r="C49" s="475"/>
      <c r="D49" s="475"/>
      <c r="E49" s="475"/>
      <c r="F49" s="475"/>
      <c r="G49" s="475"/>
      <c r="H49" s="475"/>
      <c r="I49" s="475"/>
      <c r="N49" s="475"/>
      <c r="S49" s="475"/>
      <c r="T49" s="476">
        <f t="shared" ref="T49:AY49" si="44">IF(ISERROR(T13/T$26),"",(T13/T$26))</f>
        <v>0.8280130293159611</v>
      </c>
      <c r="U49" s="476">
        <f t="shared" si="44"/>
        <v>0.71898734177215184</v>
      </c>
      <c r="V49" s="476">
        <f t="shared" si="44"/>
        <v>0.70771359391214106</v>
      </c>
      <c r="W49" s="476">
        <f t="shared" si="44"/>
        <v>0.91067615658362977</v>
      </c>
      <c r="X49" s="475">
        <f t="shared" si="44"/>
        <v>0.78945603889028571</v>
      </c>
      <c r="Y49" s="476">
        <f t="shared" si="44"/>
        <v>0.84925690021231437</v>
      </c>
      <c r="Z49" s="476">
        <f t="shared" si="44"/>
        <v>0.82919254658385089</v>
      </c>
      <c r="AA49" s="476">
        <f t="shared" si="44"/>
        <v>0.82390608324439696</v>
      </c>
      <c r="AB49" s="476">
        <f t="shared" si="44"/>
        <v>0.83123425692695219</v>
      </c>
      <c r="AC49" s="475">
        <f t="shared" si="44"/>
        <v>0.83331910169925716</v>
      </c>
      <c r="AD49" s="476">
        <f t="shared" si="44"/>
        <v>0.8386066763425255</v>
      </c>
      <c r="AE49" s="476">
        <f t="shared" si="44"/>
        <v>0.84367176634214192</v>
      </c>
      <c r="AF49" s="476">
        <f t="shared" si="44"/>
        <v>0.83826191913095949</v>
      </c>
      <c r="AG49" s="476">
        <f t="shared" si="44"/>
        <v>0.84766839378238346</v>
      </c>
      <c r="AH49" s="475">
        <f t="shared" si="44"/>
        <v>0.8418748584798853</v>
      </c>
      <c r="AI49" s="476">
        <f t="shared" si="44"/>
        <v>0.82492678164659949</v>
      </c>
      <c r="AJ49" s="476">
        <f t="shared" si="44"/>
        <v>0.79408582762351232</v>
      </c>
      <c r="AK49" s="476">
        <f t="shared" si="44"/>
        <v>0.78568650330610668</v>
      </c>
      <c r="AL49" s="476">
        <f t="shared" si="44"/>
        <v>0.78057014253563384</v>
      </c>
      <c r="AM49" s="475">
        <f t="shared" si="44"/>
        <v>0.79743751691780196</v>
      </c>
      <c r="AN49" s="476">
        <f t="shared" si="44"/>
        <v>0.7958174904942964</v>
      </c>
      <c r="AO49" s="476">
        <f t="shared" si="44"/>
        <v>0.82071451982956423</v>
      </c>
      <c r="AP49" s="476">
        <f t="shared" si="44"/>
        <v>0.79592529711375215</v>
      </c>
      <c r="AQ49" s="476">
        <f t="shared" si="44"/>
        <v>0.80096463022508047</v>
      </c>
      <c r="AR49" s="475">
        <f t="shared" si="44"/>
        <v>0.80368098159509194</v>
      </c>
      <c r="AS49" s="476">
        <f t="shared" si="44"/>
        <v>0.81483715319662253</v>
      </c>
      <c r="AT49" s="476">
        <f t="shared" si="44"/>
        <v>0.82188295165394398</v>
      </c>
      <c r="AU49" s="476">
        <f t="shared" si="44"/>
        <v>0.78737919272313817</v>
      </c>
      <c r="AV49" s="476">
        <f t="shared" si="44"/>
        <v>0.81733746130030949</v>
      </c>
      <c r="AW49" s="475">
        <f t="shared" si="44"/>
        <v>0.81032749209997135</v>
      </c>
      <c r="AX49" s="476">
        <f t="shared" si="44"/>
        <v>0.83004248937765557</v>
      </c>
      <c r="AY49" s="476">
        <f t="shared" si="44"/>
        <v>0.83066132264529069</v>
      </c>
      <c r="AZ49" s="476">
        <f t="shared" ref="AZ49:CE49" si="45">IF(ISERROR(AZ13/AZ$26),"",(AZ13/AZ$26))</f>
        <v>0.80158324821246163</v>
      </c>
      <c r="BA49" s="476">
        <f t="shared" si="45"/>
        <v>0.80067131422669768</v>
      </c>
      <c r="BB49" s="475">
        <f t="shared" si="45"/>
        <v>0.81592953998225826</v>
      </c>
      <c r="BC49" s="476">
        <f t="shared" si="45"/>
        <v>0.81992797118847538</v>
      </c>
      <c r="BD49" s="476">
        <f t="shared" si="45"/>
        <v>0.81093232371036439</v>
      </c>
      <c r="BE49" s="476">
        <f t="shared" si="45"/>
        <v>0.79966044142614601</v>
      </c>
      <c r="BF49" s="476">
        <f t="shared" si="45"/>
        <v>0.79896907216494839</v>
      </c>
      <c r="BG49" s="475">
        <f t="shared" si="45"/>
        <v>0.80735311643427488</v>
      </c>
      <c r="BH49" s="476">
        <f t="shared" si="45"/>
        <v>0.81178254277669482</v>
      </c>
      <c r="BI49" s="476">
        <f t="shared" si="45"/>
        <v>0.80791320995532867</v>
      </c>
      <c r="BJ49" s="476">
        <f t="shared" si="45"/>
        <v>0.79508740871874306</v>
      </c>
      <c r="BK49" s="476">
        <f t="shared" si="45"/>
        <v>0.79207291225095378</v>
      </c>
      <c r="BL49" s="475">
        <f t="shared" si="45"/>
        <v>0.80172460253301003</v>
      </c>
      <c r="BM49" s="476">
        <f t="shared" si="45"/>
        <v>0.82195845697329373</v>
      </c>
      <c r="BN49" s="476">
        <f t="shared" si="45"/>
        <v>0.82699180155560226</v>
      </c>
      <c r="BO49" s="476">
        <f t="shared" si="45"/>
        <v>0.80949197860962563</v>
      </c>
      <c r="BP49" s="476">
        <f t="shared" si="45"/>
        <v>0.8272746827274684</v>
      </c>
      <c r="BQ49" s="475">
        <f t="shared" si="45"/>
        <v>0.82156673114119927</v>
      </c>
      <c r="BR49" s="476">
        <f t="shared" si="45"/>
        <v>0.8316254771950975</v>
      </c>
      <c r="BS49" s="476">
        <f t="shared" si="45"/>
        <v>0.84998086490623803</v>
      </c>
      <c r="BT49" s="476">
        <f t="shared" si="45"/>
        <v>0.82797202797202807</v>
      </c>
      <c r="BU49" s="476">
        <f t="shared" si="45"/>
        <v>0.83784901758014485</v>
      </c>
      <c r="BV49" s="475">
        <f t="shared" si="45"/>
        <v>0.8370004490345756</v>
      </c>
      <c r="BW49" s="476">
        <f t="shared" si="45"/>
        <v>0.84502923976608191</v>
      </c>
      <c r="BX49" s="476">
        <f t="shared" si="45"/>
        <v>0.83940565845715454</v>
      </c>
      <c r="BY49" s="476">
        <f t="shared" si="45"/>
        <v>0.84496439471007123</v>
      </c>
      <c r="BZ49" s="476">
        <f t="shared" si="45"/>
        <v>0.83720930232558133</v>
      </c>
      <c r="CA49" s="475">
        <f t="shared" si="45"/>
        <v>0.84158516191151878</v>
      </c>
      <c r="CB49" s="476">
        <f t="shared" si="45"/>
        <v>0.85872986483984459</v>
      </c>
      <c r="CC49" s="476">
        <f t="shared" si="45"/>
        <v>0.8513242009132419</v>
      </c>
      <c r="CD49" s="476">
        <f t="shared" si="45"/>
        <v>0.83256244218316378</v>
      </c>
      <c r="CE49" s="476">
        <f t="shared" si="45"/>
        <v>0.82923351158645275</v>
      </c>
      <c r="CF49" s="475">
        <f t="shared" ref="CF49:CS49" si="46">IF(ISERROR(CF13/CF$26),"",(CF13/CF$26))</f>
        <v>0.84285779544104877</v>
      </c>
      <c r="CG49" s="476">
        <f t="shared" si="46"/>
        <v>0.83111985571405145</v>
      </c>
      <c r="CH49" s="476">
        <f t="shared" si="46"/>
        <v>0.83004926108374388</v>
      </c>
      <c r="CI49" s="476">
        <f t="shared" si="46"/>
        <v>0.82323144104803492</v>
      </c>
      <c r="CJ49" s="476">
        <f t="shared" si="46"/>
        <v>0.82013113592060971</v>
      </c>
      <c r="CK49" s="475">
        <f t="shared" si="46"/>
        <v>0.82629367067113801</v>
      </c>
      <c r="CL49" s="476">
        <f t="shared" si="46"/>
        <v>0.85637707948243991</v>
      </c>
      <c r="CM49" s="476">
        <f t="shared" si="46"/>
        <v>0.88583360459168425</v>
      </c>
      <c r="CN49" s="476">
        <f t="shared" si="46"/>
        <v>0.87076512946572093</v>
      </c>
      <c r="CO49" s="476">
        <f t="shared" si="46"/>
        <v>0.86195230342658313</v>
      </c>
      <c r="CP49" s="475">
        <f t="shared" si="46"/>
        <v>0.86647030606703423</v>
      </c>
      <c r="CQ49" s="475">
        <f t="shared" si="46"/>
        <v>0.85516013088511833</v>
      </c>
      <c r="CR49" s="475">
        <f t="shared" si="46"/>
        <v>0.8504742635408844</v>
      </c>
      <c r="CS49" s="475">
        <f t="shared" si="46"/>
        <v>0.84496569764392215</v>
      </c>
    </row>
    <row r="50" spans="1:97" s="476" customFormat="1">
      <c r="A50" s="433"/>
      <c r="B50" s="433" t="s">
        <v>91</v>
      </c>
      <c r="C50" s="475"/>
      <c r="D50" s="475"/>
      <c r="E50" s="475"/>
      <c r="F50" s="475"/>
      <c r="G50" s="475"/>
      <c r="H50" s="475"/>
      <c r="I50" s="475"/>
      <c r="N50" s="475"/>
      <c r="S50" s="475"/>
      <c r="T50" s="476">
        <f t="shared" ref="T50:AY50" si="47">IF(ISERROR(T19/T$26),"",(T19/T$26))</f>
        <v>0.23745928338762218</v>
      </c>
      <c r="U50" s="476">
        <f t="shared" si="47"/>
        <v>0.14810126582278479</v>
      </c>
      <c r="V50" s="476">
        <f t="shared" si="47"/>
        <v>0.16499481148391559</v>
      </c>
      <c r="W50" s="476">
        <f t="shared" si="47"/>
        <v>0.21992882562277574</v>
      </c>
      <c r="X50" s="475">
        <f t="shared" si="47"/>
        <v>0.19210460145838568</v>
      </c>
      <c r="Y50" s="476">
        <f t="shared" si="47"/>
        <v>0.18825194621372968</v>
      </c>
      <c r="Z50" s="476">
        <f t="shared" si="47"/>
        <v>0.20289855072463767</v>
      </c>
      <c r="AA50" s="476">
        <f t="shared" si="47"/>
        <v>0.20455353966559942</v>
      </c>
      <c r="AB50" s="476">
        <f t="shared" si="47"/>
        <v>0.19584382871536524</v>
      </c>
      <c r="AC50" s="475">
        <f t="shared" si="47"/>
        <v>0.19784817692767484</v>
      </c>
      <c r="AD50" s="476">
        <f t="shared" si="47"/>
        <v>0.19419448476052253</v>
      </c>
      <c r="AE50" s="476">
        <f t="shared" si="47"/>
        <v>0.18636995827538247</v>
      </c>
      <c r="AF50" s="476">
        <f t="shared" si="47"/>
        <v>0.18949909474954735</v>
      </c>
      <c r="AG50" s="476">
        <f t="shared" si="47"/>
        <v>0.18411053540587216</v>
      </c>
      <c r="AH50" s="475">
        <f t="shared" si="47"/>
        <v>0.18869348630085289</v>
      </c>
      <c r="AI50" s="476">
        <f t="shared" si="47"/>
        <v>0.20468597461763752</v>
      </c>
      <c r="AJ50" s="476">
        <f t="shared" si="47"/>
        <v>0.22899386945546338</v>
      </c>
      <c r="AK50" s="476">
        <f t="shared" si="47"/>
        <v>0.2388175807078958</v>
      </c>
      <c r="AL50" s="476">
        <f t="shared" si="47"/>
        <v>0.2400600150037509</v>
      </c>
      <c r="AM50" s="475">
        <f t="shared" si="47"/>
        <v>0.22719480285121355</v>
      </c>
      <c r="AN50" s="476">
        <f t="shared" si="47"/>
        <v>0.23802281368821288</v>
      </c>
      <c r="AO50" s="476">
        <f t="shared" si="47"/>
        <v>0.21796132415601444</v>
      </c>
      <c r="AP50" s="476">
        <f t="shared" si="47"/>
        <v>0.23735144312393891</v>
      </c>
      <c r="AQ50" s="476">
        <f t="shared" si="47"/>
        <v>0.22733118971061089</v>
      </c>
      <c r="AR50" s="475">
        <f t="shared" si="47"/>
        <v>0.22980572597137011</v>
      </c>
      <c r="AS50" s="476">
        <f t="shared" si="47"/>
        <v>0.22798552472858866</v>
      </c>
      <c r="AT50" s="476">
        <f t="shared" si="47"/>
        <v>0.21798134011874473</v>
      </c>
      <c r="AU50" s="476">
        <f t="shared" si="47"/>
        <v>0.25497441728254688</v>
      </c>
      <c r="AV50" s="476">
        <f t="shared" si="47"/>
        <v>0.21699971854770614</v>
      </c>
      <c r="AW50" s="475">
        <f t="shared" si="47"/>
        <v>0.22945992530881934</v>
      </c>
      <c r="AX50" s="476">
        <f t="shared" si="47"/>
        <v>0.20994751312171955</v>
      </c>
      <c r="AY50" s="476">
        <f t="shared" si="47"/>
        <v>0.20716432865731466</v>
      </c>
      <c r="AZ50" s="476">
        <f t="shared" ref="AZ50:CE50" si="48">IF(ISERROR(AZ19/AZ$26),"",(AZ19/AZ$26))</f>
        <v>0.23646578140960162</v>
      </c>
      <c r="BA50" s="476">
        <f t="shared" si="48"/>
        <v>0.23237800154918667</v>
      </c>
      <c r="BB50" s="475">
        <f t="shared" si="48"/>
        <v>0.22132809529844122</v>
      </c>
      <c r="BC50" s="476">
        <f t="shared" si="48"/>
        <v>0.22160864345738296</v>
      </c>
      <c r="BD50" s="476">
        <f t="shared" si="48"/>
        <v>0.23284429720776148</v>
      </c>
      <c r="BE50" s="476">
        <f t="shared" si="48"/>
        <v>0.24205675479020131</v>
      </c>
      <c r="BF50" s="476">
        <f t="shared" si="48"/>
        <v>0.24039362699156511</v>
      </c>
      <c r="BG50" s="475">
        <f t="shared" si="48"/>
        <v>0.2342390656655941</v>
      </c>
      <c r="BH50" s="476">
        <f t="shared" si="48"/>
        <v>0.22850335715832792</v>
      </c>
      <c r="BI50" s="476">
        <f t="shared" si="48"/>
        <v>0.2318655605190385</v>
      </c>
      <c r="BJ50" s="476">
        <f t="shared" si="48"/>
        <v>0.24208895773401196</v>
      </c>
      <c r="BK50" s="476">
        <f t="shared" si="48"/>
        <v>0.23844849512505298</v>
      </c>
      <c r="BL50" s="475">
        <f t="shared" si="48"/>
        <v>0.2351926704392347</v>
      </c>
      <c r="BM50" s="476">
        <f t="shared" si="48"/>
        <v>0.22149215769393812</v>
      </c>
      <c r="BN50" s="476">
        <f t="shared" si="48"/>
        <v>0.21484128652512088</v>
      </c>
      <c r="BO50" s="476">
        <f t="shared" si="48"/>
        <v>0.22593582887700539</v>
      </c>
      <c r="BP50" s="476">
        <f t="shared" si="48"/>
        <v>0.22133792213379225</v>
      </c>
      <c r="BQ50" s="475">
        <f t="shared" si="48"/>
        <v>0.22082527401676341</v>
      </c>
      <c r="BR50" s="476">
        <f t="shared" si="48"/>
        <v>0.2047418123367491</v>
      </c>
      <c r="BS50" s="476">
        <f t="shared" si="48"/>
        <v>0.18618446230386529</v>
      </c>
      <c r="BT50" s="476">
        <f t="shared" si="48"/>
        <v>0.20439560439560442</v>
      </c>
      <c r="BU50" s="476">
        <f t="shared" si="48"/>
        <v>0.19214064115822133</v>
      </c>
      <c r="BV50" s="475">
        <f t="shared" si="48"/>
        <v>0.19677692960135706</v>
      </c>
      <c r="BW50" s="476">
        <f t="shared" si="48"/>
        <v>0.19068504594820385</v>
      </c>
      <c r="BX50" s="476">
        <f t="shared" si="48"/>
        <v>0.19132912680643194</v>
      </c>
      <c r="BY50" s="476">
        <f t="shared" si="48"/>
        <v>0.1884028484231943</v>
      </c>
      <c r="BZ50" s="476">
        <f t="shared" si="48"/>
        <v>0.19288645690834472</v>
      </c>
      <c r="CA50" s="475">
        <f t="shared" si="48"/>
        <v>0.1908478183753104</v>
      </c>
      <c r="CB50" s="476">
        <f t="shared" si="48"/>
        <v>0.17681910757267175</v>
      </c>
      <c r="CC50" s="476">
        <f t="shared" si="48"/>
        <v>0.18575342465753422</v>
      </c>
      <c r="CD50" s="476">
        <f t="shared" si="48"/>
        <v>0.1992599444958372</v>
      </c>
      <c r="CE50" s="476">
        <f t="shared" si="48"/>
        <v>0.20285204991087344</v>
      </c>
      <c r="CF50" s="475">
        <f t="shared" ref="CF50:CS50" si="49">IF(ISERROR(CF19/CF$26),"",(CF19/CF$26))</f>
        <v>0.19126581700242104</v>
      </c>
      <c r="CG50" s="476">
        <f t="shared" si="49"/>
        <v>0.20052467617642236</v>
      </c>
      <c r="CH50" s="476">
        <f t="shared" si="49"/>
        <v>0.20525451559934318</v>
      </c>
      <c r="CI50" s="476">
        <f t="shared" si="49"/>
        <v>0.21746724890829694</v>
      </c>
      <c r="CJ50" s="476">
        <f t="shared" si="49"/>
        <v>0.21548821548821551</v>
      </c>
      <c r="CK50" s="475">
        <f t="shared" si="49"/>
        <v>0.20944942055439994</v>
      </c>
      <c r="CL50" s="476">
        <f t="shared" si="49"/>
        <v>0.19038817005545286</v>
      </c>
      <c r="CM50" s="476">
        <f t="shared" si="49"/>
        <v>0.18059701195086789</v>
      </c>
      <c r="CN50" s="476">
        <f t="shared" si="49"/>
        <v>0.18329153899335099</v>
      </c>
      <c r="CO50" s="476">
        <f t="shared" si="49"/>
        <v>0.19095304169662633</v>
      </c>
      <c r="CP50" s="475">
        <f t="shared" si="49"/>
        <v>0.18715262839368554</v>
      </c>
      <c r="CQ50" s="475">
        <f t="shared" si="49"/>
        <v>0.1908468201858417</v>
      </c>
      <c r="CR50" s="475">
        <f t="shared" si="49"/>
        <v>0.19219947534363727</v>
      </c>
      <c r="CS50" s="475">
        <f t="shared" si="49"/>
        <v>0.19409290534260415</v>
      </c>
    </row>
    <row r="51" spans="1:97" s="476" customFormat="1">
      <c r="A51" s="433"/>
      <c r="B51" s="433" t="s">
        <v>108</v>
      </c>
      <c r="C51" s="475"/>
      <c r="D51" s="475"/>
      <c r="E51" s="475"/>
      <c r="F51" s="475"/>
      <c r="G51" s="475"/>
      <c r="H51" s="475"/>
      <c r="I51" s="475"/>
      <c r="N51" s="475"/>
      <c r="S51" s="475"/>
      <c r="T51" s="476">
        <f t="shared" ref="T51:AY51" si="50">IF(ISERROR(T25/T26),"",(T25/T26))</f>
        <v>0</v>
      </c>
      <c r="U51" s="476">
        <f t="shared" si="50"/>
        <v>0</v>
      </c>
      <c r="V51" s="476">
        <f t="shared" si="50"/>
        <v>0</v>
      </c>
      <c r="W51" s="476">
        <f t="shared" si="50"/>
        <v>0</v>
      </c>
      <c r="X51" s="475">
        <f t="shared" si="50"/>
        <v>0</v>
      </c>
      <c r="Y51" s="476">
        <f t="shared" si="50"/>
        <v>-3.7508846426043879E-2</v>
      </c>
      <c r="Z51" s="476">
        <f t="shared" si="50"/>
        <v>-3.2091097308488616E-2</v>
      </c>
      <c r="AA51" s="476">
        <f t="shared" si="50"/>
        <v>-2.845962290999644E-2</v>
      </c>
      <c r="AB51" s="476">
        <f t="shared" si="50"/>
        <v>-2.7078085642317389E-2</v>
      </c>
      <c r="AC51" s="475">
        <f t="shared" si="50"/>
        <v>-3.1167278626931947E-2</v>
      </c>
      <c r="AD51" s="476">
        <f t="shared" si="50"/>
        <v>-3.2801161103047906E-2</v>
      </c>
      <c r="AE51" s="476">
        <f t="shared" si="50"/>
        <v>-3.0041724617524343E-2</v>
      </c>
      <c r="AF51" s="476">
        <f t="shared" si="50"/>
        <v>-2.7761013880506936E-2</v>
      </c>
      <c r="AG51" s="476">
        <f t="shared" si="50"/>
        <v>-3.1778929188255596E-2</v>
      </c>
      <c r="AH51" s="475">
        <f t="shared" si="50"/>
        <v>-3.0568344780738166E-2</v>
      </c>
      <c r="AI51" s="476">
        <f t="shared" si="50"/>
        <v>-2.9612756264236904E-2</v>
      </c>
      <c r="AJ51" s="476">
        <f t="shared" si="50"/>
        <v>-2.3079697078975839E-2</v>
      </c>
      <c r="AK51" s="476">
        <f t="shared" si="50"/>
        <v>-2.4504084014002336E-2</v>
      </c>
      <c r="AL51" s="476">
        <f t="shared" si="50"/>
        <v>-2.0630157539384845E-2</v>
      </c>
      <c r="AM51" s="475">
        <f t="shared" si="50"/>
        <v>-2.4632319769015604E-2</v>
      </c>
      <c r="AN51" s="476">
        <f t="shared" si="50"/>
        <v>-3.3840304182509502E-2</v>
      </c>
      <c r="AO51" s="476">
        <f t="shared" si="50"/>
        <v>-3.8675843985578502E-2</v>
      </c>
      <c r="AP51" s="476">
        <f t="shared" si="50"/>
        <v>-3.3276740237691005E-2</v>
      </c>
      <c r="AQ51" s="476">
        <f t="shared" si="50"/>
        <v>-2.8295819935691299E-2</v>
      </c>
      <c r="AR51" s="475">
        <f t="shared" si="50"/>
        <v>-3.3486707566462159E-2</v>
      </c>
      <c r="AS51" s="476">
        <f t="shared" si="50"/>
        <v>-4.2822677925211099E-2</v>
      </c>
      <c r="AT51" s="476">
        <f t="shared" si="50"/>
        <v>-3.9864291772688722E-2</v>
      </c>
      <c r="AU51" s="476">
        <f t="shared" si="50"/>
        <v>-4.235361000568505E-2</v>
      </c>
      <c r="AV51" s="476">
        <f t="shared" si="50"/>
        <v>-3.4337179848015757E-2</v>
      </c>
      <c r="AW51" s="475">
        <f t="shared" si="50"/>
        <v>-3.9787417408790576E-2</v>
      </c>
      <c r="AX51" s="476">
        <f t="shared" si="50"/>
        <v>-3.9990002499375156E-2</v>
      </c>
      <c r="AY51" s="476">
        <f t="shared" si="50"/>
        <v>-3.7825651302605214E-2</v>
      </c>
      <c r="AZ51" s="476">
        <f t="shared" ref="AZ51:CE51" si="51">IF(ISERROR(AZ25/AZ26),"",(AZ25/AZ26))</f>
        <v>-3.804902962206333E-2</v>
      </c>
      <c r="BA51" s="476">
        <f t="shared" si="51"/>
        <v>-3.3049315775884332E-2</v>
      </c>
      <c r="BB51" s="475">
        <f t="shared" si="51"/>
        <v>-3.725763528069953E-2</v>
      </c>
      <c r="BC51" s="476">
        <f t="shared" si="51"/>
        <v>-4.1536614645858345E-2</v>
      </c>
      <c r="BD51" s="476">
        <f t="shared" si="51"/>
        <v>-4.3776620918125883E-2</v>
      </c>
      <c r="BE51" s="476">
        <f t="shared" si="51"/>
        <v>-4.171719621634732E-2</v>
      </c>
      <c r="BF51" s="476">
        <f t="shared" si="51"/>
        <v>-3.9362699156513588E-2</v>
      </c>
      <c r="BG51" s="475">
        <f t="shared" si="51"/>
        <v>-4.1592182099868903E-2</v>
      </c>
      <c r="BH51" s="476">
        <f t="shared" si="51"/>
        <v>-4.0285899935022747E-2</v>
      </c>
      <c r="BI51" s="476">
        <f t="shared" si="51"/>
        <v>-3.9778770474367155E-2</v>
      </c>
      <c r="BJ51" s="476">
        <f t="shared" si="51"/>
        <v>-3.717636645275503E-2</v>
      </c>
      <c r="BK51" s="476">
        <f t="shared" si="51"/>
        <v>-3.0521407376006782E-2</v>
      </c>
      <c r="BL51" s="475">
        <f t="shared" si="51"/>
        <v>-3.6917272972244675E-2</v>
      </c>
      <c r="BM51" s="476">
        <f t="shared" si="51"/>
        <v>-4.3450614667231879E-2</v>
      </c>
      <c r="BN51" s="476">
        <f t="shared" si="51"/>
        <v>-4.1833088080723141E-2</v>
      </c>
      <c r="BO51" s="476">
        <f t="shared" si="51"/>
        <v>-3.5427807486631019E-2</v>
      </c>
      <c r="BP51" s="476">
        <f t="shared" si="51"/>
        <v>-4.861260486126049E-2</v>
      </c>
      <c r="BQ51" s="475">
        <f t="shared" si="51"/>
        <v>-4.2392005157962612E-2</v>
      </c>
      <c r="BR51" s="476">
        <f t="shared" si="51"/>
        <v>-3.6367289531846501E-2</v>
      </c>
      <c r="BS51" s="476">
        <f t="shared" si="51"/>
        <v>-3.6165327210103328E-2</v>
      </c>
      <c r="BT51" s="476">
        <f t="shared" si="51"/>
        <v>-3.2367632367632369E-2</v>
      </c>
      <c r="BU51" s="476">
        <f t="shared" si="51"/>
        <v>-2.9989658738366079E-2</v>
      </c>
      <c r="BV51" s="475">
        <f t="shared" si="51"/>
        <v>-3.3777378635932748E-2</v>
      </c>
      <c r="BW51" s="476">
        <f t="shared" si="51"/>
        <v>-3.5714285714285719E-2</v>
      </c>
      <c r="BX51" s="476">
        <f t="shared" si="51"/>
        <v>-3.0734785263586407E-2</v>
      </c>
      <c r="BY51" s="476">
        <f t="shared" si="51"/>
        <v>-3.3367243133265508E-2</v>
      </c>
      <c r="BZ51" s="476">
        <f t="shared" si="51"/>
        <v>-3.0095759233926128E-2</v>
      </c>
      <c r="CA51" s="475">
        <f t="shared" si="51"/>
        <v>-3.2432980286829172E-2</v>
      </c>
      <c r="CB51" s="476">
        <f t="shared" si="51"/>
        <v>-3.5548972412516207E-2</v>
      </c>
      <c r="CC51" s="476">
        <f t="shared" si="51"/>
        <v>-3.7077625570776249E-2</v>
      </c>
      <c r="CD51" s="476">
        <f t="shared" si="51"/>
        <v>-3.1822386679000926E-2</v>
      </c>
      <c r="CE51" s="476">
        <f t="shared" si="51"/>
        <v>-3.2085561497326207E-2</v>
      </c>
      <c r="CF51" s="475">
        <f t="shared" ref="CF51:CS51" si="52">IF(ISERROR(CF25/CF26),"",(CF25/CF26))</f>
        <v>-3.4123612443469918E-2</v>
      </c>
      <c r="CG51" s="476">
        <f t="shared" si="52"/>
        <v>-3.1644531890473851E-2</v>
      </c>
      <c r="CH51" s="476">
        <f t="shared" si="52"/>
        <v>-3.5303776683087026E-2</v>
      </c>
      <c r="CI51" s="476">
        <f t="shared" si="52"/>
        <v>-4.0698689956331878E-2</v>
      </c>
      <c r="CJ51" s="476">
        <f t="shared" si="52"/>
        <v>-3.5619351408825099E-2</v>
      </c>
      <c r="CK51" s="475">
        <f t="shared" si="52"/>
        <v>-3.5743091225538044E-2</v>
      </c>
      <c r="CL51" s="476">
        <f t="shared" si="52"/>
        <v>-4.6765249537892795E-2</v>
      </c>
      <c r="CM51" s="476">
        <f t="shared" si="52"/>
        <v>-6.6430616542552126E-2</v>
      </c>
      <c r="CN51" s="476">
        <f t="shared" si="52"/>
        <v>-5.4056668459071991E-2</v>
      </c>
      <c r="CO51" s="476">
        <f t="shared" si="52"/>
        <v>-5.2905345123209338E-2</v>
      </c>
      <c r="CP51" s="475">
        <f t="shared" si="52"/>
        <v>-5.3622934460719793E-2</v>
      </c>
      <c r="CQ51" s="475">
        <f t="shared" si="52"/>
        <v>-4.6006951070960034E-2</v>
      </c>
      <c r="CR51" s="475">
        <f t="shared" si="52"/>
        <v>-4.267373888452157E-2</v>
      </c>
      <c r="CS51" s="475">
        <f t="shared" si="52"/>
        <v>-3.9058602986526393E-2</v>
      </c>
    </row>
    <row r="52" spans="1:97" s="476" customFormat="1">
      <c r="A52" s="433"/>
      <c r="B52" s="463" t="s">
        <v>93</v>
      </c>
      <c r="C52" s="478">
        <f t="shared" ref="C52:T52" si="53">IF(ISERROR(C26/C$26),"",(C26/C$26))</f>
        <v>1</v>
      </c>
      <c r="D52" s="478">
        <f t="shared" si="53"/>
        <v>1</v>
      </c>
      <c r="E52" s="478">
        <f t="shared" si="53"/>
        <v>1</v>
      </c>
      <c r="F52" s="478">
        <f t="shared" si="53"/>
        <v>1</v>
      </c>
      <c r="G52" s="478">
        <f t="shared" si="53"/>
        <v>1</v>
      </c>
      <c r="H52" s="478">
        <f t="shared" si="53"/>
        <v>1</v>
      </c>
      <c r="I52" s="478">
        <f t="shared" si="53"/>
        <v>1</v>
      </c>
      <c r="J52" s="479">
        <f t="shared" si="53"/>
        <v>1</v>
      </c>
      <c r="K52" s="479">
        <f t="shared" si="53"/>
        <v>1</v>
      </c>
      <c r="L52" s="479">
        <f t="shared" si="53"/>
        <v>1</v>
      </c>
      <c r="M52" s="479">
        <f t="shared" si="53"/>
        <v>1</v>
      </c>
      <c r="N52" s="478">
        <f t="shared" si="53"/>
        <v>1</v>
      </c>
      <c r="O52" s="479">
        <f t="shared" si="53"/>
        <v>1</v>
      </c>
      <c r="P52" s="479">
        <f t="shared" si="53"/>
        <v>1</v>
      </c>
      <c r="Q52" s="479">
        <f t="shared" si="53"/>
        <v>1</v>
      </c>
      <c r="R52" s="479">
        <f t="shared" si="53"/>
        <v>1</v>
      </c>
      <c r="S52" s="478">
        <f t="shared" si="53"/>
        <v>1</v>
      </c>
      <c r="T52" s="479">
        <f t="shared" si="53"/>
        <v>1</v>
      </c>
      <c r="U52" s="479">
        <f>SUM(U49:U50)</f>
        <v>0.86708860759493667</v>
      </c>
      <c r="V52" s="479">
        <f>SUM(V49:V50)</f>
        <v>0.87270840539605665</v>
      </c>
      <c r="W52" s="479">
        <f>SUM(W49:W50)</f>
        <v>1.1306049822064055</v>
      </c>
      <c r="X52" s="478">
        <f>SUM(X49:X50)</f>
        <v>0.98156064034867141</v>
      </c>
      <c r="Y52" s="479">
        <f t="shared" ref="Y52:BD52" si="54">SUM(Y49:Y51)</f>
        <v>1.0000000000000002</v>
      </c>
      <c r="Z52" s="479">
        <f t="shared" si="54"/>
        <v>0.99999999999999989</v>
      </c>
      <c r="AA52" s="479">
        <f t="shared" si="54"/>
        <v>0.99999999999999978</v>
      </c>
      <c r="AB52" s="479">
        <f t="shared" si="54"/>
        <v>1</v>
      </c>
      <c r="AC52" s="478">
        <f t="shared" si="54"/>
        <v>1</v>
      </c>
      <c r="AD52" s="479">
        <f t="shared" si="54"/>
        <v>1.0000000000000002</v>
      </c>
      <c r="AE52" s="479">
        <f t="shared" si="54"/>
        <v>1</v>
      </c>
      <c r="AF52" s="479">
        <f t="shared" si="54"/>
        <v>1</v>
      </c>
      <c r="AG52" s="479">
        <f t="shared" si="54"/>
        <v>0.99999999999999989</v>
      </c>
      <c r="AH52" s="478">
        <f t="shared" si="54"/>
        <v>1</v>
      </c>
      <c r="AI52" s="479">
        <f t="shared" si="54"/>
        <v>1</v>
      </c>
      <c r="AJ52" s="479">
        <f t="shared" si="54"/>
        <v>0.99999999999999989</v>
      </c>
      <c r="AK52" s="479">
        <f t="shared" si="54"/>
        <v>1.0000000000000002</v>
      </c>
      <c r="AL52" s="479">
        <f t="shared" si="54"/>
        <v>1</v>
      </c>
      <c r="AM52" s="478">
        <f t="shared" si="54"/>
        <v>0.99999999999999989</v>
      </c>
      <c r="AN52" s="479">
        <f t="shared" si="54"/>
        <v>0.99999999999999978</v>
      </c>
      <c r="AO52" s="479">
        <f t="shared" si="54"/>
        <v>1.0000000000000002</v>
      </c>
      <c r="AP52" s="479">
        <f t="shared" si="54"/>
        <v>1</v>
      </c>
      <c r="AQ52" s="479">
        <f t="shared" si="54"/>
        <v>1</v>
      </c>
      <c r="AR52" s="478">
        <f t="shared" si="54"/>
        <v>0.99999999999999978</v>
      </c>
      <c r="AS52" s="479">
        <f t="shared" si="54"/>
        <v>1.0000000000000002</v>
      </c>
      <c r="AT52" s="479">
        <f t="shared" si="54"/>
        <v>1</v>
      </c>
      <c r="AU52" s="479">
        <f t="shared" si="54"/>
        <v>0.99999999999999989</v>
      </c>
      <c r="AV52" s="479">
        <f t="shared" si="54"/>
        <v>0.99999999999999989</v>
      </c>
      <c r="AW52" s="478">
        <f t="shared" si="54"/>
        <v>1</v>
      </c>
      <c r="AX52" s="479">
        <f t="shared" si="54"/>
        <v>1</v>
      </c>
      <c r="AY52" s="479">
        <f t="shared" si="54"/>
        <v>1.0000000000000002</v>
      </c>
      <c r="AZ52" s="479">
        <f t="shared" si="54"/>
        <v>0.99999999999999989</v>
      </c>
      <c r="BA52" s="479">
        <f t="shared" si="54"/>
        <v>1</v>
      </c>
      <c r="BB52" s="478">
        <f t="shared" si="54"/>
        <v>1</v>
      </c>
      <c r="BC52" s="479">
        <f t="shared" si="54"/>
        <v>1</v>
      </c>
      <c r="BD52" s="479">
        <f t="shared" si="54"/>
        <v>1</v>
      </c>
      <c r="BE52" s="479">
        <f t="shared" ref="BE52:CJ52" si="55">SUM(BE49:BE51)</f>
        <v>1</v>
      </c>
      <c r="BF52" s="479">
        <f t="shared" si="55"/>
        <v>0.99999999999999989</v>
      </c>
      <c r="BG52" s="478">
        <f t="shared" si="55"/>
        <v>1.0000000000000002</v>
      </c>
      <c r="BH52" s="479">
        <f t="shared" si="55"/>
        <v>1</v>
      </c>
      <c r="BI52" s="479">
        <f t="shared" si="55"/>
        <v>0.99999999999999989</v>
      </c>
      <c r="BJ52" s="479">
        <f t="shared" si="55"/>
        <v>0.99999999999999989</v>
      </c>
      <c r="BK52" s="479">
        <f t="shared" si="55"/>
        <v>1</v>
      </c>
      <c r="BL52" s="478">
        <f t="shared" si="55"/>
        <v>1</v>
      </c>
      <c r="BM52" s="479">
        <f t="shared" si="55"/>
        <v>0.99999999999999989</v>
      </c>
      <c r="BN52" s="479">
        <f t="shared" si="55"/>
        <v>1</v>
      </c>
      <c r="BO52" s="479">
        <f t="shared" si="55"/>
        <v>1</v>
      </c>
      <c r="BP52" s="479">
        <f t="shared" si="55"/>
        <v>1.0000000000000002</v>
      </c>
      <c r="BQ52" s="478">
        <f t="shared" si="55"/>
        <v>1</v>
      </c>
      <c r="BR52" s="479">
        <f t="shared" si="55"/>
        <v>1</v>
      </c>
      <c r="BS52" s="479">
        <f t="shared" si="55"/>
        <v>0.99999999999999989</v>
      </c>
      <c r="BT52" s="479">
        <f t="shared" si="55"/>
        <v>1.0000000000000002</v>
      </c>
      <c r="BU52" s="479">
        <f t="shared" si="55"/>
        <v>1</v>
      </c>
      <c r="BV52" s="478">
        <f t="shared" si="55"/>
        <v>0.99999999999999978</v>
      </c>
      <c r="BW52" s="479">
        <f t="shared" si="55"/>
        <v>1</v>
      </c>
      <c r="BX52" s="479">
        <f t="shared" si="55"/>
        <v>1</v>
      </c>
      <c r="BY52" s="479">
        <f t="shared" si="55"/>
        <v>0.99999999999999989</v>
      </c>
      <c r="BZ52" s="479">
        <f t="shared" si="55"/>
        <v>1</v>
      </c>
      <c r="CA52" s="478">
        <f t="shared" si="55"/>
        <v>0.99999999999999989</v>
      </c>
      <c r="CB52" s="479">
        <f t="shared" si="55"/>
        <v>1.0000000000000002</v>
      </c>
      <c r="CC52" s="479">
        <f t="shared" si="55"/>
        <v>0.99999999999999989</v>
      </c>
      <c r="CD52" s="479">
        <f t="shared" si="55"/>
        <v>1.0000000000000002</v>
      </c>
      <c r="CE52" s="479">
        <f t="shared" si="55"/>
        <v>0.99999999999999989</v>
      </c>
      <c r="CF52" s="478">
        <f t="shared" si="55"/>
        <v>0.99999999999999989</v>
      </c>
      <c r="CG52" s="479">
        <f t="shared" si="55"/>
        <v>1</v>
      </c>
      <c r="CH52" s="479">
        <f t="shared" si="55"/>
        <v>1</v>
      </c>
      <c r="CI52" s="479">
        <f t="shared" si="55"/>
        <v>1</v>
      </c>
      <c r="CJ52" s="479">
        <f t="shared" si="55"/>
        <v>1.0000000000000002</v>
      </c>
      <c r="CK52" s="478">
        <f t="shared" ref="CK52:CS52" si="56">SUM(CK49:CK51)</f>
        <v>0.99999999999999978</v>
      </c>
      <c r="CL52" s="479">
        <f t="shared" si="56"/>
        <v>1</v>
      </c>
      <c r="CM52" s="479">
        <f t="shared" si="56"/>
        <v>1</v>
      </c>
      <c r="CN52" s="479">
        <f t="shared" si="56"/>
        <v>1</v>
      </c>
      <c r="CO52" s="479">
        <f t="shared" si="56"/>
        <v>1.0000000000000002</v>
      </c>
      <c r="CP52" s="478">
        <f t="shared" si="56"/>
        <v>1</v>
      </c>
      <c r="CQ52" s="478">
        <f t="shared" si="56"/>
        <v>1</v>
      </c>
      <c r="CR52" s="478">
        <f t="shared" si="56"/>
        <v>1.0000000000000002</v>
      </c>
      <c r="CS52" s="478">
        <f t="shared" si="56"/>
        <v>0.99999999999999989</v>
      </c>
    </row>
    <row r="53" spans="1:97">
      <c r="C53" s="475"/>
      <c r="D53" s="475"/>
      <c r="E53" s="475"/>
      <c r="F53" s="475"/>
      <c r="G53" s="475"/>
      <c r="H53" s="475"/>
      <c r="I53" s="475"/>
      <c r="J53" s="476"/>
      <c r="K53" s="476"/>
      <c r="L53" s="476"/>
      <c r="M53" s="476"/>
      <c r="N53" s="475"/>
      <c r="O53" s="476"/>
      <c r="P53" s="476"/>
      <c r="Q53" s="476"/>
      <c r="R53" s="476"/>
      <c r="S53" s="475"/>
      <c r="T53" s="476"/>
      <c r="U53" s="476"/>
      <c r="V53" s="476"/>
      <c r="W53" s="476"/>
      <c r="X53" s="475"/>
      <c r="Y53" s="476"/>
      <c r="Z53" s="476"/>
      <c r="AA53" s="476"/>
      <c r="AB53" s="476"/>
      <c r="AC53" s="475"/>
      <c r="AD53" s="476"/>
      <c r="AE53" s="476"/>
      <c r="AF53" s="476"/>
      <c r="AG53" s="476"/>
      <c r="AH53" s="475"/>
      <c r="AI53" s="476"/>
      <c r="AJ53" s="476"/>
      <c r="AK53" s="476"/>
      <c r="AL53" s="476"/>
      <c r="AM53" s="475"/>
      <c r="AN53" s="476"/>
      <c r="AO53" s="476"/>
      <c r="AP53" s="476"/>
      <c r="AQ53" s="476"/>
      <c r="AR53" s="475"/>
      <c r="AS53" s="476"/>
      <c r="AT53" s="476"/>
      <c r="AU53" s="476"/>
      <c r="AV53" s="476"/>
      <c r="AW53" s="475"/>
      <c r="AX53" s="476"/>
      <c r="AY53" s="476"/>
      <c r="AZ53" s="476"/>
      <c r="BA53" s="476"/>
      <c r="BB53" s="475"/>
      <c r="BC53" s="476"/>
      <c r="BD53" s="476"/>
      <c r="BE53" s="476"/>
      <c r="BF53" s="476"/>
      <c r="BG53" s="475"/>
      <c r="BH53" s="476"/>
      <c r="BI53" s="476"/>
      <c r="BJ53" s="476"/>
      <c r="BK53" s="476"/>
      <c r="BL53" s="475"/>
      <c r="BM53" s="476"/>
      <c r="BN53" s="476"/>
      <c r="BO53" s="476"/>
      <c r="BP53" s="476"/>
      <c r="BQ53" s="475"/>
      <c r="BR53" s="476"/>
      <c r="BS53" s="476"/>
      <c r="BT53" s="476"/>
      <c r="BU53" s="476"/>
      <c r="BV53" s="475"/>
      <c r="BW53" s="476"/>
      <c r="BX53" s="476"/>
      <c r="BY53" s="476"/>
      <c r="BZ53" s="476"/>
      <c r="CA53" s="475"/>
      <c r="CB53" s="476"/>
      <c r="CC53" s="476"/>
      <c r="CD53" s="476"/>
      <c r="CE53" s="476"/>
      <c r="CF53" s="475"/>
      <c r="CG53" s="485"/>
      <c r="CH53" s="485"/>
      <c r="CI53" s="485"/>
      <c r="CJ53" s="485"/>
      <c r="CK53" s="475"/>
      <c r="CL53" s="485"/>
      <c r="CM53" s="485"/>
      <c r="CN53" s="485"/>
      <c r="CO53" s="485"/>
      <c r="CP53" s="475"/>
      <c r="CQ53" s="475"/>
      <c r="CR53" s="475"/>
      <c r="CS53" s="475"/>
    </row>
    <row r="54" spans="1:97" hidden="1" outlineLevel="1">
      <c r="B54" s="481" t="s">
        <v>184</v>
      </c>
      <c r="C54" s="475"/>
      <c r="D54" s="475"/>
      <c r="E54" s="475"/>
      <c r="F54" s="475"/>
      <c r="G54" s="475"/>
      <c r="H54" s="475"/>
      <c r="I54" s="475"/>
      <c r="J54" s="476"/>
      <c r="K54" s="476"/>
      <c r="L54" s="476"/>
      <c r="M54" s="476"/>
      <c r="N54" s="475"/>
      <c r="O54" s="476"/>
      <c r="P54" s="476"/>
      <c r="Q54" s="476"/>
      <c r="R54" s="476"/>
      <c r="S54" s="475"/>
      <c r="T54" s="476"/>
      <c r="U54" s="476"/>
      <c r="V54" s="476"/>
      <c r="W54" s="476"/>
      <c r="X54" s="475"/>
      <c r="Y54" s="476"/>
      <c r="Z54" s="476"/>
      <c r="AA54" s="476"/>
      <c r="AB54" s="476"/>
      <c r="AC54" s="475"/>
      <c r="AD54" s="476"/>
      <c r="AE54" s="476"/>
      <c r="AF54" s="476"/>
      <c r="AG54" s="476"/>
      <c r="AH54" s="475"/>
      <c r="AI54" s="476"/>
      <c r="AJ54" s="476"/>
      <c r="AK54" s="476"/>
      <c r="AL54" s="476"/>
      <c r="AM54" s="475"/>
      <c r="AN54" s="476"/>
      <c r="AO54" s="476"/>
      <c r="AP54" s="476"/>
      <c r="AQ54" s="476"/>
      <c r="AR54" s="475"/>
      <c r="AS54" s="476"/>
      <c r="AT54" s="476"/>
      <c r="AU54" s="476"/>
      <c r="AV54" s="476"/>
      <c r="AW54" s="475"/>
      <c r="AX54" s="476"/>
      <c r="AY54" s="476"/>
      <c r="AZ54" s="476"/>
      <c r="BA54" s="476"/>
      <c r="BB54" s="475"/>
      <c r="BC54" s="476"/>
      <c r="BD54" s="476"/>
      <c r="BE54" s="476"/>
      <c r="BF54" s="476"/>
      <c r="BG54" s="475"/>
      <c r="BH54" s="476"/>
      <c r="BI54" s="476"/>
      <c r="BJ54" s="476"/>
      <c r="BK54" s="476"/>
      <c r="BL54" s="475"/>
      <c r="BM54" s="476"/>
      <c r="BN54" s="476"/>
      <c r="BO54" s="476"/>
      <c r="BP54" s="476"/>
      <c r="BQ54" s="475"/>
      <c r="BR54" s="476"/>
      <c r="BS54" s="476"/>
      <c r="BT54" s="476"/>
      <c r="BU54" s="476"/>
      <c r="BV54" s="475"/>
      <c r="BW54" s="476"/>
      <c r="BX54" s="476"/>
      <c r="BY54" s="476"/>
      <c r="BZ54" s="476"/>
      <c r="CA54" s="475"/>
      <c r="CB54" s="476"/>
      <c r="CC54" s="476"/>
      <c r="CD54" s="476"/>
      <c r="CE54" s="476"/>
      <c r="CF54" s="475"/>
      <c r="CG54" s="476"/>
      <c r="CH54" s="476"/>
      <c r="CI54" s="476"/>
      <c r="CJ54" s="476"/>
      <c r="CK54" s="475"/>
      <c r="CL54" s="476"/>
      <c r="CM54" s="476"/>
      <c r="CN54" s="476"/>
      <c r="CO54" s="476"/>
      <c r="CP54" s="475"/>
      <c r="CQ54" s="475"/>
      <c r="CR54" s="475"/>
      <c r="CS54" s="475"/>
    </row>
    <row r="55" spans="1:97" hidden="1" outlineLevel="1">
      <c r="B55" s="433" t="s">
        <v>90</v>
      </c>
      <c r="C55" s="475"/>
      <c r="D55" s="475"/>
      <c r="E55" s="475"/>
      <c r="F55" s="475"/>
      <c r="G55" s="475"/>
      <c r="H55" s="475"/>
      <c r="I55" s="475"/>
      <c r="J55" s="476"/>
      <c r="K55" s="476" t="str">
        <f>IF(ISERROR(K13/J13-1),"",(K13/J13-1))</f>
        <v/>
      </c>
      <c r="L55" s="476" t="str">
        <f>IF(ISERROR(L13/K13-1),"",(L13/K13-1))</f>
        <v/>
      </c>
      <c r="M55" s="476" t="str">
        <f>IF(ISERROR(M13/L13-1),"",(M13/L13-1))</f>
        <v/>
      </c>
      <c r="N55" s="475"/>
      <c r="O55" s="476" t="str">
        <f>IF(ISERROR(O13/M13-1),"",(O13/M13-1))</f>
        <v/>
      </c>
      <c r="P55" s="476" t="str">
        <f>IF(ISERROR(P13/O13-1),"",(P13/O13-1))</f>
        <v/>
      </c>
      <c r="Q55" s="476" t="str">
        <f>IF(ISERROR(Q13/P13-1),"",(Q13/P13-1))</f>
        <v/>
      </c>
      <c r="R55" s="476" t="str">
        <f>IF(ISERROR(R13/Q13-1),"",(R13/Q13-1))</f>
        <v/>
      </c>
      <c r="S55" s="475"/>
      <c r="T55" s="476"/>
      <c r="U55" s="476">
        <f>IF(ISERROR(U13/T13-1),"",(U13/T13-1))</f>
        <v>-0.10621557828481532</v>
      </c>
      <c r="V55" s="476">
        <f>IF(ISERROR(V13/U13-1),"",(V13/U13-1))</f>
        <v>-9.9471830985915499E-2</v>
      </c>
      <c r="W55" s="476">
        <f>IF(ISERROR(W13/V13-1),"",(W13/V13-1))</f>
        <v>0.25073313782991202</v>
      </c>
      <c r="X55" s="475"/>
      <c r="Y55" s="476">
        <f>IF(ISERROR(Y13/W13-1),"",(Y13/W13-1))</f>
        <v>-6.2133645955451233E-2</v>
      </c>
      <c r="Z55" s="476">
        <f>IF(ISERROR(Z13/Y13-1),"",(Z13/Y13-1))</f>
        <v>1.2499999999999734E-3</v>
      </c>
      <c r="AA55" s="476">
        <f>IF(ISERROR(AA13/Z13-1),"",(AA13/Z13-1))</f>
        <v>-3.6204744069912698E-2</v>
      </c>
      <c r="AB55" s="476">
        <f>IF(ISERROR(AB13/AA13-1),"",(AB13/AA13-1))</f>
        <v>0.13989637305699487</v>
      </c>
      <c r="AC55" s="475"/>
      <c r="AD55" s="476">
        <f>IF(ISERROR(AD13/AB13-1),"",(AD13/AB13-1))</f>
        <v>9.4318181818181746E-2</v>
      </c>
      <c r="AE55" s="476">
        <f>IF(ISERROR(AE13/AD13-1),"",(AE13/AD13-1))</f>
        <v>4.9844236760124838E-2</v>
      </c>
      <c r="AF55" s="476">
        <f>IF(ISERROR(AF13/AE13-1),"",(AF13/AE13-1))</f>
        <v>-8.4075173095944589E-2</v>
      </c>
      <c r="AG55" s="476">
        <f>IF(ISERROR(AG13/AF13-1),"",(AG13/AF13-1))</f>
        <v>-0.11663066954643597</v>
      </c>
      <c r="AH55" s="475"/>
      <c r="AI55" s="476">
        <f>IF(ISERROR(AI13/AG13-1),"",(AI13/AG13-1))</f>
        <v>3.3007334963324864E-2</v>
      </c>
      <c r="AJ55" s="476">
        <f>IF(ISERROR(AJ13/AI13-1),"",(AJ13/AI13-1))</f>
        <v>-0.1313609467455622</v>
      </c>
      <c r="AK55" s="476">
        <f>IF(ISERROR(AK13/AJ13-1),"",(AK13/AJ13-1))</f>
        <v>-8.2652134423251589E-2</v>
      </c>
      <c r="AL55" s="476">
        <f>IF(ISERROR(AL13/AK13-1),"",(AL13/AK13-1))</f>
        <v>3.0198019801980225E-2</v>
      </c>
      <c r="AM55" s="475"/>
      <c r="AN55" s="476"/>
      <c r="AO55" s="476"/>
      <c r="AP55" s="476"/>
      <c r="AQ55" s="476"/>
      <c r="AR55" s="475"/>
      <c r="AS55" s="476">
        <f>IF(ISERROR(AS13/AQ13-1),"",(AS13/AQ13-1))</f>
        <v>8.4704937775993416E-2</v>
      </c>
      <c r="AT55" s="476">
        <f>IF(ISERROR(AT13/AS13-1),"",(AT13/AS13-1))</f>
        <v>7.5869726128793502E-2</v>
      </c>
      <c r="AU55" s="476">
        <f>IF(ISERROR(AU13/AT13-1),"",(AU13/AT13-1))</f>
        <v>-4.7127622979016182E-2</v>
      </c>
      <c r="AV55" s="476">
        <f>IF(ISERROR(AV13/AU13-1),"",(AV13/AU13-1))</f>
        <v>4.8375451263537927E-2</v>
      </c>
      <c r="AW55" s="475"/>
      <c r="AX55" s="476">
        <f>IF(ISERROR(AX13/AV13-1),"",(AX13/AV13-1))</f>
        <v>0.14359504132231415</v>
      </c>
      <c r="AY55" s="476">
        <f>IF(ISERROR(AY13/AX13-1),"",(AY13/AX13-1))</f>
        <v>-1.505570611261664E-3</v>
      </c>
      <c r="AZ55" s="476">
        <f>IF(ISERROR(AZ13/AY13-1),"",(AZ13/AY13-1))</f>
        <v>-5.3377563329312538E-2</v>
      </c>
      <c r="BA55" s="476">
        <f>IF(ISERROR(BA13/AZ13-1),"",(BA13/AZ13-1))</f>
        <v>-1.2105766167569199E-2</v>
      </c>
      <c r="BB55" s="475"/>
      <c r="BC55" s="476">
        <f>IF(ISERROR(BC13/BA13-1),"",(BC13/BA13-1))</f>
        <v>0.10125765881973559</v>
      </c>
      <c r="BD55" s="476">
        <f>IF(ISERROR(BD13/BC13-1),"",(BD13/BC13-1))</f>
        <v>3.5139092240117353E-3</v>
      </c>
      <c r="BE55" s="476">
        <f>IF(ISERROR(BE13/BD13-1),"",(BE13/BD13-1))</f>
        <v>-3.7934053107674393E-2</v>
      </c>
      <c r="BF55" s="476">
        <f>IF(ISERROR(BF13/BE13-1),"",(BF13/BE13-1))</f>
        <v>3.4273582044282769E-2</v>
      </c>
      <c r="BG55" s="475"/>
      <c r="BH55" s="476">
        <f>IF(ISERROR(BH13/BF13-1),"",(BH13/BF13-1))</f>
        <v>9.9120234604105573E-2</v>
      </c>
      <c r="BI55" s="476">
        <f>IF(ISERROR(BI13/BH13-1),"",(BI13/BH13-1))</f>
        <v>1.3340448239060887E-2</v>
      </c>
      <c r="BJ55" s="476">
        <f>IF(ISERROR(BJ13/BI13-1),"",(BJ13/BI13-1))</f>
        <v>-5.3975776724591862E-2</v>
      </c>
      <c r="BK55" s="476">
        <f>IF(ISERROR(BK13/BJ13-1),"",(BK13/BJ13-1))</f>
        <v>4.0077929306985727E-2</v>
      </c>
      <c r="BL55" s="475"/>
      <c r="BM55" s="476">
        <f>IF(ISERROR(BM13/BK13-1),"",(BM13/BK13-1))</f>
        <v>3.7730800107037554E-2</v>
      </c>
      <c r="BN55" s="476">
        <f>IF(ISERROR(BN13/BM13-1),"",(BN13/BM13-1))</f>
        <v>1.4440433212996373E-2</v>
      </c>
      <c r="BO55" s="476">
        <f>IF(ISERROR(BO13/BN13-1),"",(BO13/BN13-1))</f>
        <v>-7.6512455516014266E-2</v>
      </c>
      <c r="BP55" s="476">
        <f>IF(ISERROR(BP13/BO13-1),"",(BP13/BO13-1))</f>
        <v>5.862923203963688E-2</v>
      </c>
      <c r="BQ55" s="475"/>
      <c r="BR55" s="476">
        <f>IF(ISERROR(BR13/BP13-1),"",(BR13/BP13-1))</f>
        <v>7.6183047321892738E-2</v>
      </c>
      <c r="BS55" s="476">
        <f>IF(ISERROR(BS13/BR13-1),"",(BS13/BR13-1))</f>
        <v>7.3206088427156368E-2</v>
      </c>
      <c r="BT55" s="476">
        <f>IF(ISERROR(BT13/BS13-1),"",(BT13/BS13-1))</f>
        <v>-6.7086897793786626E-2</v>
      </c>
      <c r="BU55" s="476">
        <f>IF(ISERROR(BU13/BT13-1),"",(BU13/BT13-1))</f>
        <v>-2.2442084942084883E-2</v>
      </c>
      <c r="BV55" s="475"/>
      <c r="BW55" s="476">
        <f>IF(ISERROR(BW13/BU13-1),"",(BW13/BU13-1))</f>
        <v>-1.2342631449024921E-3</v>
      </c>
      <c r="BX55" s="476">
        <f>IF(ISERROR(BX13/BW13-1),"",(BX13/BW13-1))</f>
        <v>1.9278299555115952E-2</v>
      </c>
      <c r="BY55" s="476">
        <f>IF(ISERROR(BY13/BX13-1),"",(BY13/BX13-1))</f>
        <v>7.0320077594570041E-3</v>
      </c>
      <c r="BZ55" s="476">
        <f>IF(ISERROR(BZ13/BY13-1),"",(BZ13/BY13-1))</f>
        <v>3.154346255718754E-2</v>
      </c>
      <c r="CA55" s="475"/>
      <c r="CB55" s="476">
        <f>IF(ISERROR(CB13/BZ13-1),"",(CB13/BZ13-1))</f>
        <v>8.2633053221288666E-2</v>
      </c>
      <c r="CC55" s="476">
        <f>IF(ISERROR(CC13/CB13-1),"",(CC13/CB13-1))</f>
        <v>4.9590340664078525E-3</v>
      </c>
      <c r="CD55" s="476">
        <f>IF(ISERROR(CD13/CC13-1),"",(CD13/CC13-1))</f>
        <v>-3.4541943788886531E-2</v>
      </c>
      <c r="CE55" s="476">
        <f>IF(ISERROR(CE13/CD13-1),"",(CE13/CD13-1))</f>
        <v>3.3777777777777684E-2</v>
      </c>
      <c r="CF55" s="475"/>
      <c r="CG55" s="476">
        <f>IF(ISERROR(CG13/CE13-1),"",(CG13/CE13-1))</f>
        <v>8.9638865004299184E-2</v>
      </c>
      <c r="CH55" s="476">
        <f>IF(ISERROR(CH13/CG13-1),"",(CH13/CG13-1))</f>
        <v>-2.7618859735647483E-3</v>
      </c>
      <c r="CI55" s="476">
        <f>IF(ISERROR(CI13/CH13-1),"",(CI13/CH13-1))</f>
        <v>-6.765578635014835E-2</v>
      </c>
      <c r="CJ55" s="476">
        <f>IF(ISERROR(CJ13/CI13-1),"",(CJ13/CI13-1))</f>
        <v>-1.8035221727137674E-2</v>
      </c>
      <c r="CK55" s="475"/>
      <c r="CL55" s="476">
        <f>IF(ISERROR(CL13/CJ13-1),"",(CL13/CJ13-1))</f>
        <v>1.080380293863481E-3</v>
      </c>
      <c r="CM55" s="476">
        <f>IF(ISERROR(CM13/CL13-1),"",(CM13/CL13-1))</f>
        <v>-0.42435920569825158</v>
      </c>
      <c r="CN55" s="476">
        <f>IF(ISERROR(CN13/CM13-1),"",(CN13/CM13-1))</f>
        <v>0.14760251040910566</v>
      </c>
      <c r="CO55" s="476">
        <f>IF(ISERROR(CO13/CN13-1),"",(CO13/CN13-1))</f>
        <v>0.17111895433019897</v>
      </c>
      <c r="CP55" s="475"/>
      <c r="CQ55" s="475" t="str">
        <f>IF(ISERROR(#REF!/#REF!-1),"",(#REF!/#REF!-1))</f>
        <v/>
      </c>
      <c r="CR55" s="475" t="str">
        <f>IF(ISERROR(#REF!/#REF!-1),"",(#REF!/#REF!-1))</f>
        <v/>
      </c>
      <c r="CS55" s="475" t="str">
        <f>IF(ISERROR(#REF!/#REF!-1),"",(#REF!/#REF!-1))</f>
        <v/>
      </c>
    </row>
    <row r="56" spans="1:97" ht="13.5" hidden="1" customHeight="1" outlineLevel="1">
      <c r="B56" s="433" t="s">
        <v>91</v>
      </c>
      <c r="C56" s="475"/>
      <c r="D56" s="475"/>
      <c r="E56" s="475"/>
      <c r="F56" s="475"/>
      <c r="G56" s="475"/>
      <c r="H56" s="475"/>
      <c r="I56" s="475"/>
      <c r="J56" s="476"/>
      <c r="K56" s="476" t="str">
        <f>IF(ISERROR(K19/J19-1),"",K19/J19-1)</f>
        <v/>
      </c>
      <c r="L56" s="476" t="str">
        <f>IF(ISERROR(L19/K19-1),"",L19/K19-1)</f>
        <v/>
      </c>
      <c r="M56" s="476" t="str">
        <f>IF(ISERROR(M19/L19-1),"",M19/L19-1)</f>
        <v/>
      </c>
      <c r="N56" s="475"/>
      <c r="O56" s="476" t="str">
        <f>IF(ISERROR(O19/M19-1),"",O19/M19-1)</f>
        <v/>
      </c>
      <c r="P56" s="476" t="str">
        <f>IF(ISERROR(P19/O19-1),"",P19/O19-1)</f>
        <v/>
      </c>
      <c r="Q56" s="476" t="str">
        <f>IF(ISERROR(Q19/P19-1),"",Q19/P19-1)</f>
        <v/>
      </c>
      <c r="R56" s="476" t="str">
        <f>IF(ISERROR(R19/Q19-1),"",R19/Q19-1)</f>
        <v/>
      </c>
      <c r="S56" s="475"/>
      <c r="T56" s="476"/>
      <c r="U56" s="476">
        <f>IF(ISERROR(U19/T19-1),"",U19/T19-1)</f>
        <v>-0.35802469135802473</v>
      </c>
      <c r="V56" s="476">
        <f>IF(ISERROR(V19/U19-1),"",V19/U19-1)</f>
        <v>1.9230769230769384E-2</v>
      </c>
      <c r="W56" s="476">
        <f>IF(ISERROR(W19/V19-1),"",W19/V19-1)</f>
        <v>0.29559748427672905</v>
      </c>
      <c r="X56" s="475"/>
      <c r="Y56" s="476">
        <f>IF(ISERROR(Y19/W19-1),"",Y19/W19-1)</f>
        <v>-0.13915857605177961</v>
      </c>
      <c r="Z56" s="476">
        <f>IF(ISERROR(Z19/Y19-1),"",Z19/Y19-1)</f>
        <v>0.10526315789473673</v>
      </c>
      <c r="AA56" s="476">
        <f>IF(ISERROR(AA19/Z19-1),"",AA19/Z19-1)</f>
        <v>-2.2108843537414935E-2</v>
      </c>
      <c r="AB56" s="476">
        <f>IF(ISERROR(AB19/AA19-1),"",AB19/AA19-1)</f>
        <v>8.1739130434782314E-2</v>
      </c>
      <c r="AC56" s="475"/>
      <c r="AD56" s="476">
        <f>IF(ISERROR(AD19/AB19-1),"",AD19/AB19-1)</f>
        <v>7.5562700964630469E-2</v>
      </c>
      <c r="AE56" s="476">
        <f>IF(ISERROR(AE19/AD19-1),"",AE19/AD19-1)</f>
        <v>1.494768310911665E-3</v>
      </c>
      <c r="AF56" s="476">
        <f>IF(ISERROR(AF19/AE19-1),"",AF19/AE19-1)</f>
        <v>-6.2686567164179197E-2</v>
      </c>
      <c r="AG56" s="476">
        <f>IF(ISERROR(AG19/AF19-1),"",AG19/AF19-1)</f>
        <v>-0.15127388535031827</v>
      </c>
      <c r="AH56" s="475"/>
      <c r="AI56" s="476">
        <f>IF(ISERROR(AI19/AG19-1),"",AI19/AG19-1)</f>
        <v>0.18011257035647255</v>
      </c>
      <c r="AJ56" s="476">
        <f>IF(ISERROR(AJ19/AI19-1),"",AJ19/AI19-1)</f>
        <v>9.5389507154213238E-3</v>
      </c>
      <c r="AK56" s="476">
        <f>IF(ISERROR(AK19/AJ19-1),"",AK19/AJ19-1)</f>
        <v>-3.3070866141732269E-2</v>
      </c>
      <c r="AL56" s="476">
        <f>IF(ISERROR(AL19/AK19-1),"",AL19/AK19-1)</f>
        <v>4.2345276872964188E-2</v>
      </c>
      <c r="AM56" s="475"/>
      <c r="AN56" s="476"/>
      <c r="AO56" s="476"/>
      <c r="AP56" s="476"/>
      <c r="AQ56" s="476"/>
      <c r="AR56" s="475"/>
      <c r="AS56" s="476">
        <f>IF(ISERROR(AS19/AQ19-1),"",AS19/AQ19-1)</f>
        <v>6.9306930693069368E-2</v>
      </c>
      <c r="AT56" s="476">
        <f>IF(ISERROR(AT19/AS19-1),"",AT19/AS19-1)</f>
        <v>1.9841269841269993E-2</v>
      </c>
      <c r="AU56" s="476">
        <f>IF(ISERROR(AU19/AT19-1),"",AU19/AT19-1)</f>
        <v>0.16342412451361854</v>
      </c>
      <c r="AV56" s="476">
        <f>IF(ISERROR(AV19/AU19-1),"",AV19/AU19-1)</f>
        <v>-0.14046822742474929</v>
      </c>
      <c r="AW56" s="475"/>
      <c r="AX56" s="476">
        <f>IF(ISERROR(AX19/AV19-1),"",AX19/AV19-1)</f>
        <v>8.949416342412464E-2</v>
      </c>
      <c r="AY56" s="476">
        <f>IF(ISERROR(AY19/AX19-1),"",AY19/AX19-1)</f>
        <v>-1.5476190476190421E-2</v>
      </c>
      <c r="AZ56" s="476">
        <f>IF(ISERROR(AZ19/AY19-1),"",AZ19/AY19-1)</f>
        <v>0.11970979443772656</v>
      </c>
      <c r="BA56" s="476">
        <f>IF(ISERROR(BA19/AZ19-1),"",BA19/AZ19-1)</f>
        <v>-2.8077753779697567E-2</v>
      </c>
      <c r="BB56" s="475"/>
      <c r="BC56" s="476">
        <f>IF(ISERROR(BC19/BA19-1),"",BC19/BA19-1)</f>
        <v>2.5555555555555554E-2</v>
      </c>
      <c r="BD56" s="476">
        <f>IF(ISERROR(BD19/BC19-1),"",BD19/BC19-1)</f>
        <v>6.6088840736728161E-2</v>
      </c>
      <c r="BE56" s="476">
        <f>IF(ISERROR(BE19/BD19-1),"",BE19/BD19-1)</f>
        <v>1.4227642276422703E-2</v>
      </c>
      <c r="BF56" s="476">
        <f>IF(ISERROR(BF19/BE19-1),"",BF19/BE19-1)</f>
        <v>2.8056112224448926E-2</v>
      </c>
      <c r="BG56" s="475"/>
      <c r="BH56" s="476">
        <f>IF(ISERROR(BH19/BF19-1),"",BH19/BF19-1)</f>
        <v>2.8265107212475771E-2</v>
      </c>
      <c r="BI56" s="476">
        <f>IF(ISERROR(BI19/BH19-1),"",BI19/BH19-1)</f>
        <v>3.3175355450236976E-2</v>
      </c>
      <c r="BJ56" s="476">
        <f>IF(ISERROR(BJ19/BI19-1),"",BJ19/BI19-1)</f>
        <v>3.6697247706423131E-3</v>
      </c>
      <c r="BK56" s="476">
        <f>IF(ISERROR(BK19/BJ19-1),"",BK19/BJ19-1)</f>
        <v>2.833638025594154E-2</v>
      </c>
      <c r="BL56" s="475"/>
      <c r="BM56" s="476">
        <f>IF(ISERROR(BM19/BK19-1),"",BM19/BK19-1)</f>
        <v>-7.1111111111111125E-2</v>
      </c>
      <c r="BN56" s="476">
        <f>IF(ISERROR(BN19/BM19-1),"",BN19/BM19-1)</f>
        <v>-2.2009569377990368E-2</v>
      </c>
      <c r="BO56" s="476">
        <f>IF(ISERROR(BO19/BN19-1),"",BO19/BN19-1)</f>
        <v>-7.8277886497064575E-3</v>
      </c>
      <c r="BP56" s="476">
        <f>IF(ISERROR(BP19/BO19-1),"",BP19/BO19-1)</f>
        <v>1.4792899408283988E-2</v>
      </c>
      <c r="BQ56" s="475"/>
      <c r="BR56" s="476">
        <f>IF(ISERROR(BR19/BP19-1),"",BR19/BP19-1)</f>
        <v>-9.7181729834791009E-3</v>
      </c>
      <c r="BS56" s="476">
        <f>IF(ISERROR(BS19/BR19-1),"",BS19/BR19-1)</f>
        <v>-4.5142296368989254E-2</v>
      </c>
      <c r="BT56" s="476">
        <f>IF(ISERROR(BT19/BS19-1),"",BT19/BS19-1)</f>
        <v>5.1387461459403871E-2</v>
      </c>
      <c r="BU56" s="476">
        <f>IF(ISERROR(BU19/BT19-1),"",BU19/BT19-1)</f>
        <v>-9.1886608015640192E-2</v>
      </c>
      <c r="BV56" s="475"/>
      <c r="BW56" s="476">
        <f>IF(ISERROR(BW19/BU19-1),"",BW19/BU19-1)</f>
        <v>-1.7222820236813874E-2</v>
      </c>
      <c r="BX56" s="476">
        <f>IF(ISERROR(BX19/BW19-1),"",BX19/BW19-1)</f>
        <v>2.9572836801752489E-2</v>
      </c>
      <c r="BY56" s="476">
        <f>IF(ISERROR(BY19/BX19-1),"",BY19/BX19-1)</f>
        <v>-1.4893617021276673E-2</v>
      </c>
      <c r="BZ56" s="476">
        <f>IF(ISERROR(BZ19/BY19-1),"",BZ19/BY19-1)</f>
        <v>6.5874730021598271E-2</v>
      </c>
      <c r="CA56" s="475"/>
      <c r="CB56" s="476">
        <f>IF(ISERROR(CB19/BZ19-1),"",CB19/BZ19-1)</f>
        <v>-3.2421479229989947E-2</v>
      </c>
      <c r="CC56" s="476">
        <f>IF(ISERROR(CC19/CB19-1),"",CC19/CB19-1)</f>
        <v>6.4921465968586389E-2</v>
      </c>
      <c r="CD56" s="476">
        <f>IF(ISERROR(CD19/CC19-1),"",CD19/CC19-1)</f>
        <v>5.8997050147492569E-2</v>
      </c>
      <c r="CE56" s="476">
        <f>IF(ISERROR(CE19/CD19-1),"",CE19/CD19-1)</f>
        <v>5.6638811513463283E-2</v>
      </c>
      <c r="CF56" s="475"/>
      <c r="CG56" s="476">
        <f>IF(ISERROR(CG19/CE19-1),"",CG19/CE19-1)</f>
        <v>7.4692442882249521E-2</v>
      </c>
      <c r="CH56" s="476">
        <f>IF(ISERROR(CH19/CG19-1),"",CH19/CG19-1)</f>
        <v>2.2076860179885527E-2</v>
      </c>
      <c r="CI56" s="476">
        <f>IF(ISERROR(CI19/CH19-1),"",CI19/CH19-1)</f>
        <v>-4.0000000000000036E-3</v>
      </c>
      <c r="CJ56" s="476">
        <f>IF(ISERROR(CJ19/CI19-1),"",CJ19/CI19-1)</f>
        <v>-2.3293172690763142E-2</v>
      </c>
      <c r="CK56" s="475"/>
      <c r="CL56" s="476">
        <f>IF(ISERROR(CL19/CJ19-1),"",CL19/CJ19-1)</f>
        <v>-0.15296052631578938</v>
      </c>
      <c r="CM56" s="476">
        <f>IF(ISERROR(CM19/CL19-1),"",CM19/CL19-1)</f>
        <v>-0.47212019417475726</v>
      </c>
      <c r="CN56" s="476">
        <f>IF(ISERROR(CN19/CM19-1),"",CN19/CM19-1)</f>
        <v>0.18488027393702811</v>
      </c>
      <c r="CO56" s="476">
        <f>IF(ISERROR(CO19/CN19-1),"",CO19/CN19-1)</f>
        <v>0.23254551962580328</v>
      </c>
      <c r="CP56" s="475"/>
      <c r="CQ56" s="475" t="str">
        <f>IF(ISERROR(#REF!/#REF!-1),"",(#REF!/#REF!-1))</f>
        <v/>
      </c>
      <c r="CR56" s="475" t="str">
        <f>IF(ISERROR(#REF!/#REF!-1),"",(#REF!/#REF!-1))</f>
        <v/>
      </c>
      <c r="CS56" s="475" t="str">
        <f>IF(ISERROR(#REF!/#REF!-1),"",(#REF!/#REF!-1))</f>
        <v/>
      </c>
    </row>
    <row r="57" spans="1:97" hidden="1" outlineLevel="1">
      <c r="B57" s="463" t="s">
        <v>93</v>
      </c>
      <c r="C57" s="478"/>
      <c r="D57" s="478"/>
      <c r="E57" s="478"/>
      <c r="F57" s="478"/>
      <c r="G57" s="478"/>
      <c r="H57" s="478"/>
      <c r="I57" s="478"/>
      <c r="J57" s="479"/>
      <c r="K57" s="479">
        <f>IF(ISERROR(K26/J26-1),"",(K26/J26-1))</f>
        <v>3.5768645357686424E-2</v>
      </c>
      <c r="L57" s="479">
        <f>IF(ISERROR(L26/K26-1),"",(L26/K26-1))</f>
        <v>-3.3431300514327522E-2</v>
      </c>
      <c r="M57" s="479">
        <f>IF(ISERROR(M26/L26-1),"",(M26/L26-1))</f>
        <v>5.0551121246674047E-2</v>
      </c>
      <c r="N57" s="478"/>
      <c r="O57" s="479">
        <f>IF(ISERROR(O26/M26-1),"",(O26/M26-1))</f>
        <v>5.137481910274988E-2</v>
      </c>
      <c r="P57" s="479">
        <f>IF(ISERROR(P26/O26-1),"",(P26/O26-1))</f>
        <v>7.1231933929800428E-2</v>
      </c>
      <c r="Q57" s="479">
        <f>IF(ISERROR(Q26/P26-1),"",(Q26/P26-1))</f>
        <v>-0.11146803726309018</v>
      </c>
      <c r="R57" s="479">
        <f>IF(ISERROR(R26/Q26-1),"",(R26/Q26-1))</f>
        <v>2.2776572668112394E-2</v>
      </c>
      <c r="S57" s="478"/>
      <c r="T57" s="479">
        <f>IF(ISERROR(T26/R26-1),"",(T26/R26-1))</f>
        <v>8.5189112760693186E-2</v>
      </c>
      <c r="U57" s="479">
        <f>IF(ISERROR(U26/T26-1),"",(U26/T26-1))</f>
        <v>2.931596091205213E-2</v>
      </c>
      <c r="V57" s="479">
        <f>IF(ISERROR(V26/U26-1),"",(V26/U26-1))</f>
        <v>-8.5126582278480911E-2</v>
      </c>
      <c r="W57" s="479">
        <f>IF(ISERROR(W26/V26-1),"",(W26/V26-1))</f>
        <v>-2.8017986855759291E-2</v>
      </c>
      <c r="X57" s="478"/>
      <c r="Y57" s="479">
        <f>IF(ISERROR(Y26/W26-1),"",(Y26/W26-1))</f>
        <v>5.6939501779358359E-3</v>
      </c>
      <c r="Z57" s="479">
        <f>IF(ISERROR(Z26/Y26-1),"",(Z26/Y26-1))</f>
        <v>2.5477707006369643E-2</v>
      </c>
      <c r="AA57" s="479">
        <f>IF(ISERROR(AA26/Z26-1),"",(AA26/Z26-1))</f>
        <v>-3.0020703933747339E-2</v>
      </c>
      <c r="AB57" s="479">
        <f>IF(ISERROR(AB26/AA26-1),"",(AB26/AA26-1))</f>
        <v>0.12984702952685856</v>
      </c>
      <c r="AC57" s="478"/>
      <c r="AD57" s="479">
        <f>IF(ISERROR(AD26/AB26-1),"",(AD26/AB26-1))</f>
        <v>8.4697732997480957E-2</v>
      </c>
      <c r="AE57" s="479">
        <f>IF(ISERROR(AE26/AD26-1),"",(AE26/AD26-1))</f>
        <v>4.3541364296081353E-2</v>
      </c>
      <c r="AF57" s="479">
        <f>IF(ISERROR(AF26/AE26-1),"",(AF26/AE26-1))</f>
        <v>-7.8164116828928987E-2</v>
      </c>
      <c r="AG57" s="479">
        <f>IF(ISERROR(AG26/AF26-1),"",(AG26/AF26-1))</f>
        <v>-0.12643331321665641</v>
      </c>
      <c r="AH57" s="478"/>
      <c r="AI57" s="479">
        <f>IF(ISERROR(AI26/AG26-1),"",(AI26/AG26-1))</f>
        <v>6.1485319516407122E-2</v>
      </c>
      <c r="AJ57" s="479">
        <f>IF(ISERROR(AJ26/AI26-1),"",(AJ26/AI26-1))</f>
        <v>-9.7624471200780771E-2</v>
      </c>
      <c r="AK57" s="479">
        <f>IF(ISERROR(AK26/AJ26-1),"",(AK26/AJ26-1))</f>
        <v>-7.2845293905517638E-2</v>
      </c>
      <c r="AL57" s="479">
        <f>IF(ISERROR(AL26/AK26-1),"",(AL26/AK26-1))</f>
        <v>3.6950602878257799E-2</v>
      </c>
      <c r="AM57" s="478"/>
      <c r="AN57" s="479"/>
      <c r="AO57" s="479"/>
      <c r="AP57" s="479"/>
      <c r="AQ57" s="479"/>
      <c r="AR57" s="478"/>
      <c r="AS57" s="479">
        <f>IF(ISERROR(AS26/AQ26-1),"",(AS26/AQ26-1))</f>
        <v>6.6237942122186366E-2</v>
      </c>
      <c r="AT57" s="479">
        <f>IF(ISERROR(AT26/AS26-1),"",(AT26/AS26-1))</f>
        <v>6.6646562123039876E-2</v>
      </c>
      <c r="AU57" s="479">
        <f>IF(ISERROR(AU26/AT26-1),"",(AU26/AT26-1))</f>
        <v>-5.3717839977380777E-3</v>
      </c>
      <c r="AV57" s="479">
        <f>IF(ISERROR(AV26/AU26-1),"",(AV26/AU26-1))</f>
        <v>9.9488345650937671E-3</v>
      </c>
      <c r="AW57" s="478"/>
      <c r="AX57" s="479">
        <f>IF(ISERROR(AX26/AV26-1),"",(AX26/AV26-1))</f>
        <v>0.12609062763861534</v>
      </c>
      <c r="AY57" s="479">
        <f>IF(ISERROR(AY26/AX26-1),"",(AY26/AX26-1))</f>
        <v>-2.2494376405899352E-3</v>
      </c>
      <c r="AZ57" s="479">
        <f>IF(ISERROR(AZ26/AY26-1),"",(AZ26/AY26-1))</f>
        <v>-1.9038076152304573E-2</v>
      </c>
      <c r="BA57" s="479">
        <f>IF(ISERROR(BA26/AZ26-1),"",(BA26/AZ26-1))</f>
        <v>-1.098059244126659E-2</v>
      </c>
      <c r="BB57" s="478"/>
      <c r="BC57" s="479">
        <f>IF(ISERROR(BC26/BA26-1),"",(BC26/BA26-1))</f>
        <v>7.5393751613736182E-2</v>
      </c>
      <c r="BD57" s="479">
        <f>IF(ISERROR(BD26/BC26-1),"",(BD26/BC26-1))</f>
        <v>1.4645858343337315E-2</v>
      </c>
      <c r="BE57" s="479">
        <f>IF(ISERROR(BE26/BD26-1),"",(BE26/BD26-1))</f>
        <v>-2.4372929484145822E-2</v>
      </c>
      <c r="BF57" s="479">
        <f>IF(ISERROR(BF26/BE26-1),"",(BF26/BE26-1))</f>
        <v>3.5168566577734595E-2</v>
      </c>
      <c r="BG57" s="478"/>
      <c r="BH57" s="479">
        <f>IF(ISERROR(BH26/BF26-1),"",(BH26/BF26-1))</f>
        <v>8.1771321462043023E-2</v>
      </c>
      <c r="BI57" s="479">
        <f>IF(ISERROR(BI26/BH26-1),"",(BI26/BH26-1))</f>
        <v>1.8193632228719947E-2</v>
      </c>
      <c r="BJ57" s="479">
        <f>IF(ISERROR(BJ26/BI26-1),"",(BJ26/BI26-1))</f>
        <v>-3.8715166985747729E-2</v>
      </c>
      <c r="BK57" s="479">
        <f>IF(ISERROR(BK26/BJ26-1),"",(BK26/BJ26-1))</f>
        <v>4.4036291214870404E-2</v>
      </c>
      <c r="BL57" s="478"/>
      <c r="BM57" s="479">
        <f>IF(ISERROR(BM26/BK26-1),"",(BM26/BK26-1))</f>
        <v>-1.1102230246251565E-16</v>
      </c>
      <c r="BN57" s="479">
        <f>IF(ISERROR(BN26/BM26-1),"",(BN26/BM26-1))</f>
        <v>8.2662144976686225E-3</v>
      </c>
      <c r="BO57" s="479">
        <f>IF(ISERROR(BO26/BN26-1),"",(BO26/BN26-1))</f>
        <v>-5.6548244692032901E-2</v>
      </c>
      <c r="BP57" s="479">
        <f>IF(ISERROR(BP26/BO26-1),"",(BP26/BO26-1))</f>
        <v>3.5873440285205005E-2</v>
      </c>
      <c r="BQ57" s="478"/>
      <c r="BR57" s="479">
        <f>IF(ISERROR(BR26/BP26-1),"",(BR26/BP26-1))</f>
        <v>7.0552807055280553E-2</v>
      </c>
      <c r="BS57" s="479">
        <f>IF(ISERROR(BS26/BR26-1),"",(BS26/BR26-1))</f>
        <v>5.0030138637733756E-2</v>
      </c>
      <c r="BT57" s="479">
        <f>IF(ISERROR(BT26/BS26-1),"",(BT26/BS26-1))</f>
        <v>-4.2288557213930544E-2</v>
      </c>
      <c r="BU57" s="479">
        <f>IF(ISERROR(BU26/BT26-1),"",(BU26/BT26-1))</f>
        <v>-3.3966033966033815E-2</v>
      </c>
      <c r="BV57" s="478"/>
      <c r="BW57" s="479">
        <f>IF(ISERROR(BW26/BU26-1),"",(BW26/BU26-1))</f>
        <v>-9.720785935884102E-3</v>
      </c>
      <c r="BX57" s="479">
        <f>IF(ISERROR(BX26/BW26-1),"",(BX26/BW26-1))</f>
        <v>2.6106934001670634E-2</v>
      </c>
      <c r="BY57" s="479">
        <f>IF(ISERROR(BY26/BX26-1),"",(BY26/BX26-1))</f>
        <v>4.0708324852434252E-4</v>
      </c>
      <c r="BZ57" s="479">
        <f>IF(ISERROR(BZ26/BY26-1),"",(BZ26/BY26-1))</f>
        <v>4.1098677517802829E-2</v>
      </c>
      <c r="CA57" s="478"/>
      <c r="CB57" s="479">
        <f>IF(ISERROR(CB26/BZ26-1),"",(CB26/BZ26-1))</f>
        <v>5.550127027555174E-2</v>
      </c>
      <c r="CC57" s="479">
        <f>IF(ISERROR(CC26/CB26-1),"",(CC26/CB26-1))</f>
        <v>1.3701166450657665E-2</v>
      </c>
      <c r="CD57" s="479">
        <f>IF(ISERROR(CD26/CC26-1),"",(CD26/CC26-1))</f>
        <v>-1.2785388127854125E-2</v>
      </c>
      <c r="CE57" s="479">
        <f>IF(ISERROR(CE26/CD26-1),"",(CE26/CD26-1))</f>
        <v>3.7927844588344195E-2</v>
      </c>
      <c r="CF57" s="478"/>
      <c r="CG57" s="479">
        <f>IF(ISERROR(CG26/CE26-1),"",(CG26/CE26-1))</f>
        <v>8.7165775401069512E-2</v>
      </c>
      <c r="CH57" s="479">
        <f>IF(ISERROR(CH26/CG26-1),"",(CH26/CG26-1))</f>
        <v>-1.4756517461879115E-3</v>
      </c>
      <c r="CI57" s="479">
        <f>IF(ISERROR(CI26/CH26-1),"",(CI26/CH26-1))</f>
        <v>-5.9934318555008192E-2</v>
      </c>
      <c r="CJ57" s="479">
        <f>IF(ISERROR(CJ26/CI26-1),"",(CJ26/CI26-1))</f>
        <v>-1.432314410480362E-2</v>
      </c>
      <c r="CK57" s="478"/>
      <c r="CL57" s="479">
        <f>IF(ISERROR(CL26/CJ26-1),"",(CL26/CJ26-1))</f>
        <v>-4.1290093921672821E-2</v>
      </c>
      <c r="CM57" s="479">
        <f>IF(ISERROR(CM26/CL26-1),"",(CM26/CL26-1))</f>
        <v>-0.44350092421441767</v>
      </c>
      <c r="CN57" s="479">
        <f>IF(ISERROR(CN26/CM26-1),"",(CN26/CM26-1))</f>
        <v>0.16746161971129236</v>
      </c>
      <c r="CO57" s="479">
        <f>IF(ISERROR(CO26/CN26-1),"",(CO26/CN26-1))</f>
        <v>0.18309278115869043</v>
      </c>
      <c r="CP57" s="478"/>
      <c r="CQ57" s="478" t="str">
        <f>IF(ISERROR(#REF!/#REF!-1),"",(#REF!/#REF!-1))</f>
        <v/>
      </c>
      <c r="CR57" s="478" t="str">
        <f>IF(ISERROR(#REF!/#REF!-1),"",(#REF!/#REF!-1))</f>
        <v/>
      </c>
      <c r="CS57" s="478" t="str">
        <f>IF(ISERROR(#REF!/#REF!-1),"",(#REF!/#REF!-1))</f>
        <v/>
      </c>
    </row>
    <row r="58" spans="1:97" hidden="1" outlineLevel="1">
      <c r="C58" s="475"/>
      <c r="D58" s="475"/>
      <c r="E58" s="475"/>
      <c r="F58" s="475"/>
      <c r="G58" s="475"/>
      <c r="H58" s="475"/>
      <c r="I58" s="475"/>
      <c r="J58" s="476"/>
      <c r="K58" s="476"/>
      <c r="L58" s="476"/>
      <c r="M58" s="476"/>
      <c r="N58" s="475"/>
      <c r="O58" s="476"/>
      <c r="P58" s="476"/>
      <c r="Q58" s="476"/>
      <c r="R58" s="476"/>
      <c r="S58" s="475"/>
      <c r="T58" s="476"/>
      <c r="U58" s="476"/>
      <c r="V58" s="476"/>
      <c r="W58" s="476"/>
      <c r="X58" s="475"/>
      <c r="Y58" s="476"/>
      <c r="Z58" s="476"/>
      <c r="AA58" s="476"/>
      <c r="AB58" s="476"/>
      <c r="AC58" s="475"/>
      <c r="AD58" s="476"/>
      <c r="AE58" s="476"/>
      <c r="AF58" s="476"/>
      <c r="AG58" s="476"/>
      <c r="AH58" s="475"/>
      <c r="AI58" s="476"/>
      <c r="AJ58" s="476"/>
      <c r="AK58" s="476"/>
      <c r="AL58" s="476"/>
      <c r="AM58" s="475"/>
      <c r="AN58" s="476"/>
      <c r="AO58" s="476"/>
      <c r="AP58" s="476"/>
      <c r="AQ58" s="476"/>
      <c r="AR58" s="475"/>
      <c r="AS58" s="476"/>
      <c r="AT58" s="476"/>
      <c r="AU58" s="476"/>
      <c r="AV58" s="476"/>
      <c r="AW58" s="475"/>
      <c r="AX58" s="476"/>
      <c r="AY58" s="476"/>
      <c r="AZ58" s="476"/>
      <c r="BA58" s="476"/>
      <c r="BB58" s="475"/>
      <c r="BC58" s="476"/>
      <c r="BD58" s="476"/>
      <c r="BE58" s="476"/>
      <c r="BF58" s="476"/>
      <c r="BG58" s="475"/>
      <c r="BH58" s="476"/>
      <c r="BI58" s="476"/>
      <c r="BJ58" s="476"/>
      <c r="BK58" s="476"/>
      <c r="BL58" s="475"/>
      <c r="BM58" s="476"/>
      <c r="BN58" s="476"/>
      <c r="BO58" s="476"/>
      <c r="BP58" s="476"/>
      <c r="BQ58" s="475"/>
      <c r="BR58" s="476"/>
      <c r="BS58" s="476"/>
      <c r="BT58" s="476"/>
      <c r="BU58" s="476"/>
      <c r="BV58" s="475"/>
      <c r="BW58" s="476"/>
      <c r="BX58" s="476"/>
      <c r="BY58" s="476"/>
      <c r="BZ58" s="476"/>
      <c r="CA58" s="475"/>
      <c r="CB58" s="476"/>
      <c r="CC58" s="476"/>
      <c r="CD58" s="476"/>
      <c r="CE58" s="476"/>
      <c r="CF58" s="475"/>
      <c r="CG58" s="476"/>
      <c r="CH58" s="476"/>
      <c r="CI58" s="476"/>
      <c r="CJ58" s="476"/>
      <c r="CK58" s="475"/>
      <c r="CL58" s="476"/>
      <c r="CM58" s="476"/>
      <c r="CN58" s="476"/>
      <c r="CO58" s="476"/>
      <c r="CP58" s="475"/>
      <c r="CQ58" s="475"/>
      <c r="CR58" s="475"/>
      <c r="CS58" s="475"/>
    </row>
    <row r="59" spans="1:97" hidden="1" outlineLevel="1">
      <c r="B59" s="481" t="s">
        <v>185</v>
      </c>
      <c r="C59" s="475"/>
      <c r="D59" s="475"/>
      <c r="E59" s="475"/>
      <c r="F59" s="475"/>
      <c r="G59" s="475"/>
      <c r="H59" s="475"/>
      <c r="I59" s="475"/>
      <c r="J59" s="476"/>
      <c r="K59" s="476"/>
      <c r="L59" s="476"/>
      <c r="M59" s="476"/>
      <c r="N59" s="475"/>
      <c r="O59" s="476"/>
      <c r="P59" s="476"/>
      <c r="Q59" s="476"/>
      <c r="R59" s="476"/>
      <c r="S59" s="475"/>
      <c r="T59" s="476"/>
      <c r="U59" s="476"/>
      <c r="V59" s="476"/>
      <c r="W59" s="476"/>
      <c r="X59" s="475"/>
      <c r="Y59" s="476"/>
      <c r="Z59" s="476"/>
      <c r="AA59" s="476"/>
      <c r="AB59" s="476"/>
      <c r="AC59" s="475"/>
      <c r="AD59" s="476"/>
      <c r="AE59" s="476"/>
      <c r="AF59" s="476"/>
      <c r="AG59" s="476"/>
      <c r="AH59" s="475"/>
      <c r="AI59" s="476"/>
      <c r="AJ59" s="476"/>
      <c r="AK59" s="476"/>
      <c r="AL59" s="476"/>
      <c r="AM59" s="475"/>
      <c r="AN59" s="476"/>
      <c r="AO59" s="476"/>
      <c r="AP59" s="476"/>
      <c r="AQ59" s="476"/>
      <c r="AR59" s="475"/>
      <c r="AS59" s="476"/>
      <c r="AT59" s="476"/>
      <c r="AU59" s="476"/>
      <c r="AV59" s="476"/>
      <c r="AW59" s="475"/>
      <c r="AX59" s="476"/>
      <c r="AY59" s="476"/>
      <c r="AZ59" s="476"/>
      <c r="BA59" s="476"/>
      <c r="BB59" s="475"/>
      <c r="BC59" s="476"/>
      <c r="BD59" s="476"/>
      <c r="BE59" s="476"/>
      <c r="BF59" s="476"/>
      <c r="BG59" s="475"/>
      <c r="BH59" s="476"/>
      <c r="BI59" s="476"/>
      <c r="BJ59" s="476"/>
      <c r="BK59" s="476"/>
      <c r="BL59" s="475"/>
      <c r="BM59" s="476"/>
      <c r="BN59" s="476"/>
      <c r="BO59" s="476"/>
      <c r="BP59" s="476"/>
      <c r="BQ59" s="475"/>
      <c r="BR59" s="476"/>
      <c r="BS59" s="476"/>
      <c r="BT59" s="476"/>
      <c r="BU59" s="476"/>
      <c r="BV59" s="475"/>
      <c r="BW59" s="476"/>
      <c r="BX59" s="476"/>
      <c r="BY59" s="476"/>
      <c r="BZ59" s="476"/>
      <c r="CA59" s="475"/>
      <c r="CB59" s="476"/>
      <c r="CC59" s="476"/>
      <c r="CD59" s="476"/>
      <c r="CE59" s="476"/>
      <c r="CF59" s="475"/>
      <c r="CG59" s="476"/>
      <c r="CH59" s="476"/>
      <c r="CI59" s="476"/>
      <c r="CJ59" s="476"/>
      <c r="CK59" s="475"/>
      <c r="CL59" s="476"/>
      <c r="CM59" s="476"/>
      <c r="CN59" s="476"/>
      <c r="CO59" s="476"/>
      <c r="CP59" s="475"/>
      <c r="CQ59" s="475"/>
      <c r="CR59" s="475"/>
      <c r="CS59" s="475"/>
    </row>
    <row r="60" spans="1:97" hidden="1" outlineLevel="1">
      <c r="B60" s="433" t="s">
        <v>90</v>
      </c>
      <c r="C60" s="475"/>
      <c r="D60" s="475"/>
      <c r="E60" s="475"/>
      <c r="F60" s="475"/>
      <c r="G60" s="475"/>
      <c r="H60" s="475"/>
      <c r="I60" s="475"/>
      <c r="J60" s="476" t="str">
        <f>IF(ISERROR(J13/N13),"",(J13/N13))</f>
        <v/>
      </c>
      <c r="K60" s="476" t="str">
        <f>IF(ISERROR(K13/N13),"",(K13/N13))</f>
        <v/>
      </c>
      <c r="L60" s="476" t="str">
        <f>IF(ISERROR(L13/N13),"",(L13/N13))</f>
        <v/>
      </c>
      <c r="M60" s="476" t="str">
        <f>IF(ISERROR(M13/N13),"",(M13/N13))</f>
        <v/>
      </c>
      <c r="N60" s="475"/>
      <c r="O60" s="476" t="str">
        <f>IF(ISERROR(O13/S13),"",(O13/S13))</f>
        <v/>
      </c>
      <c r="P60" s="476" t="str">
        <f>IF(ISERROR(P13/S13),"",(P13/S13))</f>
        <v/>
      </c>
      <c r="Q60" s="476" t="str">
        <f>IF(ISERROR(Q13/S13),"",(Q13/S13))</f>
        <v/>
      </c>
      <c r="R60" s="476" t="str">
        <f>IF(ISERROR(R13/S13),"",(R13/S13))</f>
        <v/>
      </c>
      <c r="S60" s="475"/>
      <c r="T60" s="476">
        <f>IF(ISERROR(T13/X13),"",(T13/X13))</f>
        <v>0.26988002972714731</v>
      </c>
      <c r="U60" s="476">
        <f>IF(ISERROR(U13/X13),"",(U13/X13))</f>
        <v>0.24121456630215521</v>
      </c>
      <c r="V60" s="476">
        <f>IF(ISERROR(V13/X13),"",(V13/X13))</f>
        <v>0.21722051173160634</v>
      </c>
      <c r="W60" s="476">
        <f>IF(ISERROR(W13/X13),"",(W13/X13))</f>
        <v>0.2716848922390912</v>
      </c>
      <c r="X60" s="475"/>
      <c r="Y60" s="476">
        <f>IF(ISERROR(Y13/AC13),"",(Y13/AC13))</f>
        <v>0.24592683676606211</v>
      </c>
      <c r="Z60" s="476">
        <f>IF(ISERROR(Z13/AC13),"",(Z13/AC13))</f>
        <v>0.24623424531201968</v>
      </c>
      <c r="AA60" s="476">
        <f>IF(ISERROR(AA13/AC13),"",(AA13/AC13))</f>
        <v>0.23731939747924993</v>
      </c>
      <c r="AB60" s="476">
        <f>IF(ISERROR(AB13/AC13),"",(AB13/AC13))</f>
        <v>0.2705195204426683</v>
      </c>
      <c r="AC60" s="475"/>
      <c r="AD60" s="476">
        <f>IF(ISERROR(AD13/AH13),"",(AD13/AH13))</f>
        <v>0.25901022054868206</v>
      </c>
      <c r="AE60" s="476">
        <f>IF(ISERROR(AE13/AH13),"",(AE13/AH13))</f>
        <v>0.27192038730500268</v>
      </c>
      <c r="AF60" s="476">
        <f>IF(ISERROR(AF13/AH13),"",(AF13/AH13))</f>
        <v>0.24905863367401829</v>
      </c>
      <c r="AG60" s="476">
        <f>IF(ISERROR(AG13/AH13),"",(AG13/AH13))</f>
        <v>0.22001075847229701</v>
      </c>
      <c r="AH60" s="475"/>
      <c r="AI60" s="476">
        <f>IF(ISERROR(AI13/AM13),"",(AI13/AM13))</f>
        <v>0.28682959945689068</v>
      </c>
      <c r="AJ60" s="476">
        <f>IF(ISERROR(AJ13/AM13),"",(AJ13/AM13))</f>
        <v>0.24915139171758313</v>
      </c>
      <c r="AK60" s="476">
        <f>IF(ISERROR(AK13/AM13),"",(AK13/AM13))</f>
        <v>0.22855849739760126</v>
      </c>
      <c r="AL60" s="476">
        <f>IF(ISERROR(AL13/AM13),"",(AL13/AM13))</f>
        <v>0.23546051142792485</v>
      </c>
      <c r="AM60" s="475"/>
      <c r="AN60" s="476">
        <f>IF(ISERROR(AN13/AR13),"",(AN13/AR13))</f>
        <v>0.2219041560644614</v>
      </c>
      <c r="AO60" s="476">
        <f>IF(ISERROR(AO13/AR13),"",(AO13/AR13))</f>
        <v>0.26547921967769295</v>
      </c>
      <c r="AP60" s="476">
        <f>IF(ISERROR(AP13/AR13),"",(AP13/AR13))</f>
        <v>0.24851569126378287</v>
      </c>
      <c r="AQ60" s="476">
        <f>IF(ISERROR(AQ13/AR13),"",(AQ13/AR13))</f>
        <v>0.26410093299406279</v>
      </c>
      <c r="AR60" s="475"/>
      <c r="AS60" s="476">
        <f>IF(ISERROR(AS13/AW13),"",(AS13/AW13))</f>
        <v>0.23947531684835593</v>
      </c>
      <c r="AT60" s="476">
        <f>IF(ISERROR(AT13/AW13),"",(AT13/AW13))</f>
        <v>0.25764424355224674</v>
      </c>
      <c r="AU60" s="476">
        <f>IF(ISERROR(AU13/AW13),"",(AU13/AW13))</f>
        <v>0.24550208277940266</v>
      </c>
      <c r="AV60" s="476">
        <f>IF(ISERROR(AV13/AW13),"",(AV13/AW13))</f>
        <v>0.25737835681999466</v>
      </c>
      <c r="AW60" s="475"/>
      <c r="AX60" s="476">
        <f>IF(ISERROR(AX13/BB13),"",(AX13/BB13))</f>
        <v>0.25790168517511841</v>
      </c>
      <c r="AY60" s="476">
        <f>IF(ISERROR(AY13/BB13),"",(AY13/BB13))</f>
        <v>0.25751339597732392</v>
      </c>
      <c r="AZ60" s="476">
        <f>IF(ISERROR(AZ13/BB13),"",(AZ13/BB13))</f>
        <v>0.24376795837539797</v>
      </c>
      <c r="BA60" s="476">
        <f>IF(ISERROR(BA13/BB13),"",(BA13/BB13))</f>
        <v>0.24081696047215967</v>
      </c>
      <c r="BB60" s="475"/>
      <c r="BC60" s="476">
        <f>IF(ISERROR(BC13/BG13),"",(BC13/BG13))</f>
        <v>0.25204812163259277</v>
      </c>
      <c r="BD60" s="476">
        <f>IF(ISERROR(BD13/BG13),"",(BD13/BG13))</f>
        <v>0.25293379585209236</v>
      </c>
      <c r="BE60" s="476">
        <f>IF(ISERROR(BE13/BG13),"",(BE13/BG13))</f>
        <v>0.24333899180751345</v>
      </c>
      <c r="BF60" s="476">
        <f>IF(ISERROR(BF13/BG13),"",(BF13/BG13))</f>
        <v>0.25167909070780131</v>
      </c>
      <c r="BG60" s="475"/>
      <c r="BH60" s="476">
        <f>IF(ISERROR(BH13/BL13),"",(BH13/BL13))</f>
        <v>0.25194944877655284</v>
      </c>
      <c r="BI60" s="476">
        <f>IF(ISERROR(BI13/BL13),"",(BI13/BL13))</f>
        <v>0.25531056735681634</v>
      </c>
      <c r="BJ60" s="476">
        <f>IF(ISERROR(BJ13/BL13),"",(BJ13/BL13))</f>
        <v>0.24152998117773594</v>
      </c>
      <c r="BK60" s="476">
        <f>IF(ISERROR(BK13/BL13),"",(BK13/BL13))</f>
        <v>0.25121000268889482</v>
      </c>
      <c r="BL60" s="475"/>
      <c r="BM60" s="476">
        <f>IF(ISERROR(BM13/BQ13),"",(BM13/BQ13))</f>
        <v>0.25361323654437251</v>
      </c>
      <c r="BN60" s="476">
        <f>IF(ISERROR(BN13/BQ13),"",(BN13/BQ13))</f>
        <v>0.25727552154862338</v>
      </c>
      <c r="BO60" s="476">
        <f>IF(ISERROR(BO13/BQ13),"",(BO13/BQ13))</f>
        <v>0.23759073965077496</v>
      </c>
      <c r="BP60" s="476">
        <f>IF(ISERROR(BP13/BQ13),"",(BP13/BQ13))</f>
        <v>0.25152050225622918</v>
      </c>
      <c r="BQ60" s="475"/>
      <c r="BR60" s="476">
        <f>IF(ISERROR(BR13/BV13),"",(BR13/BV13))</f>
        <v>0.24672150691463995</v>
      </c>
      <c r="BS60" s="476">
        <f>IF(ISERROR(BS13/BV13),"",(BS13/BV13))</f>
        <v>0.26478302336671439</v>
      </c>
      <c r="BT60" s="476">
        <f>IF(ISERROR(BT13/BV13),"",(BT13/BV13))</f>
        <v>0.24701955174058179</v>
      </c>
      <c r="BU60" s="476">
        <f>IF(ISERROR(BU13/BV13),"",(BU13/BV13))</f>
        <v>0.24147591797806392</v>
      </c>
      <c r="BV60" s="475"/>
      <c r="BW60" s="476">
        <f>IF(ISERROR(BW13/CA13),"",(BW13/CA13))</f>
        <v>0.24363220328777027</v>
      </c>
      <c r="BX60" s="476">
        <f>IF(ISERROR(BX13/CA13),"",(BX13/CA13))</f>
        <v>0.24832901788402481</v>
      </c>
      <c r="BY60" s="476">
        <f>IF(ISERROR(BY13/CA13),"",(BY13/CA13))</f>
        <v>0.25007526946468361</v>
      </c>
      <c r="BZ60" s="476">
        <f>IF(ISERROR(BZ13/CA13),"",(BZ13/CA13))</f>
        <v>0.25796350936352141</v>
      </c>
      <c r="CA60" s="475"/>
      <c r="CB60" s="476">
        <f>IF(ISERROR(CB13/CF13),"",(CB13/CF13))</f>
        <v>0.25136848951276353</v>
      </c>
      <c r="CC60" s="476">
        <f>IF(ISERROR(CC13/CF13),"",(CC13/CF13))</f>
        <v>0.25261503441547883</v>
      </c>
      <c r="CD60" s="476">
        <f>IF(ISERROR(CD13/CF13),"",(CD13/CF13))</f>
        <v>0.24388922009647171</v>
      </c>
      <c r="CE60" s="476">
        <f>IF(ISERROR(CE13/CF13),"",(CE13/CF13))</f>
        <v>0.25212725597528585</v>
      </c>
      <c r="CF60" s="475"/>
      <c r="CG60" s="476">
        <f>IF(ISERROR(CG13/CK13),"",(CG13/CK13))</f>
        <v>0.26041613151810944</v>
      </c>
      <c r="CH60" s="476">
        <f>IF(ISERROR(CH13/CK13),"",(CH13/CK13))</f>
        <v>0.25969689185717953</v>
      </c>
      <c r="CI60" s="476">
        <f>IF(ISERROR(CI13/CK13),"",(CI13/CK13))</f>
        <v>0.24212689442589264</v>
      </c>
      <c r="CJ60" s="476">
        <f>IF(ISERROR(CJ13/CK13),"",(CJ13/CK13))</f>
        <v>0.23776008219881839</v>
      </c>
      <c r="CK60" s="475"/>
      <c r="CL60" s="476">
        <f>IF(ISERROR(CL13/CP13),"",(CL13/CP13))</f>
        <v>0.33223730638714999</v>
      </c>
      <c r="CM60" s="476">
        <f>IF(ISERROR(CM13/CP13),"",(CM13/CP13))</f>
        <v>0.19124934694537235</v>
      </c>
      <c r="CN60" s="476">
        <f>IF(ISERROR(CN13/CP13),"",(CN13/CP13))</f>
        <v>0.21947823066861133</v>
      </c>
      <c r="CO60" s="476">
        <f>IF(ISERROR(CO13/CP13),"",(CO13/CP13))</f>
        <v>0.2570351159988663</v>
      </c>
      <c r="CP60" s="475"/>
      <c r="CQ60" s="475"/>
      <c r="CR60" s="475"/>
      <c r="CS60" s="475"/>
    </row>
    <row r="61" spans="1:97" ht="13.5" hidden="1" customHeight="1" outlineLevel="1">
      <c r="B61" s="433" t="s">
        <v>91</v>
      </c>
      <c r="C61" s="475"/>
      <c r="D61" s="475"/>
      <c r="E61" s="475"/>
      <c r="F61" s="475"/>
      <c r="G61" s="475"/>
      <c r="H61" s="475"/>
      <c r="I61" s="475"/>
      <c r="J61" s="476" t="str">
        <f>IF(ISERROR(J19/N19),"",(J19/N19))</f>
        <v/>
      </c>
      <c r="K61" s="476" t="str">
        <f>IF(ISERROR(K19/N19),"",(K19/N19))</f>
        <v/>
      </c>
      <c r="L61" s="476" t="str">
        <f>IF(ISERROR(L19/N19),"",(L19/N19))</f>
        <v/>
      </c>
      <c r="M61" s="476" t="str">
        <f>IF(ISERROR(M19/N19),"",(M19/N19))</f>
        <v/>
      </c>
      <c r="N61" s="475"/>
      <c r="O61" s="476" t="str">
        <f>IF(ISERROR(O19/S19),"",(O19/S19))</f>
        <v/>
      </c>
      <c r="P61" s="476" t="str">
        <f>IF(ISERROR(P19/S19),"",(P19/S19))</f>
        <v/>
      </c>
      <c r="Q61" s="476" t="str">
        <f>IF(ISERROR(Q19/S19),"",(Q19/S19))</f>
        <v/>
      </c>
      <c r="R61" s="476" t="str">
        <f>IF(ISERROR(R19/S19),"",(R19/S19))</f>
        <v/>
      </c>
      <c r="S61" s="475"/>
      <c r="T61" s="476">
        <f>IF(ISERROR(T19/X19),"",(T19/X19))</f>
        <v>0.31806282722513091</v>
      </c>
      <c r="U61" s="476">
        <f>IF(ISERROR(U19/X19),"",(U19/X19))</f>
        <v>0.20418848167539266</v>
      </c>
      <c r="V61" s="476">
        <f>IF(ISERROR(V19/X19),"",(V19/X19))</f>
        <v>0.20811518324607331</v>
      </c>
      <c r="W61" s="476">
        <f>IF(ISERROR(W19/X19),"",(W19/X19))</f>
        <v>0.26963350785340306</v>
      </c>
      <c r="X61" s="475"/>
      <c r="Y61" s="476">
        <f>IF(ISERROR(Y19/AC19),"",(Y19/AC19))</f>
        <v>0.22960725075528704</v>
      </c>
      <c r="Z61" s="476">
        <f>IF(ISERROR(Z19/AC19),"",(Z19/AC19))</f>
        <v>0.25377643504531722</v>
      </c>
      <c r="AA61" s="476">
        <f>IF(ISERROR(AA19/AC19),"",(AA19/AC19))</f>
        <v>0.24816573154941737</v>
      </c>
      <c r="AB61" s="476">
        <f>IF(ISERROR(AB19/AC19),"",(AB19/AC19))</f>
        <v>0.2684505826499784</v>
      </c>
      <c r="AC61" s="475"/>
      <c r="AD61" s="476">
        <f>IF(ISERROR(AD19/AH19),"",(AD19/AH19))</f>
        <v>0.2676</v>
      </c>
      <c r="AE61" s="476">
        <f>IF(ISERROR(AE19/AH19),"",(AE19/AH19))</f>
        <v>0.26800000000000002</v>
      </c>
      <c r="AF61" s="476">
        <f>IF(ISERROR(AF19/AH19),"",(AF19/AH19))</f>
        <v>0.25119999999999998</v>
      </c>
      <c r="AG61" s="476">
        <f>IF(ISERROR(AG19/AH19),"",(AG19/AH19))</f>
        <v>0.21320000000000006</v>
      </c>
      <c r="AH61" s="475"/>
      <c r="AI61" s="476">
        <f>IF(ISERROR(AI19/AM19),"",(AI19/AM19))</f>
        <v>0.24980142970611594</v>
      </c>
      <c r="AJ61" s="476">
        <f>IF(ISERROR(AJ19/AM19),"",(AJ19/AM19))</f>
        <v>0.25218427323272435</v>
      </c>
      <c r="AK61" s="476">
        <f>IF(ISERROR(AK19/AM19),"",(AK19/AM19))</f>
        <v>0.2438443208895949</v>
      </c>
      <c r="AL61" s="476">
        <f>IF(ISERROR(AL19/AM19),"",(AL19/AM19))</f>
        <v>0.25416997617156473</v>
      </c>
      <c r="AM61" s="475"/>
      <c r="AN61" s="476">
        <f>IF(ISERROR(AN19/AR19),"",(AN19/AR19))</f>
        <v>0.232109751575825</v>
      </c>
      <c r="AO61" s="476">
        <f>IF(ISERROR(AO19/AR19),"",(AO19/AR19))</f>
        <v>0.24657026325546905</v>
      </c>
      <c r="AP61" s="476">
        <f>IF(ISERROR(AP19/AR19),"",(AP19/AR19))</f>
        <v>0.25917686318131261</v>
      </c>
      <c r="AQ61" s="476">
        <f>IF(ISERROR(AQ19/AR19),"",(AQ19/AR19))</f>
        <v>0.26214312198739337</v>
      </c>
      <c r="AR61" s="475"/>
      <c r="AS61" s="476">
        <f>IF(ISERROR(AS19/AW19),"",(AS19/AW19))</f>
        <v>0.23661971830985915</v>
      </c>
      <c r="AT61" s="476">
        <f>IF(ISERROR(AT19/AW19),"",(AT19/AW19))</f>
        <v>0.24131455399061036</v>
      </c>
      <c r="AU61" s="476">
        <f>IF(ISERROR(AU19/AW19),"",(AU19/AW19))</f>
        <v>0.28075117370892022</v>
      </c>
      <c r="AV61" s="476">
        <f>IF(ISERROR(AV19/AW19),"",(AV19/AW19))</f>
        <v>0.2413145539906103</v>
      </c>
      <c r="AW61" s="475"/>
      <c r="AX61" s="476">
        <f>IF(ISERROR(AX19/BB19),"",(AX19/BB19))</f>
        <v>0.24048096192384771</v>
      </c>
      <c r="AY61" s="476">
        <f>IF(ISERROR(AY19/BB19),"",(AY19/BB19))</f>
        <v>0.23675923275121677</v>
      </c>
      <c r="AZ61" s="476">
        <f>IF(ISERROR(AZ19/BB19),"",(AZ19/BB19))</f>
        <v>0.26510163183509877</v>
      </c>
      <c r="BA61" s="476">
        <f>IF(ISERROR(BA19/BB19),"",(BA19/BB19))</f>
        <v>0.25765817348983683</v>
      </c>
      <c r="BB61" s="475"/>
      <c r="BC61" s="476">
        <f>IF(ISERROR(BC19/BG19),"",(BC19/BG19))</f>
        <v>0.23480030526583565</v>
      </c>
      <c r="BD61" s="476">
        <f>IF(ISERROR(BD19/BG19),"",(BD19/BG19))</f>
        <v>0.2503179852454846</v>
      </c>
      <c r="BE61" s="476">
        <f>IF(ISERROR(BE19/BG19),"",(BE19/BG19))</f>
        <v>0.2538794199949122</v>
      </c>
      <c r="BF61" s="476">
        <f>IF(ISERROR(BF19/BG19),"",(BF19/BG19))</f>
        <v>0.26100228949376747</v>
      </c>
      <c r="BG61" s="475"/>
      <c r="BH61" s="476">
        <f>IF(ISERROR(BH19/BL19),"",(BH19/BL19))</f>
        <v>0.24175068744271311</v>
      </c>
      <c r="BI61" s="476">
        <f>IF(ISERROR(BI19/BL19),"",(BI19/BL19))</f>
        <v>0.24977085242896427</v>
      </c>
      <c r="BJ61" s="476">
        <f>IF(ISERROR(BJ19/BL19),"",(BJ19/BL19))</f>
        <v>0.25068744271310728</v>
      </c>
      <c r="BK61" s="476">
        <f>IF(ISERROR(BK19/BL19),"",(BK19/BL19))</f>
        <v>0.25779101741521543</v>
      </c>
      <c r="BL61" s="475"/>
      <c r="BM61" s="476">
        <f>IF(ISERROR(BM19/BQ19),"",(BM19/BQ19))</f>
        <v>0.2542579075425791</v>
      </c>
      <c r="BN61" s="476">
        <f>IF(ISERROR(BN19/BQ19),"",(BN19/BQ19))</f>
        <v>0.24866180048661801</v>
      </c>
      <c r="BO61" s="476">
        <f>IF(ISERROR(BO19/BQ19),"",(BO19/BQ19))</f>
        <v>0.2467153284671533</v>
      </c>
      <c r="BP61" s="476">
        <f>IF(ISERROR(BP19/BQ19),"",(BP19/BQ19))</f>
        <v>0.25036496350364967</v>
      </c>
      <c r="BQ61" s="475"/>
      <c r="BR61" s="476">
        <f>IF(ISERROR(BR19/BV19),"",(BR19/BV19))</f>
        <v>0.25836713995943206</v>
      </c>
      <c r="BS61" s="476">
        <f>IF(ISERROR(BS19/BV19),"",(BS19/BV19))</f>
        <v>0.24670385395537525</v>
      </c>
      <c r="BT61" s="476">
        <f>IF(ISERROR(BT19/BV19),"",(BT19/BV19))</f>
        <v>0.2593813387423935</v>
      </c>
      <c r="BU61" s="476">
        <f>IF(ISERROR(BU19/BV19),"",(BU19/BV19))</f>
        <v>0.23554766734279922</v>
      </c>
      <c r="BV61" s="475"/>
      <c r="BW61" s="476">
        <f>IF(ISERROR(BW19/CA19),"",(BW19/CA19))</f>
        <v>0.24243228890069041</v>
      </c>
      <c r="BX61" s="476">
        <f>IF(ISERROR(BX19/CA19),"",(BX19/CA19))</f>
        <v>0.24960169941582583</v>
      </c>
      <c r="BY61" s="476">
        <f>IF(ISERROR(BY19/CA19),"",(BY19/CA19))</f>
        <v>0.24588422729686671</v>
      </c>
      <c r="BZ61" s="476">
        <f>IF(ISERROR(BZ19/CA19),"",(BZ19/CA19))</f>
        <v>0.26208178438661711</v>
      </c>
      <c r="CA61" s="475"/>
      <c r="CB61" s="476">
        <f>IF(ISERROR(CB19/CF19),"",(CB19/CF19))</f>
        <v>0.22808693575352282</v>
      </c>
      <c r="CC61" s="476">
        <f>IF(ISERROR(CC19/CF19),"",(CC19/CF19))</f>
        <v>0.24289467399092429</v>
      </c>
      <c r="CD61" s="476">
        <f>IF(ISERROR(CD19/CF19),"",(CD19/CF19))</f>
        <v>0.25722474325292571</v>
      </c>
      <c r="CE61" s="476">
        <f>IF(ISERROR(CE19/CF19),"",(CE19/CF19))</f>
        <v>0.2717936470026272</v>
      </c>
      <c r="CF61" s="475"/>
      <c r="CG61" s="476">
        <f>IF(ISERROR(CG19/CK19),"",(CG19/CK19))</f>
        <v>0.24787190920145927</v>
      </c>
      <c r="CH61" s="476">
        <f>IF(ISERROR(CH19/CK19),"",(CH19/CK19))</f>
        <v>0.25334414268342115</v>
      </c>
      <c r="CI61" s="476">
        <f>IF(ISERROR(CI19/CK19),"",(CI19/CK19))</f>
        <v>0.25233076611268751</v>
      </c>
      <c r="CJ61" s="476">
        <f>IF(ISERROR(CJ19/CK19),"",(CJ19/CK19))</f>
        <v>0.2464531820024321</v>
      </c>
      <c r="CK61" s="475"/>
      <c r="CL61" s="476">
        <f>IF(ISERROR(CL19/CP19),"",(CL19/CP19))</f>
        <v>0.34196454046838248</v>
      </c>
      <c r="CM61" s="476">
        <f>IF(ISERROR(CM19/CP19),"",(CM19/CP19))</f>
        <v>0.1805161752215681</v>
      </c>
      <c r="CN61" s="476">
        <f>IF(ISERROR(CN19/CP19),"",(CN19/CP19))</f>
        <v>0.21389005514659618</v>
      </c>
      <c r="CO61" s="476">
        <f>IF(ISERROR(CO19/CP19),"",(CO19/CP19))</f>
        <v>0.2636292291634531</v>
      </c>
      <c r="CP61" s="475"/>
      <c r="CQ61" s="475"/>
      <c r="CR61" s="475"/>
      <c r="CS61" s="475"/>
    </row>
    <row r="62" spans="1:97" hidden="1" outlineLevel="1">
      <c r="B62" s="463" t="s">
        <v>93</v>
      </c>
      <c r="C62" s="478"/>
      <c r="D62" s="478"/>
      <c r="E62" s="478"/>
      <c r="F62" s="478"/>
      <c r="G62" s="478"/>
      <c r="H62" s="478"/>
      <c r="I62" s="478"/>
      <c r="J62" s="479">
        <f>IF(ISERROR(J26/N26),"",(J26/N26))</f>
        <v>0.24457887389483482</v>
      </c>
      <c r="K62" s="479">
        <f>IF(ISERROR(K26/N26),"",(K26/N26))</f>
        <v>0.25332712889716147</v>
      </c>
      <c r="L62" s="479">
        <f>IF(ISERROR(L26/N26),"",(L26/N26))</f>
        <v>0.24485807352256866</v>
      </c>
      <c r="M62" s="479">
        <f>IF(ISERROR(M26/N26),"",(M26/N26))</f>
        <v>0.25723592368543508</v>
      </c>
      <c r="N62" s="478"/>
      <c r="O62" s="479">
        <f>IF(ISERROR(O26/S26),"",(O26/S26))</f>
        <v>0.25021525744790768</v>
      </c>
      <c r="P62" s="479">
        <f>IF(ISERROR(P26/S26),"",(P26/S26))</f>
        <v>0.26803857413466503</v>
      </c>
      <c r="Q62" s="479">
        <f>IF(ISERROR(Q26/S26),"",(Q26/S26))</f>
        <v>0.23816084036507662</v>
      </c>
      <c r="R62" s="479">
        <f>IF(ISERROR(R26/S26),"",(R26/S26))</f>
        <v>0.24358532805235053</v>
      </c>
      <c r="S62" s="478"/>
      <c r="T62" s="479">
        <f>IF(ISERROR(T26/X26),"",(T26/X26))</f>
        <v>0.25731288240717454</v>
      </c>
      <c r="U62" s="479">
        <f>IF(ISERROR(U26/X26),"",(U26/X26))</f>
        <v>0.26485625680999075</v>
      </c>
      <c r="V62" s="479">
        <f>IF(ISERROR(V26/X26),"",(V26/X26))</f>
        <v>0.24230994887268459</v>
      </c>
      <c r="W62" s="479">
        <f>IF(ISERROR(W26/X26),"",(W26/X26))</f>
        <v>0.23552091191015001</v>
      </c>
      <c r="X62" s="478"/>
      <c r="Y62" s="479">
        <f>IF(ISERROR(Y26/AC26),"",(Y26/AC26))</f>
        <v>0.24131158739646486</v>
      </c>
      <c r="Z62" s="479">
        <f>IF(ISERROR(Z26/AC26),"",(Z26/AC26))</f>
        <v>0.24745965331739392</v>
      </c>
      <c r="AA62" s="479">
        <f>IF(ISERROR(AA26/AC26),"",(AA26/AC26))</f>
        <v>0.2400307403296047</v>
      </c>
      <c r="AB62" s="479">
        <f>IF(ISERROR(AB26/AC26),"",(AB26/AC26))</f>
        <v>0.27119801895653656</v>
      </c>
      <c r="AC62" s="478"/>
      <c r="AD62" s="479">
        <f>IF(ISERROR(AD26/AH26),"",(AD26/AH26))</f>
        <v>0.26001962412257523</v>
      </c>
      <c r="AE62" s="479">
        <f>IF(ISERROR(AE26/AH26),"",(AE26/AH26))</f>
        <v>0.27134123330062643</v>
      </c>
      <c r="AF62" s="479">
        <f>IF(ISERROR(AF26/AH26),"",(AF26/AH26))</f>
        <v>0.2501320854404106</v>
      </c>
      <c r="AG62" s="479">
        <f>IF(ISERROR(AG26/AH26),"",(AG26/AH26))</f>
        <v>0.21850705713638771</v>
      </c>
      <c r="AH62" s="478"/>
      <c r="AI62" s="479">
        <f>IF(ISERROR(AI26/AM26),"",(AI26/AM26))</f>
        <v>0.27727149688712432</v>
      </c>
      <c r="AJ62" s="479">
        <f>IF(ISERROR(AJ26/AM26),"",(AJ26/AM26))</f>
        <v>0.25020301362446989</v>
      </c>
      <c r="AK62" s="479">
        <f>IF(ISERROR(AK26/AM26),"",(AK26/AM26))</f>
        <v>0.23197690156094913</v>
      </c>
      <c r="AL62" s="479">
        <f>IF(ISERROR(AL26/AM26),"",(AL26/AM26))</f>
        <v>0.24054858792745645</v>
      </c>
      <c r="AM62" s="478"/>
      <c r="AN62" s="479">
        <f>IF(ISERROR(AN26/AR26),"",(AN26/AR26))</f>
        <v>0.22409679618268577</v>
      </c>
      <c r="AO62" s="479">
        <f>IF(ISERROR(AO26/AR26),"",(AO26/AR26))</f>
        <v>0.25996932515337418</v>
      </c>
      <c r="AP62" s="479">
        <f>IF(ISERROR(AP26/AR26),"",(AP26/AR26))</f>
        <v>0.25093728698023171</v>
      </c>
      <c r="AQ62" s="479">
        <f>IF(ISERROR(AQ26/AR26),"",(AQ26/AR26))</f>
        <v>0.2649965916837082</v>
      </c>
      <c r="AR62" s="478"/>
      <c r="AS62" s="479">
        <f>IF(ISERROR(AS26/AW26),"",(AS26/AW26))</f>
        <v>0.2381499569089342</v>
      </c>
      <c r="AT62" s="479">
        <f>IF(ISERROR(AT26/AW26),"",(AT26/AW26))</f>
        <v>0.25402183280666479</v>
      </c>
      <c r="AU62" s="479">
        <f>IF(ISERROR(AU26/AW26),"",(AU26/AW26))</f>
        <v>0.25265728239011781</v>
      </c>
      <c r="AV62" s="479">
        <f>IF(ISERROR(AV26/AW26),"",(AV26/AW26))</f>
        <v>0.25517092789428331</v>
      </c>
      <c r="AW62" s="478"/>
      <c r="AX62" s="479">
        <f>IF(ISERROR(AX26/BB26),"",(AX26/BB26))</f>
        <v>0.25351666455455585</v>
      </c>
      <c r="AY62" s="479">
        <f>IF(ISERROR(AY26/BB26),"",(AY26/BB26))</f>
        <v>0.25294639462678997</v>
      </c>
      <c r="AZ62" s="479">
        <f>IF(ISERROR(AZ26/BB26),"",(AZ26/BB26))</f>
        <v>0.24813078190343429</v>
      </c>
      <c r="BA62" s="479">
        <f>IF(ISERROR(BA26/BB26),"",(BA26/BB26))</f>
        <v>0.24540615891521986</v>
      </c>
      <c r="BB62" s="478"/>
      <c r="BC62" s="479">
        <f>IF(ISERROR(BC26/BG26),"",(BC26/BG26))</f>
        <v>0.24818257657013465</v>
      </c>
      <c r="BD62" s="479">
        <f>IF(ISERROR(BD26/BG26),"",(BD26/BG26))</f>
        <v>0.25181742342986535</v>
      </c>
      <c r="BE62" s="479">
        <f>IF(ISERROR(BE26/BG26),"",(BE26/BG26))</f>
        <v>0.24567989512572994</v>
      </c>
      <c r="BF62" s="479">
        <f>IF(ISERROR(BF26/BG26),"",(BF26/BG26))</f>
        <v>0.25432010487427004</v>
      </c>
      <c r="BG62" s="478"/>
      <c r="BH62" s="479">
        <f>IF(ISERROR(BH26/BL26),"",(BH26/BL26))</f>
        <v>0.24882780921584477</v>
      </c>
      <c r="BI62" s="479">
        <f>IF(ISERROR(BI26/BL26),"",(BI26/BL26))</f>
        <v>0.25335489086499596</v>
      </c>
      <c r="BJ62" s="479">
        <f>IF(ISERROR(BJ26/BL26),"",(BJ26/BL26))</f>
        <v>0.24354621395850176</v>
      </c>
      <c r="BK62" s="479">
        <f>IF(ISERROR(BK26/BL26),"",(BK26/BL26))</f>
        <v>0.25427108596065751</v>
      </c>
      <c r="BL62" s="478"/>
      <c r="BM62" s="479">
        <f>IF(ISERROR(BM26/BQ26),"",(BM26/BQ26))</f>
        <v>0.25349237051364709</v>
      </c>
      <c r="BN62" s="479">
        <f>IF(ISERROR(BN26/BQ26),"",(BN26/BQ26))</f>
        <v>0.25558779282183541</v>
      </c>
      <c r="BO62" s="479">
        <f>IF(ISERROR(BO26/BQ26),"",(BO26/BQ26))</f>
        <v>0.24113475177304963</v>
      </c>
      <c r="BP62" s="479">
        <f>IF(ISERROR(BP26/BQ26),"",(BP26/BQ26))</f>
        <v>0.24978508489146789</v>
      </c>
      <c r="BQ62" s="478"/>
      <c r="BR62" s="479">
        <f>IF(ISERROR(BR26/BV26),"",(BR26/BV26))</f>
        <v>0.24831612034126624</v>
      </c>
      <c r="BS62" s="479">
        <f>IF(ISERROR(BS26/BV26),"",(BS26/BV26))</f>
        <v>0.26073941026792397</v>
      </c>
      <c r="BT62" s="479">
        <f>IF(ISERROR(BT26/BV26),"",(BT26/BV26))</f>
        <v>0.24971311679888239</v>
      </c>
      <c r="BU62" s="479">
        <f>IF(ISERROR(BU26/BV26),"",(BU26/BV26))</f>
        <v>0.24123135259192735</v>
      </c>
      <c r="BV62" s="478"/>
      <c r="BW62" s="479">
        <f>IF(ISERROR(BW26/CA26),"",(BW26/CA26))</f>
        <v>0.24263923377084076</v>
      </c>
      <c r="BX62" s="479">
        <f>IF(ISERROR(BX26/CA26),"",(BX26/CA26))</f>
        <v>0.24897380023311205</v>
      </c>
      <c r="BY62" s="479">
        <f>IF(ISERROR(BY26/CA26),"",(BY26/CA26))</f>
        <v>0.24907515329650842</v>
      </c>
      <c r="BZ62" s="479">
        <f>IF(ISERROR(BZ26/CA26),"",(BZ26/CA26))</f>
        <v>0.2593118126995389</v>
      </c>
      <c r="CA62" s="478"/>
      <c r="CB62" s="479">
        <f>IF(ISERROR(CB26/CF26),"",(CB26/CF26))</f>
        <v>0.24672239733223691</v>
      </c>
      <c r="CC62" s="479">
        <f>IF(ISERROR(CC26/CF26),"",(CC26/CF26))</f>
        <v>0.2501027819651912</v>
      </c>
      <c r="CD62" s="479">
        <f>IF(ISERROR(CD26/CF26),"",(CD26/CF26))</f>
        <v>0.24690512082591015</v>
      </c>
      <c r="CE62" s="479">
        <f>IF(ISERROR(CE26/CF26),"",(CE26/CF26))</f>
        <v>0.25626969987666159</v>
      </c>
      <c r="CF62" s="478"/>
      <c r="CG62" s="479">
        <f>IF(ISERROR(CG26/CK26),"",(CG26/CK26))</f>
        <v>0.25890393513605292</v>
      </c>
      <c r="CH62" s="479">
        <f>IF(ISERROR(CH26/CK26),"",(CH26/CK26))</f>
        <v>0.25852188309207452</v>
      </c>
      <c r="CI62" s="479">
        <f>IF(ISERROR(CI26/CK26),"",(CI26/CK26))</f>
        <v>0.24302755019739353</v>
      </c>
      <c r="CJ62" s="479">
        <f>IF(ISERROR(CJ26/CK26),"",(CJ26/CK26))</f>
        <v>0.23954663157447886</v>
      </c>
      <c r="CK62" s="478"/>
      <c r="CL62" s="479">
        <f>IF(ISERROR(CL26/CP26),"",(CL26/CP26))</f>
        <v>0.33615304221609976</v>
      </c>
      <c r="CM62" s="479">
        <f>IF(ISERROR(CM26/CP26),"",(CM26/CP26))</f>
        <v>0.18706885731577136</v>
      </c>
      <c r="CN62" s="479">
        <f>IF(ISERROR(CN26/CP26),"",(CN26/CP26))</f>
        <v>0.21839571115941109</v>
      </c>
      <c r="CO62" s="479">
        <f>IF(ISERROR(CO26/CP26),"",(CO26/CP26))</f>
        <v>0.25838238930871771</v>
      </c>
      <c r="CP62" s="478"/>
      <c r="CQ62" s="478"/>
      <c r="CR62" s="478"/>
      <c r="CS62" s="478"/>
    </row>
    <row r="63" spans="1:97" hidden="1" outlineLevel="1">
      <c r="C63" s="486"/>
      <c r="D63" s="486"/>
      <c r="E63" s="486"/>
      <c r="F63" s="486"/>
      <c r="G63" s="486"/>
      <c r="H63" s="486"/>
      <c r="I63" s="486"/>
      <c r="J63" s="487"/>
      <c r="K63" s="487"/>
      <c r="L63" s="487"/>
      <c r="M63" s="487"/>
      <c r="N63" s="486"/>
      <c r="O63" s="487"/>
      <c r="P63" s="487"/>
      <c r="Q63" s="487"/>
      <c r="R63" s="487"/>
      <c r="S63" s="486"/>
      <c r="T63" s="487"/>
      <c r="U63" s="487"/>
      <c r="V63" s="487"/>
      <c r="W63" s="487"/>
      <c r="X63" s="486"/>
      <c r="Y63" s="487"/>
      <c r="Z63" s="487"/>
      <c r="AA63" s="487"/>
      <c r="AB63" s="487"/>
      <c r="AC63" s="486"/>
      <c r="AD63" s="487"/>
      <c r="AE63" s="487"/>
      <c r="AF63" s="487"/>
      <c r="AG63" s="487"/>
      <c r="AH63" s="486"/>
      <c r="AI63" s="487"/>
      <c r="AJ63" s="487"/>
      <c r="AK63" s="487"/>
      <c r="AL63" s="487"/>
      <c r="AM63" s="486"/>
      <c r="AN63" s="487"/>
      <c r="AO63" s="487"/>
      <c r="AP63" s="487"/>
      <c r="AQ63" s="487"/>
      <c r="AR63" s="486"/>
      <c r="AS63" s="487"/>
      <c r="AT63" s="487"/>
      <c r="AU63" s="487"/>
      <c r="AV63" s="487"/>
      <c r="AW63" s="486"/>
      <c r="AX63" s="487"/>
      <c r="AY63" s="487"/>
      <c r="AZ63" s="487"/>
      <c r="BA63" s="487"/>
      <c r="BB63" s="486"/>
      <c r="BC63" s="487"/>
      <c r="BD63" s="487"/>
      <c r="BE63" s="487"/>
      <c r="BF63" s="487"/>
      <c r="BG63" s="486"/>
      <c r="BH63" s="487"/>
      <c r="BI63" s="487"/>
      <c r="BJ63" s="487"/>
      <c r="BK63" s="487"/>
      <c r="BL63" s="486"/>
      <c r="BM63" s="487"/>
      <c r="BN63" s="487"/>
      <c r="BO63" s="487"/>
      <c r="BP63" s="487"/>
      <c r="BQ63" s="486"/>
      <c r="BR63" s="487"/>
      <c r="BS63" s="487"/>
      <c r="BT63" s="487"/>
      <c r="BU63" s="487"/>
      <c r="BV63" s="486"/>
      <c r="BW63" s="487"/>
      <c r="BX63" s="487"/>
      <c r="BY63" s="487"/>
      <c r="BZ63" s="487"/>
      <c r="CA63" s="486"/>
      <c r="CB63" s="487"/>
      <c r="CC63" s="487"/>
      <c r="CD63" s="487"/>
      <c r="CE63" s="487"/>
      <c r="CF63" s="486"/>
      <c r="CG63" s="487"/>
      <c r="CH63" s="487"/>
      <c r="CI63" s="487"/>
      <c r="CJ63" s="487"/>
      <c r="CK63" s="486"/>
      <c r="CL63" s="487"/>
      <c r="CM63" s="487"/>
      <c r="CN63" s="487"/>
      <c r="CO63" s="487"/>
      <c r="CP63" s="486"/>
      <c r="CQ63" s="486"/>
      <c r="CR63" s="486"/>
      <c r="CS63" s="486"/>
    </row>
    <row r="64" spans="1:97" hidden="1" outlineLevel="1">
      <c r="B64" s="481" t="s">
        <v>186</v>
      </c>
      <c r="C64" s="486"/>
      <c r="D64" s="486"/>
      <c r="E64" s="486"/>
      <c r="F64" s="486"/>
      <c r="G64" s="486"/>
      <c r="H64" s="486"/>
      <c r="I64" s="486"/>
      <c r="J64" s="487"/>
      <c r="K64" s="487"/>
      <c r="L64" s="487"/>
      <c r="M64" s="487"/>
      <c r="N64" s="486"/>
      <c r="O64" s="487"/>
      <c r="P64" s="487"/>
      <c r="Q64" s="487"/>
      <c r="R64" s="487"/>
      <c r="S64" s="486"/>
      <c r="T64" s="487"/>
      <c r="U64" s="487"/>
      <c r="V64" s="487"/>
      <c r="W64" s="487"/>
      <c r="X64" s="486"/>
      <c r="Y64" s="487"/>
      <c r="Z64" s="487"/>
      <c r="AA64" s="487"/>
      <c r="AB64" s="487"/>
      <c r="AC64" s="486"/>
      <c r="AD64" s="487"/>
      <c r="AE64" s="487"/>
      <c r="AF64" s="487"/>
      <c r="AG64" s="487"/>
      <c r="AH64" s="486"/>
      <c r="AI64" s="487"/>
      <c r="AJ64" s="487"/>
      <c r="AK64" s="487"/>
      <c r="AL64" s="487"/>
      <c r="AM64" s="486"/>
      <c r="AN64" s="487"/>
      <c r="AO64" s="487"/>
      <c r="AP64" s="487"/>
      <c r="AQ64" s="487"/>
      <c r="AR64" s="486"/>
      <c r="AS64" s="487"/>
      <c r="AT64" s="487"/>
      <c r="AU64" s="487"/>
      <c r="AV64" s="487"/>
      <c r="AW64" s="486"/>
      <c r="AX64" s="487"/>
      <c r="AY64" s="487"/>
      <c r="AZ64" s="487"/>
      <c r="BA64" s="487"/>
      <c r="BB64" s="486"/>
      <c r="BC64" s="487"/>
      <c r="BD64" s="487"/>
      <c r="BE64" s="487"/>
      <c r="BF64" s="487"/>
      <c r="BG64" s="486"/>
      <c r="BH64" s="487"/>
      <c r="BI64" s="487"/>
      <c r="BJ64" s="487"/>
      <c r="BK64" s="487"/>
      <c r="BL64" s="486"/>
      <c r="BM64" s="487"/>
      <c r="BN64" s="487"/>
      <c r="BO64" s="487"/>
      <c r="BP64" s="487"/>
      <c r="BQ64" s="486"/>
      <c r="BR64" s="487"/>
      <c r="BS64" s="487"/>
      <c r="BT64" s="487"/>
      <c r="BU64" s="487"/>
      <c r="BV64" s="486"/>
      <c r="BW64" s="487"/>
      <c r="BX64" s="487"/>
      <c r="BY64" s="487"/>
      <c r="BZ64" s="487"/>
      <c r="CA64" s="486"/>
      <c r="CB64" s="487"/>
      <c r="CC64" s="487"/>
      <c r="CD64" s="487"/>
      <c r="CE64" s="487"/>
      <c r="CF64" s="486"/>
      <c r="CG64" s="487"/>
      <c r="CH64" s="487"/>
      <c r="CI64" s="487"/>
      <c r="CJ64" s="487"/>
      <c r="CK64" s="486"/>
      <c r="CL64" s="487"/>
      <c r="CM64" s="487"/>
      <c r="CN64" s="487"/>
      <c r="CO64" s="487"/>
      <c r="CP64" s="486"/>
      <c r="CQ64" s="486"/>
      <c r="CR64" s="486"/>
      <c r="CS64" s="486"/>
    </row>
    <row r="65" spans="2:98" hidden="1" outlineLevel="1">
      <c r="B65" s="433" t="s">
        <v>94</v>
      </c>
      <c r="C65" s="444">
        <f>'Data (2)'!C154</f>
        <v>597.4</v>
      </c>
      <c r="D65" s="444">
        <f>'Data (2)'!D154</f>
        <v>670.1</v>
      </c>
      <c r="E65" s="444">
        <f>'Data (2)'!E154</f>
        <v>641.6</v>
      </c>
      <c r="F65" s="444">
        <f>'Data (2)'!F154</f>
        <v>528.79999999999995</v>
      </c>
      <c r="G65" s="444">
        <f>'Data (2)'!G154</f>
        <v>538.9</v>
      </c>
      <c r="H65" s="444">
        <f>'Data (2)'!H154</f>
        <v>391.1</v>
      </c>
      <c r="I65" s="444">
        <f>'Data (2)'!I154</f>
        <v>389.9</v>
      </c>
      <c r="J65" s="433">
        <f>'Data (2)'!J154</f>
        <v>110.5</v>
      </c>
      <c r="K65" s="433">
        <f>'Data (2)'!K154</f>
        <v>114.6</v>
      </c>
      <c r="L65" s="433">
        <f>'Data (2)'!L154</f>
        <v>116.5</v>
      </c>
      <c r="M65" s="433">
        <f>'Data (2)'!M154</f>
        <v>120.435</v>
      </c>
      <c r="N65" s="444">
        <f>SUM(J65:M65)</f>
        <v>462.03500000000003</v>
      </c>
      <c r="O65" s="433">
        <f>'Data (2)'!O154</f>
        <v>131.19999999999999</v>
      </c>
      <c r="P65" s="433">
        <f>'Data (2)'!P154</f>
        <v>143.9</v>
      </c>
      <c r="Q65" s="433">
        <f>'Data (2)'!Q154</f>
        <v>124.8</v>
      </c>
      <c r="R65" s="433">
        <f>'Data (2)'!R154</f>
        <v>129.49999999999994</v>
      </c>
      <c r="S65" s="444">
        <f>SUM(O65:R65)</f>
        <v>529.4</v>
      </c>
      <c r="T65" s="433">
        <f>'Data (2)'!T154</f>
        <v>153.19999999999999</v>
      </c>
      <c r="U65" s="433">
        <f>'Data (2)'!U154</f>
        <v>160.19999999999999</v>
      </c>
      <c r="V65" s="433">
        <f>'Data (2)'!V154</f>
        <v>149.9</v>
      </c>
      <c r="W65" s="433">
        <f>'Data (2)'!W154</f>
        <v>154.70000000000005</v>
      </c>
      <c r="X65" s="444">
        <f>SUM(T65:W65)</f>
        <v>618</v>
      </c>
      <c r="Y65" s="433">
        <f>'Data (2)'!Y154</f>
        <v>144</v>
      </c>
      <c r="Z65" s="433">
        <f>'Data (2)'!Z154</f>
        <v>154.69999999999999</v>
      </c>
      <c r="AA65" s="433">
        <f>'Data (2)'!AA154</f>
        <v>152.80000000000001</v>
      </c>
      <c r="AB65" s="433">
        <f>'Data (2)'!AB154</f>
        <v>170.3</v>
      </c>
      <c r="AC65" s="444">
        <f>SUM(Y65:AB65)</f>
        <v>621.79999999999995</v>
      </c>
      <c r="AD65" s="433">
        <f>'Data (2)'!AD154</f>
        <v>191.90000000000003</v>
      </c>
      <c r="AE65" s="433">
        <f>'Data (2)'!AE154</f>
        <v>198.7</v>
      </c>
      <c r="AF65" s="433">
        <f>'Data (2)'!AF154</f>
        <v>176.5</v>
      </c>
      <c r="AG65" s="433">
        <f>'Data (2)'!AG154</f>
        <v>143.19999999999999</v>
      </c>
      <c r="AH65" s="444">
        <f>SUM(AD65:AG65)</f>
        <v>710.3</v>
      </c>
      <c r="AI65" s="433">
        <f>'Data (2)'!AI154</f>
        <v>153.80000000000001</v>
      </c>
      <c r="AJ65" s="433">
        <f>'Data (2)'!AJ154</f>
        <v>137.80000000000001</v>
      </c>
      <c r="AK65" s="433">
        <f>'Data (2)'!AK154</f>
        <v>127.5</v>
      </c>
      <c r="AL65" s="453">
        <f>ROUND((0.175*AL13+1.5248*AL19),0)</f>
        <v>134</v>
      </c>
      <c r="AM65" s="444">
        <f>SUM(AI65:AL65)</f>
        <v>553.1</v>
      </c>
      <c r="AN65" s="433">
        <f>'Data (2)'!AN154</f>
        <v>152</v>
      </c>
      <c r="AO65" s="433">
        <f>'Data (2)'!AO154</f>
        <v>161</v>
      </c>
      <c r="AP65" s="433">
        <f>'Data (2)'!AP154</f>
        <v>157.6</v>
      </c>
      <c r="AQ65" s="433">
        <f>'Data (2)'!AQ154</f>
        <v>174.10000000000002</v>
      </c>
      <c r="AR65" s="444">
        <f>SUM(AN65:AQ65)</f>
        <v>644.70000000000005</v>
      </c>
      <c r="AS65" s="433">
        <f>'Data (2)'!AS154</f>
        <v>197.6</v>
      </c>
      <c r="AT65" s="433">
        <f>'Data (2)'!AT154</f>
        <v>207.8</v>
      </c>
      <c r="AU65" s="433">
        <f>'Data (2)'!AU154</f>
        <v>207.4</v>
      </c>
      <c r="AV65" s="433">
        <f>'Data (2)'!AV154</f>
        <v>210.7</v>
      </c>
      <c r="AW65" s="444">
        <f>SUM(AS65:AV65)</f>
        <v>823.5</v>
      </c>
      <c r="AX65" s="433">
        <f>'Data (2)'!AX154</f>
        <v>242.3</v>
      </c>
      <c r="AY65" s="433">
        <f>'Data (2)'!AY154</f>
        <v>233.5</v>
      </c>
      <c r="AZ65" s="433">
        <f>'Data (2)'!AZ154</f>
        <v>234.10000000000002</v>
      </c>
      <c r="BA65" s="433">
        <f>'Data (2)'!BA154</f>
        <v>234.2</v>
      </c>
      <c r="BB65" s="444">
        <f>SUM(AX65:BA65)</f>
        <v>944.10000000000014</v>
      </c>
      <c r="BC65" s="433">
        <f>'Data (2)'!BC154</f>
        <v>268.89999999999998</v>
      </c>
      <c r="BD65" s="433">
        <f>'Data (2)'!BD154</f>
        <v>270</v>
      </c>
      <c r="BE65" s="433">
        <f>'Data (2)'!BE154</f>
        <v>262</v>
      </c>
      <c r="BF65" s="433">
        <f>'Data (2)'!BF154</f>
        <v>283.60000000000002</v>
      </c>
      <c r="BG65" s="444">
        <f>SUM(BC65:BF65)</f>
        <v>1084.5</v>
      </c>
      <c r="BH65" s="433">
        <f>'Data (2)'!BH154</f>
        <v>303.20000000000005</v>
      </c>
      <c r="BI65" s="433">
        <f>'Data (2)'!BI154</f>
        <v>308.2</v>
      </c>
      <c r="BJ65" s="433">
        <f>'Data (2)'!BJ154</f>
        <v>296.5</v>
      </c>
      <c r="BK65" s="433">
        <f>'Data (2)'!BK154</f>
        <v>307.39999999999998</v>
      </c>
      <c r="BL65" s="444">
        <f>SUM(BH65:BK65)</f>
        <v>1215.3000000000002</v>
      </c>
      <c r="BM65" s="433">
        <f>'Data (2)'!BM154</f>
        <v>320.3</v>
      </c>
      <c r="BN65" s="433">
        <f>'Data (2)'!BN154</f>
        <v>324.7</v>
      </c>
      <c r="BO65" s="433">
        <f>'Data (2)'!BO154</f>
        <v>314.5</v>
      </c>
      <c r="BP65" s="433">
        <f>'Data (2)'!BP154</f>
        <v>326.39999999999998</v>
      </c>
      <c r="BQ65" s="444">
        <f>SUM(BM65:BP65)</f>
        <v>1285.9000000000001</v>
      </c>
      <c r="BR65" s="433">
        <f>'Data (2)'!BR154</f>
        <v>350.3</v>
      </c>
      <c r="BS65" s="433">
        <f>'Data (2)'!BS154</f>
        <v>368.5</v>
      </c>
      <c r="BT65" s="433">
        <f>'Data (2)'!BT154</f>
        <v>360.6</v>
      </c>
      <c r="BU65" s="433">
        <f>'Data (2)'!BU154</f>
        <v>349.9</v>
      </c>
      <c r="BV65" s="444">
        <f>SUM(BR65:BU65)</f>
        <v>1429.3000000000002</v>
      </c>
      <c r="BW65" s="433">
        <f>'Data (2)'!BW154</f>
        <v>347.2</v>
      </c>
      <c r="BX65" s="433">
        <f>'Data (2)'!BX154</f>
        <v>349</v>
      </c>
      <c r="BY65" s="433">
        <f>'Data (2)'!BY154</f>
        <v>352.6</v>
      </c>
      <c r="BZ65" s="433">
        <f>'Data (2)'!BZ154</f>
        <v>361.1</v>
      </c>
      <c r="CA65" s="444">
        <f>SUM(BW65:BZ65)</f>
        <v>1409.9</v>
      </c>
      <c r="CB65" s="433">
        <f>'Data (2)'!CB154</f>
        <v>382.7</v>
      </c>
      <c r="CC65" s="433">
        <f>'Data (2)'!CC154</f>
        <v>383.8</v>
      </c>
      <c r="CD65" s="433">
        <f>'Data (2)'!CD154</f>
        <v>373.1</v>
      </c>
      <c r="CE65" s="433">
        <f>'Data (2)'!CE154</f>
        <v>385.4</v>
      </c>
      <c r="CF65" s="444">
        <f>SUM(CB65:CE65)</f>
        <v>1525</v>
      </c>
      <c r="CG65" s="433">
        <f>'Data (2)'!CG154</f>
        <v>415.5</v>
      </c>
      <c r="CH65" s="433">
        <f>'Data (2)'!CH154</f>
        <v>416.5</v>
      </c>
      <c r="CI65" s="433">
        <f>'Data (2)'!CI154</f>
        <v>385.9</v>
      </c>
      <c r="CJ65" s="433">
        <f>'Data (2)'!CJ154</f>
        <v>379.80000000000007</v>
      </c>
      <c r="CK65" s="444">
        <f>SUM(CG65:CJ65)</f>
        <v>1597.7000000000003</v>
      </c>
      <c r="CL65" s="433">
        <f>'Data (2)'!CL154</f>
        <v>362.9</v>
      </c>
      <c r="CP65" s="455">
        <f>0.7*CP26</f>
        <v>1126.5702000000001</v>
      </c>
      <c r="CQ65" s="455">
        <f>0.71*CQ26</f>
        <v>1250.0284991999999</v>
      </c>
      <c r="CR65" s="455">
        <f>0.71*CR26</f>
        <v>1364.3051094619998</v>
      </c>
      <c r="CS65" s="455">
        <f>0.71*CS26</f>
        <v>1508.7585190983</v>
      </c>
    </row>
    <row r="66" spans="2:98" hidden="1" outlineLevel="1">
      <c r="B66" s="433" t="s">
        <v>95</v>
      </c>
      <c r="C66" s="444">
        <f>'Data (2)'!C158</f>
        <v>184.8</v>
      </c>
      <c r="D66" s="444">
        <f>'Data (2)'!D158</f>
        <v>192.1</v>
      </c>
      <c r="E66" s="444">
        <f>'Data (2)'!E158</f>
        <v>211.3</v>
      </c>
      <c r="F66" s="444">
        <f>'Data (2)'!F158</f>
        <v>227.5</v>
      </c>
      <c r="G66" s="444">
        <f>'Data (2)'!G158</f>
        <v>250.2</v>
      </c>
      <c r="H66" s="444">
        <f>'Data (2)'!H158</f>
        <v>253.9</v>
      </c>
      <c r="I66" s="444">
        <f>'Data (2)'!I158</f>
        <v>274.89999999999998</v>
      </c>
      <c r="J66" s="433">
        <f>'Data (2)'!J158</f>
        <v>84.9</v>
      </c>
      <c r="K66" s="433">
        <f>'Data (2)'!K158</f>
        <v>92.6</v>
      </c>
      <c r="L66" s="433">
        <f>'Data (2)'!L158</f>
        <v>88.3</v>
      </c>
      <c r="M66" s="433">
        <f>'Data (2)'!M158</f>
        <v>88.784999999999968</v>
      </c>
      <c r="N66" s="444">
        <f>SUM(J66:M66)</f>
        <v>354.58499999999998</v>
      </c>
      <c r="O66" s="433">
        <f>'Data (2)'!O158</f>
        <v>93.4</v>
      </c>
      <c r="P66" s="433">
        <f>'Data (2)'!P158</f>
        <v>98.2</v>
      </c>
      <c r="Q66" s="433">
        <f>'Data (2)'!Q158</f>
        <v>88.7</v>
      </c>
      <c r="R66" s="433">
        <f>'Data (2)'!R158</f>
        <v>85.5</v>
      </c>
      <c r="S66" s="444">
        <f>SUM(O66:R66)</f>
        <v>365.8</v>
      </c>
      <c r="T66" s="433">
        <f>'Data (2)'!T158</f>
        <v>87.7</v>
      </c>
      <c r="U66" s="433">
        <f>'Data (2)'!U158</f>
        <v>88.6</v>
      </c>
      <c r="V66" s="433">
        <f>'Data (2)'!V158</f>
        <v>76.5</v>
      </c>
      <c r="W66" s="433">
        <f>'Data (2)'!W158</f>
        <v>59.300000000000011</v>
      </c>
      <c r="X66" s="444">
        <f>SUM(T66:W66)</f>
        <v>312.10000000000002</v>
      </c>
      <c r="Y66" s="433">
        <f>'Data (2)'!Y158</f>
        <v>74.100000000000009</v>
      </c>
      <c r="Z66" s="433">
        <f>'Data (2)'!Z158</f>
        <v>75.899999999999991</v>
      </c>
      <c r="AA66" s="433">
        <f>'Data (2)'!AA158</f>
        <v>67.899999999999991</v>
      </c>
      <c r="AB66" s="433">
        <f>'Data (2)'!AB158</f>
        <v>75.7</v>
      </c>
      <c r="AC66" s="444">
        <f>SUM(Y66:AB66)</f>
        <v>293.59999999999997</v>
      </c>
      <c r="AD66" s="433">
        <f>'Data (2)'!AD158</f>
        <v>78.399999999999991</v>
      </c>
      <c r="AE66" s="433">
        <f>'Data (2)'!AE158</f>
        <v>85.8</v>
      </c>
      <c r="AF66" s="433">
        <f>'Data (2)'!AF158</f>
        <v>79.3</v>
      </c>
      <c r="AG66" s="433">
        <f>'Data (2)'!AG158</f>
        <v>69.2</v>
      </c>
      <c r="AH66" s="444">
        <f>SUM(AD66:AG66)</f>
        <v>312.7</v>
      </c>
      <c r="AI66" s="433">
        <f>'Data (2)'!AI158</f>
        <v>76.2</v>
      </c>
      <c r="AJ66" s="433">
        <f>'Data (2)'!AJ158</f>
        <v>64.800000000000011</v>
      </c>
      <c r="AK66" s="433">
        <f>'Data (2)'!AK158</f>
        <v>55.1</v>
      </c>
      <c r="AL66" s="453">
        <f>0.308*AL13-0.075*AL19</f>
        <v>59.294799999999995</v>
      </c>
      <c r="AM66" s="444">
        <f>SUM(AI66:AL66)</f>
        <v>255.39479999999998</v>
      </c>
      <c r="AN66" s="433">
        <f>'Data (2)'!AN158</f>
        <v>38.5</v>
      </c>
      <c r="AO66" s="433">
        <f>'Data (2)'!AO158</f>
        <v>64.7</v>
      </c>
      <c r="AP66" s="433">
        <f>'Data (2)'!AP158</f>
        <v>62.5</v>
      </c>
      <c r="AQ66" s="433">
        <f>'Data (2)'!AQ158</f>
        <v>52.699999999999996</v>
      </c>
      <c r="AR66" s="444">
        <f>SUM(AN66:AQ66)</f>
        <v>218.39999999999998</v>
      </c>
      <c r="AS66" s="433">
        <f>'Data (2)'!AS158</f>
        <v>54.300000000000004</v>
      </c>
      <c r="AT66" s="433">
        <f>'Data (2)'!AT158</f>
        <v>64.2</v>
      </c>
      <c r="AU66" s="433">
        <f>'Data (2)'!AU158</f>
        <v>63.5</v>
      </c>
      <c r="AV66" s="433">
        <f>'Data (2)'!AV158</f>
        <v>67.5</v>
      </c>
      <c r="AW66" s="444">
        <f>SUM(AS66:AV66)</f>
        <v>249.5</v>
      </c>
      <c r="AX66" s="433">
        <f>'Data (2)'!AX158</f>
        <v>72.899999999999991</v>
      </c>
      <c r="AY66" s="433">
        <f>'Data (2)'!AY158</f>
        <v>77.599999999999994</v>
      </c>
      <c r="AZ66" s="433">
        <f>'Data (2)'!AZ158</f>
        <v>66.900000000000006</v>
      </c>
      <c r="BA66" s="433">
        <f>'Data (2)'!BA158</f>
        <v>59.7</v>
      </c>
      <c r="BB66" s="444">
        <f>SUM(AX66:BA66)</f>
        <v>277.10000000000002</v>
      </c>
      <c r="BC66" s="433">
        <f>'Data (2)'!BC158</f>
        <v>51.599999999999994</v>
      </c>
      <c r="BD66" s="433">
        <f>'Data (2)'!BD158</f>
        <v>55.900000000000006</v>
      </c>
      <c r="BE66" s="433">
        <f>'Data (2)'!BE158</f>
        <v>55.9</v>
      </c>
      <c r="BF66" s="433">
        <f>'Data (2)'!BF158</f>
        <v>54.4</v>
      </c>
      <c r="BG66" s="444">
        <f>SUM(BC66:BF66)</f>
        <v>217.8</v>
      </c>
      <c r="BH66" s="433">
        <f>'Data (2)'!BH158</f>
        <v>62.9</v>
      </c>
      <c r="BI66" s="433">
        <f>'Data (2)'!BI158</f>
        <v>69.8</v>
      </c>
      <c r="BJ66" s="433">
        <f>'Data (2)'!BJ158</f>
        <v>66.900000000000006</v>
      </c>
      <c r="BK66" s="433">
        <f>'Data (2)'!BK158</f>
        <v>64.8</v>
      </c>
      <c r="BL66" s="444">
        <f>SUM(BH66:BK66)</f>
        <v>264.39999999999998</v>
      </c>
      <c r="BM66" s="433">
        <f>'Data (2)'!BM158</f>
        <v>62.6</v>
      </c>
      <c r="BN66" s="433">
        <f>'Data (2)'!BN158</f>
        <v>63</v>
      </c>
      <c r="BO66" s="433">
        <f>'Data (2)'!BO158</f>
        <v>57</v>
      </c>
      <c r="BP66" s="433">
        <f>'Data (2)'!BP158</f>
        <v>55.4</v>
      </c>
      <c r="BQ66" s="444">
        <f>SUM(BM66:BP66)</f>
        <v>238</v>
      </c>
      <c r="BR66" s="433">
        <f>'Data (2)'!BR158</f>
        <v>68.099999999999994</v>
      </c>
      <c r="BS66" s="433">
        <f>'Data (2)'!BS158</f>
        <v>72.3</v>
      </c>
      <c r="BT66" s="433">
        <f>'Data (2)'!BT158</f>
        <v>58.4</v>
      </c>
      <c r="BU66" s="433">
        <f>'Data (2)'!BU158</f>
        <v>54.5</v>
      </c>
      <c r="BV66" s="444">
        <f>SUM(BR66:BU66)</f>
        <v>253.29999999999998</v>
      </c>
      <c r="BW66" s="433">
        <f>'Data (2)'!BW158</f>
        <v>54.9</v>
      </c>
      <c r="BX66" s="433">
        <f>'Data (2)'!BX158</f>
        <v>54.5</v>
      </c>
      <c r="BY66" s="433">
        <f>'Data (2)'!BY158</f>
        <v>56.2</v>
      </c>
      <c r="BZ66" s="433">
        <f>'Data (2)'!BZ158</f>
        <v>54.2</v>
      </c>
      <c r="CA66" s="444">
        <f>SUM(BW66:BZ66)</f>
        <v>219.8</v>
      </c>
      <c r="CB66" s="433">
        <f>'Data (2)'!CB158</f>
        <v>67.3</v>
      </c>
      <c r="CC66" s="433">
        <f>'Data (2)'!CC158</f>
        <v>72</v>
      </c>
      <c r="CD66" s="433">
        <f>'Data (2)'!CD158</f>
        <v>77</v>
      </c>
      <c r="CE66" s="433">
        <f>'Data (2)'!CE158</f>
        <v>77.900000000000006</v>
      </c>
      <c r="CF66" s="444">
        <f>SUM(CB66:CE66)</f>
        <v>294.20000000000005</v>
      </c>
      <c r="CG66" s="433">
        <f>'Data (2)'!CG158</f>
        <v>86.6</v>
      </c>
      <c r="CH66" s="433">
        <f>'Data (2)'!CH158</f>
        <v>80.7</v>
      </c>
      <c r="CI66" s="433">
        <f>'Data (2)'!CI158</f>
        <v>76.8</v>
      </c>
      <c r="CJ66" s="433">
        <f>'Data (2)'!CJ158</f>
        <v>69.199999999999974</v>
      </c>
      <c r="CK66" s="444">
        <f>SUM(CG66:CJ66)</f>
        <v>313.3</v>
      </c>
      <c r="CL66" s="433">
        <f>'Data (2)'!CL158</f>
        <v>66.5</v>
      </c>
      <c r="CP66" s="455">
        <f>0.12*CP26</f>
        <v>193.12632000000002</v>
      </c>
      <c r="CQ66" s="455">
        <f>0.11*CQ26</f>
        <v>193.6663872</v>
      </c>
      <c r="CR66" s="455">
        <f>0.11*CR26</f>
        <v>211.37121414199999</v>
      </c>
      <c r="CS66" s="455">
        <f>0.11*CS26</f>
        <v>233.75131986029999</v>
      </c>
    </row>
    <row r="67" spans="2:98" hidden="1" outlineLevel="1">
      <c r="B67" s="433" t="s">
        <v>109</v>
      </c>
      <c r="C67" s="444">
        <f>'Data (2)'!C162</f>
        <v>88.3</v>
      </c>
      <c r="D67" s="444">
        <f>'Data (2)'!D162</f>
        <v>141.6</v>
      </c>
      <c r="E67" s="444">
        <f>'Data (2)'!E162</f>
        <v>132.19999999999999</v>
      </c>
      <c r="F67" s="444">
        <f>'Data (2)'!F162</f>
        <v>118.2</v>
      </c>
      <c r="G67" s="444">
        <f>'Data (2)'!G162</f>
        <v>143.30000000000001</v>
      </c>
      <c r="H67" s="444">
        <f>'Data (2)'!H162</f>
        <v>147.5</v>
      </c>
      <c r="I67" s="444">
        <f>'Data (2)'!I162</f>
        <v>179.3</v>
      </c>
      <c r="J67" s="433">
        <f>'Data (2)'!J162</f>
        <v>51.6</v>
      </c>
      <c r="K67" s="433">
        <f>'Data (2)'!K162</f>
        <v>49.5</v>
      </c>
      <c r="L67" s="433">
        <f>'Data (2)'!L162</f>
        <v>41.7</v>
      </c>
      <c r="M67" s="433">
        <f>'Data (2)'!M162</f>
        <v>50.609999999999985</v>
      </c>
      <c r="N67" s="444">
        <f>SUM(J67:M67)</f>
        <v>193.41</v>
      </c>
      <c r="O67" s="433">
        <f>'Data (2)'!O162</f>
        <v>49.2</v>
      </c>
      <c r="P67" s="433">
        <f>'Data (2)'!P162</f>
        <v>53.8</v>
      </c>
      <c r="Q67" s="433">
        <f>'Data (2)'!Q162</f>
        <v>50.7</v>
      </c>
      <c r="R67" s="433">
        <f>'Data (2)'!R162</f>
        <v>55.600000000000023</v>
      </c>
      <c r="S67" s="444">
        <f>SUM(O67:R67)</f>
        <v>209.3</v>
      </c>
      <c r="T67" s="433">
        <f>'Data (2)'!T162</f>
        <v>52</v>
      </c>
      <c r="U67" s="433">
        <f>'Data (2)'!U162</f>
        <v>54.2</v>
      </c>
      <c r="V67" s="433">
        <f>'Data (2)'!V162</f>
        <v>50</v>
      </c>
      <c r="W67" s="433">
        <f>'Data (2)'!W162</f>
        <v>55</v>
      </c>
      <c r="X67" s="444">
        <f>SUM(T67:W67)</f>
        <v>211.2</v>
      </c>
      <c r="Y67" s="433">
        <f>'Data (2)'!Y162</f>
        <v>64.5</v>
      </c>
      <c r="Z67" s="433">
        <f>'Data (2)'!Z162</f>
        <v>59.2</v>
      </c>
      <c r="AA67" s="433">
        <f>'Data (2)'!AA162</f>
        <v>60.4</v>
      </c>
      <c r="AB67" s="433">
        <f>'Data (2)'!AB162</f>
        <v>71.599999999999994</v>
      </c>
      <c r="AC67" s="444">
        <f>SUM(Y67:AB67)</f>
        <v>255.7</v>
      </c>
      <c r="AD67" s="433">
        <f>'Data (2)'!AD162</f>
        <v>74.199999999999989</v>
      </c>
      <c r="AE67" s="433">
        <f>'Data (2)'!AE162</f>
        <v>75</v>
      </c>
      <c r="AF67" s="433">
        <f>'Data (2)'!AF162</f>
        <v>75.599999999999994</v>
      </c>
      <c r="AG67" s="433">
        <f>'Data (2)'!AG162</f>
        <v>77.099999999999994</v>
      </c>
      <c r="AH67" s="444">
        <f>SUM(AD67:AG67)</f>
        <v>301.89999999999998</v>
      </c>
      <c r="AI67" s="433">
        <f>'Data (2)'!AI162</f>
        <v>77.3</v>
      </c>
      <c r="AJ67" s="433">
        <f>'Data (2)'!AJ162</f>
        <v>74.699999999999989</v>
      </c>
      <c r="AK67" s="433">
        <f>'Data (2)'!AK162</f>
        <v>74.5</v>
      </c>
      <c r="AL67" s="433">
        <f>AL69-SUM(AL65:AL66)</f>
        <v>73.305200000000013</v>
      </c>
      <c r="AM67" s="444">
        <f>SUM(AI67:AL67)</f>
        <v>299.80520000000001</v>
      </c>
      <c r="AN67" s="433">
        <f>'Data (2)'!AN162</f>
        <v>72.5</v>
      </c>
      <c r="AO67" s="433">
        <f>'Data (2)'!AO162</f>
        <v>79.400000000000006</v>
      </c>
      <c r="AP67" s="433">
        <f>'Data (2)'!AP162</f>
        <v>74.400000000000006</v>
      </c>
      <c r="AQ67" s="433">
        <f>'Data (2)'!AQ162</f>
        <v>84.2</v>
      </c>
      <c r="AR67" s="444">
        <f>SUM(AN67:AQ67)</f>
        <v>310.5</v>
      </c>
      <c r="AS67" s="433">
        <f>'Data (2)'!AS162</f>
        <v>79.7</v>
      </c>
      <c r="AT67" s="433">
        <f>'Data (2)'!AT162</f>
        <v>81.7</v>
      </c>
      <c r="AU67" s="433">
        <f>'Data (2)'!AU162</f>
        <v>80.900000000000006</v>
      </c>
      <c r="AV67" s="433">
        <f>'Data (2)'!AV162</f>
        <v>77.099999999999994</v>
      </c>
      <c r="AW67" s="444">
        <f>SUM(AS67:AV67)</f>
        <v>319.39999999999998</v>
      </c>
      <c r="AX67" s="433">
        <f>'Data (2)'!AX162</f>
        <v>84.9</v>
      </c>
      <c r="AY67" s="433">
        <f>'Data (2)'!AY162</f>
        <v>88.1</v>
      </c>
      <c r="AZ67" s="433">
        <f>'Data (2)'!AZ162</f>
        <v>90.6</v>
      </c>
      <c r="BA67" s="433">
        <f>'Data (2)'!BA162</f>
        <v>93.4</v>
      </c>
      <c r="BB67" s="444">
        <f>SUM(AX67:BA67)</f>
        <v>357</v>
      </c>
      <c r="BC67" s="433">
        <f>'Data (2)'!BC162</f>
        <v>96</v>
      </c>
      <c r="BD67" s="433">
        <f>'Data (2)'!BD162</f>
        <v>96.699999999999989</v>
      </c>
      <c r="BE67" s="433">
        <f>'Data (2)'!BE162</f>
        <v>94.399999999999991</v>
      </c>
      <c r="BF67" s="433">
        <f>'Data (2)'!BF162</f>
        <v>88.800000000000011</v>
      </c>
      <c r="BG67" s="444">
        <f>SUM(BC67:BF67)</f>
        <v>375.9</v>
      </c>
      <c r="BH67" s="433">
        <f>'Data (2)'!BH162</f>
        <v>95.6</v>
      </c>
      <c r="BI67" s="433">
        <f>'Data (2)'!BI162</f>
        <v>92.1</v>
      </c>
      <c r="BJ67" s="433">
        <f>'Data (2)'!BJ162</f>
        <v>88.5</v>
      </c>
      <c r="BK67" s="433">
        <f>'Data (2)'!BK162</f>
        <v>99.6</v>
      </c>
      <c r="BL67" s="444">
        <f>SUM(BH67:BK67)</f>
        <v>375.79999999999995</v>
      </c>
      <c r="BM67" s="433">
        <f>'Data (2)'!BM162</f>
        <v>88.9</v>
      </c>
      <c r="BN67" s="433">
        <f>'Data (2)'!BN162</f>
        <v>88</v>
      </c>
      <c r="BO67" s="433">
        <f>'Data (2)'!BO162</f>
        <v>77.300000000000011</v>
      </c>
      <c r="BP67" s="433">
        <f>'Data (2)'!BP162</f>
        <v>83.1</v>
      </c>
      <c r="BQ67" s="444">
        <f>SUM(BM67:BP67)</f>
        <v>337.3</v>
      </c>
      <c r="BR67" s="433">
        <f>'Data (2)'!BR162</f>
        <v>79.3</v>
      </c>
      <c r="BS67" s="433">
        <f>'Data (2)'!BS162</f>
        <v>81.8</v>
      </c>
      <c r="BT67" s="433">
        <f>'Data (2)'!BT162</f>
        <v>81.5</v>
      </c>
      <c r="BU67" s="433">
        <f>'Data (2)'!BU162</f>
        <v>79.100000000000009</v>
      </c>
      <c r="BV67" s="444">
        <f>SUM(BR67:BU67)</f>
        <v>321.7</v>
      </c>
      <c r="BW67" s="433">
        <f>'Data (2)'!BW162</f>
        <v>76.7</v>
      </c>
      <c r="BX67" s="433">
        <f>'Data (2)'!BX162</f>
        <v>87.8</v>
      </c>
      <c r="BY67" s="433">
        <f>'Data (2)'!BY162</f>
        <v>82.699999999999989</v>
      </c>
      <c r="BZ67" s="433">
        <f>'Data (2)'!BZ162</f>
        <v>96.399999999999991</v>
      </c>
      <c r="CA67" s="444">
        <f>SUM(BW67:BZ67)</f>
        <v>343.59999999999997</v>
      </c>
      <c r="CB67" s="433">
        <f>'Data (2)'!CB162</f>
        <v>90.1</v>
      </c>
      <c r="CC67" s="433">
        <f>'Data (2)'!CC162</f>
        <v>91.7</v>
      </c>
      <c r="CD67" s="433">
        <f>'Data (2)'!CD162</f>
        <v>90.399999999999991</v>
      </c>
      <c r="CE67" s="433">
        <f>'Data (2)'!CE162</f>
        <v>97.7</v>
      </c>
      <c r="CF67" s="444">
        <f>SUM(CB67:CE67)</f>
        <v>369.9</v>
      </c>
      <c r="CG67" s="433">
        <f>'Data (2)'!CG162</f>
        <v>107.80000000000001</v>
      </c>
      <c r="CH67" s="433">
        <f>'Data (2)'!CH162</f>
        <v>111.8</v>
      </c>
      <c r="CI67" s="433">
        <f>'Data (2)'!CI162</f>
        <v>109.80000000000001</v>
      </c>
      <c r="CJ67" s="433">
        <f>'Data (2)'!CJ162</f>
        <v>115.3</v>
      </c>
      <c r="CK67" s="444">
        <f>SUM(CG67:CJ67)</f>
        <v>444.70000000000005</v>
      </c>
      <c r="CL67" s="433">
        <f>'Data (2)'!CL162</f>
        <v>111.6</v>
      </c>
      <c r="CP67" s="455">
        <f>0.18*CP26</f>
        <v>289.68948</v>
      </c>
      <c r="CQ67" s="455">
        <f>0.18*CQ26</f>
        <v>316.90863359999997</v>
      </c>
      <c r="CR67" s="455">
        <f>0.18*CR26</f>
        <v>345.88016859599998</v>
      </c>
      <c r="CS67" s="455">
        <f>0.18*CS26</f>
        <v>382.50215977139999</v>
      </c>
    </row>
    <row r="68" spans="2:98" hidden="1" outlineLevel="1">
      <c r="B68" s="433" t="s">
        <v>105</v>
      </c>
      <c r="C68" s="444">
        <f>'Data (2)'!C164</f>
        <v>66.400000000000006</v>
      </c>
      <c r="D68" s="444">
        <f>'Data (2)'!D164</f>
        <v>85.2</v>
      </c>
      <c r="E68" s="444">
        <f>'Data (2)'!E164</f>
        <v>166.4</v>
      </c>
      <c r="F68" s="444">
        <f>'Data (2)'!F164</f>
        <v>181.2</v>
      </c>
      <c r="G68" s="444">
        <f>'Data (2)'!G164</f>
        <v>77</v>
      </c>
      <c r="H68" s="444">
        <f>'Data (2)'!H164</f>
        <v>58.3</v>
      </c>
      <c r="I68" s="444">
        <f>'Data (2)'!I164</f>
        <v>52.8</v>
      </c>
      <c r="J68" s="433">
        <f>'Data (2)'!J164</f>
        <v>15.8</v>
      </c>
      <c r="K68" s="433">
        <f>'Data (2)'!K164</f>
        <v>15.5</v>
      </c>
      <c r="L68" s="433">
        <f>'Data (2)'!L164</f>
        <v>16.600000000000001</v>
      </c>
      <c r="M68" s="433">
        <f>'Data (2)'!M164</f>
        <v>16.569999999999993</v>
      </c>
      <c r="N68" s="444">
        <f>SUM(J68:M68)</f>
        <v>64.47</v>
      </c>
      <c r="O68" s="433">
        <f>'Data (2)'!O164</f>
        <v>16.8</v>
      </c>
      <c r="P68" s="433">
        <f>'Data (2)'!P164</f>
        <v>15.4</v>
      </c>
      <c r="Q68" s="433">
        <f>'Data (2)'!Q164</f>
        <v>12.4</v>
      </c>
      <c r="R68" s="433">
        <f>'Data (2)'!R164</f>
        <v>12.299999999999997</v>
      </c>
      <c r="S68" s="444">
        <f>SUM(O68:R68)</f>
        <v>56.9</v>
      </c>
      <c r="T68" s="433">
        <f>'Data (2)'!T164</f>
        <v>14.1</v>
      </c>
      <c r="U68" s="433">
        <f>'Data (2)'!U164</f>
        <v>13</v>
      </c>
      <c r="V68" s="433">
        <f>'Data (2)'!V164</f>
        <v>12.7</v>
      </c>
      <c r="W68" s="433">
        <f>'Data (2)'!W164</f>
        <v>12</v>
      </c>
      <c r="X68" s="444">
        <f>SUM(T68:W68)</f>
        <v>51.8</v>
      </c>
      <c r="AC68" s="444"/>
      <c r="AH68" s="444"/>
      <c r="AM68" s="444"/>
      <c r="AN68" s="453"/>
      <c r="AO68" s="453"/>
      <c r="AQ68" s="453"/>
      <c r="AR68" s="444"/>
      <c r="AS68" s="453"/>
      <c r="AT68" s="453"/>
      <c r="AU68" s="453"/>
      <c r="AV68" s="453"/>
      <c r="AW68" s="455"/>
      <c r="AX68" s="453"/>
      <c r="AY68" s="453"/>
      <c r="AZ68" s="453"/>
      <c r="BB68" s="455"/>
      <c r="BD68" s="453"/>
      <c r="BE68" s="453"/>
      <c r="BF68" s="453"/>
      <c r="BG68" s="444"/>
      <c r="BI68" s="453"/>
      <c r="BJ68" s="453"/>
      <c r="BK68" s="453"/>
      <c r="BL68" s="455"/>
      <c r="BM68" s="453"/>
      <c r="BN68" s="453"/>
      <c r="BO68" s="453"/>
      <c r="BP68" s="453"/>
      <c r="BQ68" s="444"/>
      <c r="BR68" s="453"/>
      <c r="BS68" s="453"/>
      <c r="BT68" s="453"/>
      <c r="BU68" s="453"/>
      <c r="BV68" s="444"/>
      <c r="BW68" s="453"/>
      <c r="BX68" s="453"/>
      <c r="BY68" s="453"/>
      <c r="BZ68" s="453"/>
      <c r="CA68" s="444"/>
      <c r="CB68" s="453"/>
      <c r="CC68" s="453"/>
      <c r="CD68" s="453"/>
      <c r="CE68" s="453"/>
      <c r="CF68" s="444"/>
      <c r="CG68" s="453"/>
      <c r="CH68" s="453"/>
      <c r="CI68" s="453"/>
      <c r="CJ68" s="453"/>
      <c r="CK68" s="444"/>
      <c r="CL68" s="453"/>
      <c r="CM68" s="453"/>
      <c r="CN68" s="453"/>
      <c r="CO68" s="453"/>
      <c r="CP68" s="455"/>
      <c r="CQ68" s="455"/>
      <c r="CR68" s="455"/>
      <c r="CS68" s="455"/>
    </row>
    <row r="69" spans="2:98" hidden="1" outlineLevel="1">
      <c r="B69" s="467" t="s">
        <v>93</v>
      </c>
      <c r="C69" s="468">
        <f t="shared" ref="C69:AK69" si="57">SUM(C65:C68)</f>
        <v>936.9</v>
      </c>
      <c r="D69" s="468">
        <f t="shared" si="57"/>
        <v>1089</v>
      </c>
      <c r="E69" s="468">
        <f t="shared" si="57"/>
        <v>1151.5000000000002</v>
      </c>
      <c r="F69" s="468">
        <f t="shared" si="57"/>
        <v>1055.7</v>
      </c>
      <c r="G69" s="468">
        <f t="shared" si="57"/>
        <v>1009.3999999999999</v>
      </c>
      <c r="H69" s="468">
        <f t="shared" si="57"/>
        <v>850.8</v>
      </c>
      <c r="I69" s="468">
        <f t="shared" si="57"/>
        <v>896.89999999999986</v>
      </c>
      <c r="J69" s="467">
        <f t="shared" si="57"/>
        <v>262.8</v>
      </c>
      <c r="K69" s="467">
        <f t="shared" si="57"/>
        <v>272.2</v>
      </c>
      <c r="L69" s="467">
        <f t="shared" si="57"/>
        <v>263.10000000000002</v>
      </c>
      <c r="M69" s="467">
        <f t="shared" si="57"/>
        <v>276.39999999999992</v>
      </c>
      <c r="N69" s="468">
        <f t="shared" si="57"/>
        <v>1074.5</v>
      </c>
      <c r="O69" s="467">
        <f t="shared" si="57"/>
        <v>290.60000000000002</v>
      </c>
      <c r="P69" s="467">
        <f t="shared" si="57"/>
        <v>311.3</v>
      </c>
      <c r="Q69" s="467">
        <f t="shared" si="57"/>
        <v>276.59999999999997</v>
      </c>
      <c r="R69" s="467">
        <f t="shared" si="57"/>
        <v>282.89999999999998</v>
      </c>
      <c r="S69" s="468">
        <f t="shared" si="57"/>
        <v>1161.4000000000001</v>
      </c>
      <c r="T69" s="467">
        <f t="shared" si="57"/>
        <v>307</v>
      </c>
      <c r="U69" s="467">
        <f t="shared" si="57"/>
        <v>316</v>
      </c>
      <c r="V69" s="467">
        <f t="shared" si="57"/>
        <v>289.09999999999997</v>
      </c>
      <c r="W69" s="467">
        <f t="shared" si="57"/>
        <v>281.00000000000006</v>
      </c>
      <c r="X69" s="468">
        <f t="shared" si="57"/>
        <v>1193.0999999999999</v>
      </c>
      <c r="Y69" s="467">
        <f t="shared" si="57"/>
        <v>282.60000000000002</v>
      </c>
      <c r="Z69" s="467">
        <f t="shared" si="57"/>
        <v>289.79999999999995</v>
      </c>
      <c r="AA69" s="467">
        <f t="shared" si="57"/>
        <v>281.09999999999997</v>
      </c>
      <c r="AB69" s="467">
        <f t="shared" si="57"/>
        <v>317.60000000000002</v>
      </c>
      <c r="AC69" s="468">
        <f t="shared" si="57"/>
        <v>1171.0999999999999</v>
      </c>
      <c r="AD69" s="467">
        <f t="shared" si="57"/>
        <v>344.5</v>
      </c>
      <c r="AE69" s="467">
        <f t="shared" si="57"/>
        <v>359.5</v>
      </c>
      <c r="AF69" s="467">
        <f t="shared" si="57"/>
        <v>331.4</v>
      </c>
      <c r="AG69" s="467">
        <f t="shared" si="57"/>
        <v>289.5</v>
      </c>
      <c r="AH69" s="468">
        <f t="shared" si="57"/>
        <v>1324.9</v>
      </c>
      <c r="AI69" s="467">
        <f t="shared" si="57"/>
        <v>307.3</v>
      </c>
      <c r="AJ69" s="467">
        <f t="shared" si="57"/>
        <v>277.3</v>
      </c>
      <c r="AK69" s="467">
        <f t="shared" si="57"/>
        <v>257.10000000000002</v>
      </c>
      <c r="AL69" s="488">
        <f>AL26</f>
        <v>266.60000000000002</v>
      </c>
      <c r="AM69" s="468">
        <f t="shared" ref="AM69:BA69" si="58">SUM(AM65:AM68)</f>
        <v>1108.3</v>
      </c>
      <c r="AN69" s="467">
        <f t="shared" si="58"/>
        <v>263</v>
      </c>
      <c r="AO69" s="467">
        <f t="shared" si="58"/>
        <v>305.10000000000002</v>
      </c>
      <c r="AP69" s="467">
        <f t="shared" si="58"/>
        <v>294.5</v>
      </c>
      <c r="AQ69" s="467">
        <f t="shared" si="58"/>
        <v>311</v>
      </c>
      <c r="AR69" s="468">
        <f t="shared" si="58"/>
        <v>1173.5999999999999</v>
      </c>
      <c r="AS69" s="467">
        <f t="shared" si="58"/>
        <v>331.6</v>
      </c>
      <c r="AT69" s="467">
        <f t="shared" si="58"/>
        <v>353.7</v>
      </c>
      <c r="AU69" s="467">
        <f t="shared" si="58"/>
        <v>351.79999999999995</v>
      </c>
      <c r="AV69" s="467">
        <f t="shared" si="58"/>
        <v>355.29999999999995</v>
      </c>
      <c r="AW69" s="468">
        <f t="shared" si="58"/>
        <v>1392.4</v>
      </c>
      <c r="AX69" s="467">
        <f t="shared" si="58"/>
        <v>400.1</v>
      </c>
      <c r="AY69" s="467">
        <f t="shared" si="58"/>
        <v>399.20000000000005</v>
      </c>
      <c r="AZ69" s="467">
        <f t="shared" si="58"/>
        <v>391.6</v>
      </c>
      <c r="BA69" s="467">
        <f t="shared" si="58"/>
        <v>387.29999999999995</v>
      </c>
      <c r="BB69" s="468">
        <f>BB26</f>
        <v>1578.2</v>
      </c>
      <c r="BC69" s="467">
        <f>SUM(BC65:BC68)</f>
        <v>416.5</v>
      </c>
      <c r="BD69" s="467">
        <f>SUM(BD65:BD68)</f>
        <v>422.59999999999997</v>
      </c>
      <c r="BE69" s="467">
        <f>SUM(BE65:BE68)</f>
        <v>412.29999999999995</v>
      </c>
      <c r="BF69" s="467">
        <f>SUM(BF65:BF68)</f>
        <v>426.8</v>
      </c>
      <c r="BG69" s="468">
        <f>BG26</f>
        <v>1678.2</v>
      </c>
      <c r="BH69" s="467">
        <f>SUM(BH65:BH68)</f>
        <v>461.70000000000005</v>
      </c>
      <c r="BI69" s="467">
        <f>SUM(BI65:BI68)</f>
        <v>470.1</v>
      </c>
      <c r="BJ69" s="467">
        <f>SUM(BJ65:BJ68)</f>
        <v>451.9</v>
      </c>
      <c r="BK69" s="467">
        <f>SUM(BK65:BK68)</f>
        <v>471.79999999999995</v>
      </c>
      <c r="BL69" s="468">
        <f>BL26</f>
        <v>1855.5</v>
      </c>
      <c r="BM69" s="467">
        <f>SUM(BM65:BM68)</f>
        <v>471.80000000000007</v>
      </c>
      <c r="BN69" s="467">
        <f>SUM(BN65:BN68)</f>
        <v>475.7</v>
      </c>
      <c r="BO69" s="467">
        <f>SUM(BO65:BO68)</f>
        <v>448.8</v>
      </c>
      <c r="BP69" s="467">
        <f>SUM(BP65:BP68)</f>
        <v>464.9</v>
      </c>
      <c r="BQ69" s="468">
        <f>BQ26</f>
        <v>1861.1999999999998</v>
      </c>
      <c r="BR69" s="467">
        <f>SUM(BR65:BR68)</f>
        <v>497.7</v>
      </c>
      <c r="BS69" s="467">
        <f>SUM(BS65:BS68)</f>
        <v>522.6</v>
      </c>
      <c r="BT69" s="467">
        <f>SUM(BT65:BT68)</f>
        <v>500.5</v>
      </c>
      <c r="BU69" s="467">
        <f>SUM(BU65:BU68)</f>
        <v>483.5</v>
      </c>
      <c r="BV69" s="468">
        <f>BV26</f>
        <v>2004.3</v>
      </c>
      <c r="BW69" s="467">
        <f>SUM(BW65:BW68)</f>
        <v>478.79999999999995</v>
      </c>
      <c r="BX69" s="467">
        <f>SUM(BX65:BX68)</f>
        <v>491.3</v>
      </c>
      <c r="BY69" s="467">
        <f>SUM(BY65:BY68)</f>
        <v>491.5</v>
      </c>
      <c r="BZ69" s="467">
        <f>SUM(BZ65:BZ68)</f>
        <v>511.7</v>
      </c>
      <c r="CA69" s="468">
        <f>CA26</f>
        <v>1973.2999999999997</v>
      </c>
      <c r="CB69" s="467">
        <f>SUM(CB65:CB68)</f>
        <v>540.1</v>
      </c>
      <c r="CC69" s="467">
        <f>SUM(CC65:CC68)</f>
        <v>547.5</v>
      </c>
      <c r="CD69" s="467">
        <f>SUM(CD65:CD68)</f>
        <v>540.5</v>
      </c>
      <c r="CE69" s="467">
        <f>SUM(CE65:CE68)</f>
        <v>561</v>
      </c>
      <c r="CF69" s="468">
        <f>CF26</f>
        <v>2189.1000000000004</v>
      </c>
      <c r="CG69" s="467">
        <f>SUM(CG65:CG68)</f>
        <v>609.90000000000009</v>
      </c>
      <c r="CH69" s="467">
        <f>SUM(CH65:CH68)</f>
        <v>609</v>
      </c>
      <c r="CI69" s="467">
        <f>SUM(CI65:CI68)</f>
        <v>572.5</v>
      </c>
      <c r="CJ69" s="467">
        <f>SUM(CJ65:CJ68)</f>
        <v>564.30000000000007</v>
      </c>
      <c r="CK69" s="468">
        <f>CK26</f>
        <v>2355.7000000000003</v>
      </c>
      <c r="CL69" s="467">
        <f>SUM(CL65:CL68)</f>
        <v>541</v>
      </c>
      <c r="CM69" s="467"/>
      <c r="CN69" s="467"/>
      <c r="CO69" s="467"/>
      <c r="CP69" s="489">
        <f>SUM(CP65:CP67)</f>
        <v>1609.3860000000002</v>
      </c>
      <c r="CQ69" s="489">
        <f>SUM(CQ65:CQ67)</f>
        <v>1760.6035199999999</v>
      </c>
      <c r="CR69" s="489">
        <f>SUM(CR65:CR67)</f>
        <v>1921.5564921999996</v>
      </c>
      <c r="CS69" s="489">
        <f>SUM(CS65:CS67)</f>
        <v>2125.01199873</v>
      </c>
    </row>
    <row r="70" spans="2:98" hidden="1" outlineLevel="1">
      <c r="C70" s="486"/>
      <c r="D70" s="486"/>
      <c r="E70" s="486"/>
      <c r="F70" s="486"/>
      <c r="G70" s="486"/>
      <c r="H70" s="486"/>
      <c r="I70" s="486"/>
      <c r="J70" s="487"/>
      <c r="K70" s="487"/>
      <c r="L70" s="487"/>
      <c r="M70" s="487"/>
      <c r="N70" s="486"/>
      <c r="O70" s="487"/>
      <c r="P70" s="487"/>
      <c r="Q70" s="487"/>
      <c r="R70" s="487"/>
      <c r="S70" s="486"/>
      <c r="T70" s="487"/>
      <c r="U70" s="487"/>
      <c r="V70" s="487"/>
      <c r="W70" s="487"/>
      <c r="X70" s="486"/>
      <c r="Y70" s="487"/>
      <c r="Z70" s="487"/>
      <c r="AA70" s="487"/>
      <c r="AB70" s="487"/>
      <c r="AC70" s="486"/>
      <c r="AD70" s="487"/>
      <c r="AE70" s="487"/>
      <c r="AF70" s="487"/>
      <c r="AG70" s="487"/>
      <c r="AH70" s="486"/>
      <c r="AI70" s="487"/>
      <c r="AJ70" s="487"/>
      <c r="AK70" s="487"/>
      <c r="AL70" s="487"/>
      <c r="AM70" s="486"/>
      <c r="AN70" s="487"/>
      <c r="AO70" s="487"/>
      <c r="AP70" s="487"/>
      <c r="AQ70" s="487"/>
      <c r="AR70" s="486"/>
      <c r="AS70" s="487"/>
      <c r="AT70" s="487"/>
      <c r="AU70" s="487"/>
      <c r="AV70" s="487"/>
      <c r="AW70" s="486"/>
      <c r="AX70" s="487"/>
      <c r="AY70" s="487"/>
      <c r="AZ70" s="487"/>
      <c r="BA70" s="487"/>
      <c r="BB70" s="486"/>
      <c r="BC70" s="487"/>
      <c r="BD70" s="487"/>
      <c r="BE70" s="487"/>
      <c r="BF70" s="487"/>
      <c r="BG70" s="486"/>
      <c r="BH70" s="487"/>
      <c r="BI70" s="487"/>
      <c r="BJ70" s="487"/>
      <c r="BK70" s="487"/>
      <c r="BL70" s="486"/>
      <c r="BM70" s="487"/>
      <c r="BN70" s="487"/>
      <c r="BO70" s="487"/>
      <c r="BP70" s="487"/>
      <c r="BQ70" s="486"/>
      <c r="BR70" s="487"/>
      <c r="BS70" s="487"/>
      <c r="BT70" s="487"/>
      <c r="BU70" s="487"/>
      <c r="BV70" s="486"/>
      <c r="BW70" s="487"/>
      <c r="BX70" s="487"/>
      <c r="BY70" s="487"/>
      <c r="BZ70" s="487"/>
      <c r="CA70" s="486"/>
      <c r="CB70" s="487"/>
      <c r="CC70" s="487"/>
      <c r="CD70" s="487"/>
      <c r="CE70" s="487"/>
      <c r="CF70" s="486"/>
      <c r="CG70" s="487"/>
      <c r="CH70" s="487"/>
      <c r="CI70" s="487"/>
      <c r="CJ70" s="487"/>
      <c r="CK70" s="486"/>
      <c r="CL70" s="487"/>
      <c r="CM70" s="487"/>
      <c r="CN70" s="487"/>
      <c r="CO70" s="487"/>
      <c r="CP70" s="486"/>
      <c r="CQ70" s="486"/>
      <c r="CR70" s="486"/>
      <c r="CS70" s="486"/>
    </row>
    <row r="71" spans="2:98" hidden="1" outlineLevel="1">
      <c r="B71" s="481" t="s">
        <v>207</v>
      </c>
      <c r="C71" s="486"/>
      <c r="D71" s="486"/>
      <c r="E71" s="486"/>
      <c r="F71" s="486"/>
      <c r="G71" s="486"/>
      <c r="H71" s="486"/>
      <c r="I71" s="486"/>
      <c r="J71" s="487"/>
      <c r="K71" s="487"/>
      <c r="L71" s="487"/>
      <c r="M71" s="487"/>
      <c r="N71" s="486"/>
      <c r="O71" s="487"/>
      <c r="P71" s="487"/>
      <c r="Q71" s="487"/>
      <c r="R71" s="487"/>
      <c r="S71" s="486"/>
      <c r="T71" s="487"/>
      <c r="U71" s="487"/>
      <c r="V71" s="487"/>
      <c r="W71" s="487"/>
      <c r="X71" s="486"/>
      <c r="Y71" s="487"/>
      <c r="Z71" s="487"/>
      <c r="AA71" s="487"/>
      <c r="AB71" s="487"/>
      <c r="AC71" s="486"/>
      <c r="AD71" s="487"/>
      <c r="AE71" s="487"/>
      <c r="AF71" s="487"/>
      <c r="AG71" s="487"/>
      <c r="AH71" s="486"/>
      <c r="AI71" s="487"/>
      <c r="AJ71" s="487"/>
      <c r="AK71" s="487"/>
      <c r="AM71" s="486"/>
      <c r="AN71" s="487"/>
      <c r="AO71" s="487"/>
      <c r="AP71" s="487"/>
      <c r="AQ71" s="487"/>
      <c r="AR71" s="486"/>
      <c r="AS71" s="487"/>
      <c r="AT71" s="487"/>
      <c r="AU71" s="487"/>
      <c r="AV71" s="487"/>
      <c r="AW71" s="486"/>
      <c r="AX71" s="487"/>
      <c r="AY71" s="487"/>
      <c r="AZ71" s="487"/>
      <c r="BA71" s="487"/>
      <c r="BB71" s="486"/>
      <c r="BC71" s="487"/>
      <c r="BD71" s="487"/>
      <c r="BE71" s="487"/>
      <c r="BF71" s="487"/>
      <c r="BG71" s="486"/>
      <c r="BH71" s="487"/>
      <c r="BI71" s="487"/>
      <c r="BJ71" s="487"/>
      <c r="BK71" s="487"/>
      <c r="BL71" s="486"/>
      <c r="BM71" s="487"/>
      <c r="BN71" s="487"/>
      <c r="BO71" s="487"/>
      <c r="BP71" s="487"/>
      <c r="BQ71" s="486"/>
      <c r="BR71" s="487"/>
      <c r="BS71" s="487"/>
      <c r="BT71" s="487"/>
      <c r="BU71" s="487"/>
      <c r="BV71" s="486"/>
      <c r="BW71" s="487"/>
      <c r="BX71" s="487"/>
      <c r="BY71" s="487"/>
      <c r="BZ71" s="487"/>
      <c r="CA71" s="486"/>
      <c r="CB71" s="487"/>
      <c r="CC71" s="487"/>
      <c r="CD71" s="487"/>
      <c r="CE71" s="487"/>
      <c r="CF71" s="486"/>
      <c r="CG71" s="487"/>
      <c r="CH71" s="487"/>
      <c r="CI71" s="487"/>
      <c r="CJ71" s="487"/>
      <c r="CK71" s="486"/>
      <c r="CL71" s="487"/>
      <c r="CM71" s="487"/>
      <c r="CN71" s="487"/>
      <c r="CO71" s="487"/>
      <c r="CP71" s="486"/>
      <c r="CQ71" s="486"/>
      <c r="CR71" s="486"/>
      <c r="CS71" s="486"/>
    </row>
    <row r="72" spans="2:98" hidden="1" outlineLevel="1">
      <c r="B72" s="433" t="s">
        <v>94</v>
      </c>
      <c r="C72" s="486"/>
      <c r="D72" s="475">
        <f t="shared" ref="D72:I76" si="59">IF(ISERROR(D65/C65-1),"",(D65/C65-1))</f>
        <v>0.12169400736524949</v>
      </c>
      <c r="E72" s="475">
        <f t="shared" si="59"/>
        <v>-4.2530965527533215E-2</v>
      </c>
      <c r="F72" s="475">
        <f t="shared" si="59"/>
        <v>-0.17581047381546144</v>
      </c>
      <c r="G72" s="475">
        <f t="shared" si="59"/>
        <v>1.9099848714069667E-2</v>
      </c>
      <c r="H72" s="475">
        <f t="shared" si="59"/>
        <v>-0.27426238634254951</v>
      </c>
      <c r="I72" s="475">
        <f t="shared" si="59"/>
        <v>-3.0682689849144129E-3</v>
      </c>
      <c r="J72" s="476"/>
      <c r="K72" s="476"/>
      <c r="L72" s="476"/>
      <c r="M72" s="476"/>
      <c r="N72" s="475">
        <f t="shared" ref="N72:W74" si="60">IF(ISERROR(N65/I65-1),"",(N65/I65-1))</f>
        <v>0.18500897666068239</v>
      </c>
      <c r="O72" s="476">
        <f t="shared" si="60"/>
        <v>0.18733031674208145</v>
      </c>
      <c r="P72" s="476">
        <f t="shared" si="60"/>
        <v>0.25567190226876102</v>
      </c>
      <c r="Q72" s="476">
        <f t="shared" si="60"/>
        <v>7.1244635193133066E-2</v>
      </c>
      <c r="R72" s="476">
        <f t="shared" si="60"/>
        <v>7.5268817204300564E-2</v>
      </c>
      <c r="S72" s="475">
        <f t="shared" si="60"/>
        <v>0.14580064280844507</v>
      </c>
      <c r="T72" s="476">
        <f t="shared" si="60"/>
        <v>0.16768292682926833</v>
      </c>
      <c r="U72" s="476">
        <f t="shared" si="60"/>
        <v>0.11327310632383591</v>
      </c>
      <c r="V72" s="476">
        <f t="shared" si="60"/>
        <v>0.20112179487179493</v>
      </c>
      <c r="W72" s="476">
        <f t="shared" si="60"/>
        <v>0.19459459459459549</v>
      </c>
      <c r="X72" s="475">
        <f t="shared" ref="X72:AG74" si="61">IF(ISERROR(X65/S65-1),"",(X65/S65-1))</f>
        <v>0.1673592746505479</v>
      </c>
      <c r="Y72" s="476">
        <f t="shared" si="61"/>
        <v>-6.0052219321148792E-2</v>
      </c>
      <c r="Z72" s="476">
        <f t="shared" si="61"/>
        <v>-3.433208489388262E-2</v>
      </c>
      <c r="AA72" s="476">
        <f t="shared" si="61"/>
        <v>1.9346230820546984E-2</v>
      </c>
      <c r="AB72" s="476">
        <f t="shared" si="61"/>
        <v>0.10084033613445342</v>
      </c>
      <c r="AC72" s="475">
        <f t="shared" si="61"/>
        <v>6.1488673139158401E-3</v>
      </c>
      <c r="AD72" s="476">
        <f t="shared" si="61"/>
        <v>0.33263888888888915</v>
      </c>
      <c r="AE72" s="476">
        <f t="shared" si="61"/>
        <v>0.28442146089204923</v>
      </c>
      <c r="AF72" s="476">
        <f t="shared" si="61"/>
        <v>0.1551047120418847</v>
      </c>
      <c r="AG72" s="476">
        <f t="shared" si="61"/>
        <v>-0.15913094539048744</v>
      </c>
      <c r="AH72" s="475">
        <f t="shared" ref="AH72:AQ74" si="62">IF(ISERROR(AH65/AC65-1),"",(AH65/AC65-1))</f>
        <v>0.14232872306207778</v>
      </c>
      <c r="AI72" s="476">
        <f t="shared" si="62"/>
        <v>-0.19854090672225122</v>
      </c>
      <c r="AJ72" s="476">
        <f t="shared" si="62"/>
        <v>-0.30649219929542015</v>
      </c>
      <c r="AK72" s="476">
        <f t="shared" si="62"/>
        <v>-0.27762039660056659</v>
      </c>
      <c r="AL72" s="476">
        <f t="shared" si="62"/>
        <v>-6.4245810055865826E-2</v>
      </c>
      <c r="AM72" s="475">
        <f t="shared" si="62"/>
        <v>-0.22131493735041519</v>
      </c>
      <c r="AN72" s="476">
        <f t="shared" si="62"/>
        <v>-1.1703511053316018E-2</v>
      </c>
      <c r="AO72" s="476">
        <f t="shared" si="62"/>
        <v>0.1683599419448476</v>
      </c>
      <c r="AP72" s="476">
        <f t="shared" si="62"/>
        <v>0.23607843137254902</v>
      </c>
      <c r="AQ72" s="476">
        <f t="shared" si="62"/>
        <v>0.2992537313432837</v>
      </c>
      <c r="AR72" s="475">
        <f t="shared" ref="AR72:BA74" si="63">IF(ISERROR(AR65/AM65-1),"",(AR65/AM65-1))</f>
        <v>0.16561200506237572</v>
      </c>
      <c r="AS72" s="476">
        <f t="shared" si="63"/>
        <v>0.30000000000000004</v>
      </c>
      <c r="AT72" s="476">
        <f t="shared" si="63"/>
        <v>0.29068322981366457</v>
      </c>
      <c r="AU72" s="476">
        <f t="shared" si="63"/>
        <v>0.31598984771573613</v>
      </c>
      <c r="AV72" s="476">
        <f t="shared" si="63"/>
        <v>0.21022400919012041</v>
      </c>
      <c r="AW72" s="475">
        <f t="shared" si="63"/>
        <v>0.27733829688227063</v>
      </c>
      <c r="AX72" s="476">
        <f t="shared" si="63"/>
        <v>0.2262145748987856</v>
      </c>
      <c r="AY72" s="476">
        <f t="shared" si="63"/>
        <v>0.12367661212704517</v>
      </c>
      <c r="AZ72" s="476">
        <f t="shared" si="63"/>
        <v>0.12873674059787854</v>
      </c>
      <c r="BA72" s="476">
        <f t="shared" si="63"/>
        <v>0.11153298528713806</v>
      </c>
      <c r="BB72" s="475">
        <f t="shared" ref="BB72:BK74" si="64">IF(ISERROR(BB65/AW65-1),"",(BB65/AW65-1))</f>
        <v>0.14644808743169424</v>
      </c>
      <c r="BC72" s="476">
        <f t="shared" si="64"/>
        <v>0.10978126289723478</v>
      </c>
      <c r="BD72" s="476">
        <f t="shared" si="64"/>
        <v>0.15631691648822277</v>
      </c>
      <c r="BE72" s="476">
        <f t="shared" si="64"/>
        <v>0.11917983767620655</v>
      </c>
      <c r="BF72" s="476">
        <f t="shared" si="64"/>
        <v>0.2109308283518363</v>
      </c>
      <c r="BG72" s="475">
        <f t="shared" si="64"/>
        <v>0.14871306005719709</v>
      </c>
      <c r="BH72" s="476">
        <f t="shared" si="64"/>
        <v>0.12755671253254031</v>
      </c>
      <c r="BI72" s="476">
        <f t="shared" si="64"/>
        <v>0.14148148148148154</v>
      </c>
      <c r="BJ72" s="476">
        <f t="shared" si="64"/>
        <v>0.13167938931297707</v>
      </c>
      <c r="BK72" s="476">
        <f t="shared" si="64"/>
        <v>8.392101551480935E-2</v>
      </c>
      <c r="BL72" s="475">
        <f t="shared" ref="BL72:BU74" si="65">IF(ISERROR(BL65/BG65-1),"",(BL65/BG65-1))</f>
        <v>0.12060857538035985</v>
      </c>
      <c r="BM72" s="476">
        <f t="shared" si="65"/>
        <v>5.6398416886543457E-2</v>
      </c>
      <c r="BN72" s="476">
        <f t="shared" si="65"/>
        <v>5.3536664503569087E-2</v>
      </c>
      <c r="BO72" s="476">
        <f t="shared" si="65"/>
        <v>6.0708263069140012E-2</v>
      </c>
      <c r="BP72" s="476">
        <f t="shared" si="65"/>
        <v>6.1808718282368336E-2</v>
      </c>
      <c r="BQ72" s="475">
        <f t="shared" si="65"/>
        <v>5.8092652020077296E-2</v>
      </c>
      <c r="BR72" s="476">
        <f t="shared" si="65"/>
        <v>9.3662191695285557E-2</v>
      </c>
      <c r="BS72" s="476">
        <f t="shared" si="65"/>
        <v>0.13489374807514642</v>
      </c>
      <c r="BT72" s="476">
        <f t="shared" si="65"/>
        <v>0.14658187599364081</v>
      </c>
      <c r="BU72" s="476">
        <f t="shared" si="65"/>
        <v>7.1997549019607865E-2</v>
      </c>
      <c r="BV72" s="475">
        <f t="shared" ref="BV72:CE74" si="66">IF(ISERROR(BV65/BQ65-1),"",(BV65/BQ65-1))</f>
        <v>0.11151722528968033</v>
      </c>
      <c r="BW72" s="476">
        <f t="shared" si="66"/>
        <v>-8.8495575221239076E-3</v>
      </c>
      <c r="BX72" s="476">
        <f t="shared" si="66"/>
        <v>-5.2917232021709615E-2</v>
      </c>
      <c r="BY72" s="476">
        <f t="shared" si="66"/>
        <v>-2.2185246810870751E-2</v>
      </c>
      <c r="BZ72" s="476">
        <f t="shared" si="66"/>
        <v>3.2009145470134559E-2</v>
      </c>
      <c r="CA72" s="475">
        <f t="shared" si="66"/>
        <v>-1.3573077730357541E-2</v>
      </c>
      <c r="CB72" s="476">
        <f t="shared" si="66"/>
        <v>0.10224654377880182</v>
      </c>
      <c r="CC72" s="476">
        <f t="shared" si="66"/>
        <v>9.9713467048710536E-2</v>
      </c>
      <c r="CD72" s="476">
        <f t="shared" si="66"/>
        <v>5.8139534883721034E-2</v>
      </c>
      <c r="CE72" s="476">
        <f t="shared" si="66"/>
        <v>6.7294378288562662E-2</v>
      </c>
      <c r="CF72" s="475">
        <f t="shared" ref="CF72:CF74" si="67">IF(ISERROR(CF65/CA65-1),"",(CF65/CA65-1))</f>
        <v>8.1636995531597867E-2</v>
      </c>
      <c r="CG72" s="476"/>
      <c r="CH72" s="476"/>
      <c r="CI72" s="476"/>
      <c r="CJ72" s="476"/>
      <c r="CK72" s="475">
        <f>IF(ISERROR(CK65/CF65-1),"",(CK65/CF65-1))</f>
        <v>4.7672131147541208E-2</v>
      </c>
      <c r="CL72" s="476"/>
      <c r="CM72" s="476"/>
      <c r="CN72" s="476"/>
      <c r="CO72" s="476"/>
      <c r="CP72" s="475">
        <f>IF(ISERROR(CP65/CK65-1),"",(CP65/CK65-1))</f>
        <v>-0.29488001502159356</v>
      </c>
      <c r="CQ72" s="475">
        <f t="shared" ref="CQ72:CS76" si="68">IF(ISERROR(CQ65/CP65-1),"",(CQ65/CP65-1))</f>
        <v>0.10958775511725749</v>
      </c>
      <c r="CR72" s="475">
        <f t="shared" si="68"/>
        <v>9.1419203910259039E-2</v>
      </c>
      <c r="CS72" s="475">
        <f t="shared" si="68"/>
        <v>0.10588057512535731</v>
      </c>
    </row>
    <row r="73" spans="2:98" hidden="1" outlineLevel="1">
      <c r="B73" s="433" t="s">
        <v>95</v>
      </c>
      <c r="C73" s="486"/>
      <c r="D73" s="475">
        <f t="shared" si="59"/>
        <v>3.9502164502164483E-2</v>
      </c>
      <c r="E73" s="475">
        <f t="shared" si="59"/>
        <v>9.9947943779281623E-2</v>
      </c>
      <c r="F73" s="475">
        <f t="shared" si="59"/>
        <v>7.6668244202555469E-2</v>
      </c>
      <c r="G73" s="475">
        <f t="shared" si="59"/>
        <v>9.9780219780219781E-2</v>
      </c>
      <c r="H73" s="475">
        <f t="shared" si="59"/>
        <v>1.4788169464428513E-2</v>
      </c>
      <c r="I73" s="475">
        <f t="shared" si="59"/>
        <v>8.2709728239464209E-2</v>
      </c>
      <c r="J73" s="476"/>
      <c r="K73" s="476"/>
      <c r="L73" s="476"/>
      <c r="M73" s="476"/>
      <c r="N73" s="475">
        <f t="shared" si="60"/>
        <v>0.28986904328846852</v>
      </c>
      <c r="O73" s="476">
        <f t="shared" si="60"/>
        <v>0.10011778563015317</v>
      </c>
      <c r="P73" s="476">
        <f t="shared" si="60"/>
        <v>6.0475161987041171E-2</v>
      </c>
      <c r="Q73" s="476">
        <f t="shared" si="60"/>
        <v>4.5300113250283935E-3</v>
      </c>
      <c r="R73" s="476">
        <f t="shared" si="60"/>
        <v>-3.6999493157627628E-2</v>
      </c>
      <c r="S73" s="475">
        <f t="shared" si="60"/>
        <v>3.1628523485201177E-2</v>
      </c>
      <c r="T73" s="476">
        <f t="shared" si="60"/>
        <v>-6.1027837259100659E-2</v>
      </c>
      <c r="U73" s="476">
        <f t="shared" si="60"/>
        <v>-9.7759674134419661E-2</v>
      </c>
      <c r="V73" s="476">
        <f t="shared" si="60"/>
        <v>-0.1375422773393461</v>
      </c>
      <c r="W73" s="476">
        <f t="shared" si="60"/>
        <v>-0.30643274853801161</v>
      </c>
      <c r="X73" s="475">
        <f t="shared" si="61"/>
        <v>-0.1468015308911973</v>
      </c>
      <c r="Y73" s="476">
        <f t="shared" si="61"/>
        <v>-0.15507411630558721</v>
      </c>
      <c r="Z73" s="476">
        <f t="shared" si="61"/>
        <v>-0.14334085778781047</v>
      </c>
      <c r="AA73" s="476">
        <f t="shared" si="61"/>
        <v>-0.11241830065359493</v>
      </c>
      <c r="AB73" s="476">
        <f t="shared" si="61"/>
        <v>0.27655986509274855</v>
      </c>
      <c r="AC73" s="475">
        <f t="shared" si="61"/>
        <v>-5.9275873117590638E-2</v>
      </c>
      <c r="AD73" s="476">
        <f t="shared" si="61"/>
        <v>5.8029689608636748E-2</v>
      </c>
      <c r="AE73" s="476">
        <f t="shared" si="61"/>
        <v>0.13043478260869579</v>
      </c>
      <c r="AF73" s="476">
        <f t="shared" si="61"/>
        <v>0.16789396170839477</v>
      </c>
      <c r="AG73" s="476">
        <f t="shared" si="61"/>
        <v>-8.5865257595772793E-2</v>
      </c>
      <c r="AH73" s="475">
        <f t="shared" si="62"/>
        <v>6.5054495912806543E-2</v>
      </c>
      <c r="AI73" s="476">
        <f t="shared" si="62"/>
        <v>-2.8061224489795755E-2</v>
      </c>
      <c r="AJ73" s="476">
        <f t="shared" si="62"/>
        <v>-0.24475524475524457</v>
      </c>
      <c r="AK73" s="476">
        <f t="shared" si="62"/>
        <v>-0.30517023959646905</v>
      </c>
      <c r="AL73" s="476">
        <f t="shared" si="62"/>
        <v>-0.14313872832369956</v>
      </c>
      <c r="AM73" s="475">
        <f t="shared" si="62"/>
        <v>-0.18325935401343141</v>
      </c>
      <c r="AN73" s="476">
        <f t="shared" si="62"/>
        <v>-0.49475065616797897</v>
      </c>
      <c r="AO73" s="476">
        <f t="shared" si="62"/>
        <v>-1.5432098765433278E-3</v>
      </c>
      <c r="AP73" s="476">
        <f t="shared" si="62"/>
        <v>0.1343012704174229</v>
      </c>
      <c r="AQ73" s="476">
        <f t="shared" si="62"/>
        <v>-0.11122054547784965</v>
      </c>
      <c r="AR73" s="475">
        <f t="shared" si="63"/>
        <v>-0.14485337994352276</v>
      </c>
      <c r="AS73" s="476">
        <f t="shared" si="63"/>
        <v>0.41038961038961053</v>
      </c>
      <c r="AT73" s="476">
        <f t="shared" si="63"/>
        <v>-7.7279752704790816E-3</v>
      </c>
      <c r="AU73" s="476">
        <f t="shared" si="63"/>
        <v>1.6000000000000014E-2</v>
      </c>
      <c r="AV73" s="476">
        <f t="shared" si="63"/>
        <v>0.28083491461100585</v>
      </c>
      <c r="AW73" s="475">
        <f t="shared" si="63"/>
        <v>0.14239926739926756</v>
      </c>
      <c r="AX73" s="476">
        <f t="shared" si="63"/>
        <v>0.34254143646408819</v>
      </c>
      <c r="AY73" s="476">
        <f t="shared" si="63"/>
        <v>0.20872274143302172</v>
      </c>
      <c r="AZ73" s="476">
        <f t="shared" si="63"/>
        <v>5.3543307086614256E-2</v>
      </c>
      <c r="BA73" s="476">
        <f t="shared" si="63"/>
        <v>-0.11555555555555552</v>
      </c>
      <c r="BB73" s="475">
        <f t="shared" si="64"/>
        <v>0.11062124248496996</v>
      </c>
      <c r="BC73" s="476">
        <f t="shared" si="64"/>
        <v>-0.29218106995884774</v>
      </c>
      <c r="BD73" s="476">
        <f t="shared" si="64"/>
        <v>-0.27963917525773185</v>
      </c>
      <c r="BE73" s="476">
        <f t="shared" si="64"/>
        <v>-0.16442451420029902</v>
      </c>
      <c r="BF73" s="476">
        <f t="shared" si="64"/>
        <v>-8.8777219430485776E-2</v>
      </c>
      <c r="BG73" s="475">
        <f t="shared" si="64"/>
        <v>-0.2140021652832913</v>
      </c>
      <c r="BH73" s="476">
        <f t="shared" si="64"/>
        <v>0.21899224806201567</v>
      </c>
      <c r="BI73" s="476">
        <f t="shared" si="64"/>
        <v>0.24865831842576003</v>
      </c>
      <c r="BJ73" s="476">
        <f t="shared" si="64"/>
        <v>0.19677996422182487</v>
      </c>
      <c r="BK73" s="476">
        <f t="shared" si="64"/>
        <v>0.19117647058823528</v>
      </c>
      <c r="BL73" s="475">
        <f t="shared" si="65"/>
        <v>0.21395775941230477</v>
      </c>
      <c r="BM73" s="476">
        <f t="shared" si="65"/>
        <v>-4.7694753577106619E-3</v>
      </c>
      <c r="BN73" s="476">
        <f t="shared" si="65"/>
        <v>-9.7421203438395332E-2</v>
      </c>
      <c r="BO73" s="476">
        <f t="shared" si="65"/>
        <v>-0.14798206278026915</v>
      </c>
      <c r="BP73" s="476">
        <f t="shared" si="65"/>
        <v>-0.14506172839506171</v>
      </c>
      <c r="BQ73" s="475">
        <f t="shared" si="65"/>
        <v>-9.9848714069591504E-2</v>
      </c>
      <c r="BR73" s="476">
        <f t="shared" si="65"/>
        <v>8.785942492012766E-2</v>
      </c>
      <c r="BS73" s="476">
        <f t="shared" si="65"/>
        <v>0.14761904761904754</v>
      </c>
      <c r="BT73" s="476">
        <f t="shared" si="65"/>
        <v>2.4561403508772006E-2</v>
      </c>
      <c r="BU73" s="476">
        <f t="shared" si="65"/>
        <v>-1.6245487364620947E-2</v>
      </c>
      <c r="BV73" s="475">
        <f t="shared" si="66"/>
        <v>6.4285714285714279E-2</v>
      </c>
      <c r="BW73" s="476">
        <f t="shared" si="66"/>
        <v>-0.19383259911894268</v>
      </c>
      <c r="BX73" s="476">
        <f t="shared" si="66"/>
        <v>-0.24619640387275243</v>
      </c>
      <c r="BY73" s="476">
        <f t="shared" si="66"/>
        <v>-3.7671232876712257E-2</v>
      </c>
      <c r="BZ73" s="476">
        <f t="shared" si="66"/>
        <v>-5.5045871559632475E-3</v>
      </c>
      <c r="CA73" s="475">
        <f t="shared" si="66"/>
        <v>-0.13225424397947083</v>
      </c>
      <c r="CB73" s="476">
        <f t="shared" si="66"/>
        <v>0.2258652094717668</v>
      </c>
      <c r="CC73" s="476">
        <f t="shared" si="66"/>
        <v>0.32110091743119273</v>
      </c>
      <c r="CD73" s="476">
        <f t="shared" si="66"/>
        <v>0.37010676156583622</v>
      </c>
      <c r="CE73" s="476">
        <f t="shared" si="66"/>
        <v>0.4372693726937269</v>
      </c>
      <c r="CF73" s="475">
        <f t="shared" si="67"/>
        <v>0.33848953594176545</v>
      </c>
      <c r="CG73" s="476"/>
      <c r="CH73" s="476"/>
      <c r="CI73" s="476"/>
      <c r="CJ73" s="476"/>
      <c r="CK73" s="475">
        <f>IF(ISERROR(CK66/CF66-1),"",(CK66/CF66-1))</f>
        <v>6.4921821889870612E-2</v>
      </c>
      <c r="CL73" s="476"/>
      <c r="CM73" s="476"/>
      <c r="CN73" s="476"/>
      <c r="CO73" s="476"/>
      <c r="CP73" s="475">
        <f>IF(ISERROR(CP66/CK66-1),"",(CP66/CK66-1))</f>
        <v>-0.38357382700287257</v>
      </c>
      <c r="CQ73" s="475">
        <f t="shared" si="68"/>
        <v>2.7964453524511601E-3</v>
      </c>
      <c r="CR73" s="475">
        <f t="shared" si="68"/>
        <v>9.1419203910259039E-2</v>
      </c>
      <c r="CS73" s="475">
        <f t="shared" si="68"/>
        <v>0.10588057512535731</v>
      </c>
    </row>
    <row r="74" spans="2:98" hidden="1" outlineLevel="1">
      <c r="B74" s="433" t="s">
        <v>109</v>
      </c>
      <c r="C74" s="486"/>
      <c r="D74" s="475">
        <f t="shared" si="59"/>
        <v>0.60362400906002267</v>
      </c>
      <c r="E74" s="475">
        <f t="shared" si="59"/>
        <v>-6.6384180790960534E-2</v>
      </c>
      <c r="F74" s="475">
        <f t="shared" si="59"/>
        <v>-0.10590015128593033</v>
      </c>
      <c r="G74" s="475">
        <f t="shared" si="59"/>
        <v>0.21235194585448403</v>
      </c>
      <c r="H74" s="475">
        <f t="shared" si="59"/>
        <v>2.9309141660851301E-2</v>
      </c>
      <c r="I74" s="475">
        <f t="shared" si="59"/>
        <v>0.2155932203389832</v>
      </c>
      <c r="J74" s="476"/>
      <c r="K74" s="476"/>
      <c r="L74" s="476"/>
      <c r="M74" s="476"/>
      <c r="N74" s="475">
        <f t="shared" si="60"/>
        <v>7.8694924707194636E-2</v>
      </c>
      <c r="O74" s="476">
        <f t="shared" si="60"/>
        <v>-4.6511627906976716E-2</v>
      </c>
      <c r="P74" s="476">
        <f t="shared" si="60"/>
        <v>8.6868686868686762E-2</v>
      </c>
      <c r="Q74" s="476">
        <f t="shared" si="60"/>
        <v>0.21582733812949639</v>
      </c>
      <c r="R74" s="476">
        <f t="shared" si="60"/>
        <v>9.8597115194626328E-2</v>
      </c>
      <c r="S74" s="475">
        <f t="shared" si="60"/>
        <v>8.2157075642417698E-2</v>
      </c>
      <c r="T74" s="476">
        <f t="shared" si="60"/>
        <v>5.6910569105691033E-2</v>
      </c>
      <c r="U74" s="476">
        <f t="shared" si="60"/>
        <v>7.4349442379182396E-3</v>
      </c>
      <c r="V74" s="476">
        <f t="shared" si="60"/>
        <v>-1.3806706114398493E-2</v>
      </c>
      <c r="W74" s="476">
        <f t="shared" si="60"/>
        <v>-1.0791366906475197E-2</v>
      </c>
      <c r="X74" s="475">
        <f t="shared" si="61"/>
        <v>9.077878643095838E-3</v>
      </c>
      <c r="Y74" s="476">
        <f t="shared" si="61"/>
        <v>0.24038461538461542</v>
      </c>
      <c r="Z74" s="476">
        <f t="shared" si="61"/>
        <v>9.2250922509225175E-2</v>
      </c>
      <c r="AA74" s="476">
        <f t="shared" si="61"/>
        <v>0.20799999999999996</v>
      </c>
      <c r="AB74" s="476">
        <f t="shared" si="61"/>
        <v>0.30181818181818176</v>
      </c>
      <c r="AC74" s="475">
        <f t="shared" si="61"/>
        <v>0.21070075757575757</v>
      </c>
      <c r="AD74" s="476">
        <f t="shared" si="61"/>
        <v>0.15038759689922454</v>
      </c>
      <c r="AE74" s="476">
        <f t="shared" si="61"/>
        <v>0.26689189189189189</v>
      </c>
      <c r="AF74" s="476">
        <f t="shared" si="61"/>
        <v>0.2516556291390728</v>
      </c>
      <c r="AG74" s="476">
        <f t="shared" si="61"/>
        <v>7.6815642458100575E-2</v>
      </c>
      <c r="AH74" s="475">
        <f t="shared" si="62"/>
        <v>0.18068048494329281</v>
      </c>
      <c r="AI74" s="476">
        <f t="shared" si="62"/>
        <v>4.1778975741240121E-2</v>
      </c>
      <c r="AJ74" s="476">
        <f t="shared" si="62"/>
        <v>-4.0000000000001146E-3</v>
      </c>
      <c r="AK74" s="476">
        <f t="shared" si="62"/>
        <v>-1.4550264550264425E-2</v>
      </c>
      <c r="AL74" s="476">
        <f t="shared" si="62"/>
        <v>-4.9219195849545816E-2</v>
      </c>
      <c r="AM74" s="475">
        <f t="shared" si="62"/>
        <v>-6.9387214309373224E-3</v>
      </c>
      <c r="AN74" s="476">
        <f t="shared" si="62"/>
        <v>-6.2095730918499292E-2</v>
      </c>
      <c r="AO74" s="476">
        <f t="shared" si="62"/>
        <v>6.29183400267741E-2</v>
      </c>
      <c r="AP74" s="476">
        <f t="shared" si="62"/>
        <v>-1.3422818791946067E-3</v>
      </c>
      <c r="AQ74" s="476">
        <f t="shared" si="62"/>
        <v>0.14862247152998687</v>
      </c>
      <c r="AR74" s="475">
        <f t="shared" si="63"/>
        <v>3.5672496674507226E-2</v>
      </c>
      <c r="AS74" s="476">
        <f t="shared" si="63"/>
        <v>9.9310344827586272E-2</v>
      </c>
      <c r="AT74" s="476">
        <f t="shared" si="63"/>
        <v>2.8967254408060361E-2</v>
      </c>
      <c r="AU74" s="476">
        <f t="shared" si="63"/>
        <v>8.7365591397849496E-2</v>
      </c>
      <c r="AV74" s="476">
        <f t="shared" si="63"/>
        <v>-8.4323040380047565E-2</v>
      </c>
      <c r="AW74" s="475">
        <f t="shared" si="63"/>
        <v>2.8663446054750352E-2</v>
      </c>
      <c r="AX74" s="476">
        <f t="shared" si="63"/>
        <v>6.5244667503136844E-2</v>
      </c>
      <c r="AY74" s="476">
        <f t="shared" si="63"/>
        <v>7.8335373317013346E-2</v>
      </c>
      <c r="AZ74" s="476">
        <f t="shared" si="63"/>
        <v>0.1199011124845486</v>
      </c>
      <c r="BA74" s="476">
        <f t="shared" si="63"/>
        <v>0.21141374837872906</v>
      </c>
      <c r="BB74" s="475">
        <f t="shared" si="64"/>
        <v>0.11772072636192865</v>
      </c>
      <c r="BC74" s="476">
        <f t="shared" si="64"/>
        <v>0.13074204946996448</v>
      </c>
      <c r="BD74" s="476">
        <f t="shared" si="64"/>
        <v>9.7616345062429E-2</v>
      </c>
      <c r="BE74" s="476">
        <f t="shared" si="64"/>
        <v>4.1942604856512133E-2</v>
      </c>
      <c r="BF74" s="476">
        <f t="shared" si="64"/>
        <v>-4.9250535331905709E-2</v>
      </c>
      <c r="BG74" s="475">
        <f t="shared" si="64"/>
        <v>5.2941176470588269E-2</v>
      </c>
      <c r="BH74" s="476">
        <f t="shared" si="64"/>
        <v>-4.1666666666667629E-3</v>
      </c>
      <c r="BI74" s="476">
        <f t="shared" si="64"/>
        <v>-4.7569803516028908E-2</v>
      </c>
      <c r="BJ74" s="476">
        <f t="shared" si="64"/>
        <v>-6.2499999999999889E-2</v>
      </c>
      <c r="BK74" s="476">
        <f t="shared" si="64"/>
        <v>0.12162162162162149</v>
      </c>
      <c r="BL74" s="475">
        <f t="shared" si="65"/>
        <v>-2.6602819898913221E-4</v>
      </c>
      <c r="BM74" s="476">
        <f t="shared" si="65"/>
        <v>-7.008368200836812E-2</v>
      </c>
      <c r="BN74" s="476">
        <f t="shared" si="65"/>
        <v>-4.4516829533116087E-2</v>
      </c>
      <c r="BO74" s="476">
        <f t="shared" si="65"/>
        <v>-0.12655367231638404</v>
      </c>
      <c r="BP74" s="476">
        <f t="shared" si="65"/>
        <v>-0.1656626506024097</v>
      </c>
      <c r="BQ74" s="475">
        <f t="shared" si="65"/>
        <v>-0.10244811069717918</v>
      </c>
      <c r="BR74" s="476">
        <f t="shared" si="65"/>
        <v>-0.10798650168728918</v>
      </c>
      <c r="BS74" s="476">
        <f t="shared" si="65"/>
        <v>-7.0454545454545436E-2</v>
      </c>
      <c r="BT74" s="476">
        <f t="shared" si="65"/>
        <v>5.433376455368677E-2</v>
      </c>
      <c r="BU74" s="476">
        <f t="shared" si="65"/>
        <v>-4.8134777376654503E-2</v>
      </c>
      <c r="BV74" s="475">
        <f t="shared" si="66"/>
        <v>-4.6249629410020865E-2</v>
      </c>
      <c r="BW74" s="476">
        <f t="shared" si="66"/>
        <v>-3.2786885245901565E-2</v>
      </c>
      <c r="BX74" s="476">
        <f t="shared" si="66"/>
        <v>7.3349633251833746E-2</v>
      </c>
      <c r="BY74" s="476">
        <f t="shared" si="66"/>
        <v>1.4723926380368013E-2</v>
      </c>
      <c r="BZ74" s="476">
        <f t="shared" si="66"/>
        <v>0.21871049304677603</v>
      </c>
      <c r="CA74" s="475">
        <f t="shared" si="66"/>
        <v>6.8075847062480488E-2</v>
      </c>
      <c r="CB74" s="476">
        <f t="shared" si="66"/>
        <v>0.17470664928292035</v>
      </c>
      <c r="CC74" s="476">
        <f t="shared" si="66"/>
        <v>4.4419134396355364E-2</v>
      </c>
      <c r="CD74" s="476">
        <f t="shared" si="66"/>
        <v>9.3107617896009742E-2</v>
      </c>
      <c r="CE74" s="476">
        <f t="shared" si="66"/>
        <v>1.3485477178423411E-2</v>
      </c>
      <c r="CF74" s="475">
        <f t="shared" si="67"/>
        <v>7.6542491268917434E-2</v>
      </c>
      <c r="CG74" s="476"/>
      <c r="CH74" s="476"/>
      <c r="CI74" s="476"/>
      <c r="CJ74" s="476"/>
      <c r="CK74" s="475">
        <f>IF(ISERROR(CK67/CF67-1),"",(CK67/CF67-1))</f>
        <v>0.20221681535550173</v>
      </c>
      <c r="CL74" s="476"/>
      <c r="CM74" s="476"/>
      <c r="CN74" s="476"/>
      <c r="CO74" s="476"/>
      <c r="CP74" s="475">
        <f>IF(ISERROR(CP67/CK67-1),"",(CP67/CK67-1))</f>
        <v>-0.34857324038677762</v>
      </c>
      <c r="CQ74" s="475">
        <f t="shared" si="68"/>
        <v>9.3959758566310336E-2</v>
      </c>
      <c r="CR74" s="475">
        <f t="shared" si="68"/>
        <v>9.1419203910259261E-2</v>
      </c>
      <c r="CS74" s="475">
        <f t="shared" si="68"/>
        <v>0.10588057512535731</v>
      </c>
    </row>
    <row r="75" spans="2:98" hidden="1" outlineLevel="1">
      <c r="B75" s="433" t="s">
        <v>105</v>
      </c>
      <c r="C75" s="486"/>
      <c r="D75" s="475">
        <f t="shared" si="59"/>
        <v>0.2831325301204819</v>
      </c>
      <c r="E75" s="475">
        <f t="shared" si="59"/>
        <v>0.95305164319248825</v>
      </c>
      <c r="F75" s="475">
        <f t="shared" si="59"/>
        <v>8.8942307692307487E-2</v>
      </c>
      <c r="G75" s="475">
        <f t="shared" si="59"/>
        <v>-0.57505518763796903</v>
      </c>
      <c r="H75" s="475">
        <f t="shared" si="59"/>
        <v>-0.24285714285714288</v>
      </c>
      <c r="I75" s="475">
        <f t="shared" si="59"/>
        <v>-9.4339622641509413E-2</v>
      </c>
      <c r="J75" s="476"/>
      <c r="K75" s="476"/>
      <c r="L75" s="476"/>
      <c r="M75" s="476"/>
      <c r="N75" s="475">
        <f t="shared" ref="N75:X76" si="69">IF(ISERROR(N68/I68-1),"",(N68/I68-1))</f>
        <v>0.22102272727272743</v>
      </c>
      <c r="O75" s="476">
        <f t="shared" si="69"/>
        <v>6.3291139240506222E-2</v>
      </c>
      <c r="P75" s="476">
        <f t="shared" si="69"/>
        <v>-6.4516129032258229E-3</v>
      </c>
      <c r="Q75" s="476">
        <f t="shared" si="69"/>
        <v>-0.25301204819277112</v>
      </c>
      <c r="R75" s="476">
        <f t="shared" si="69"/>
        <v>-0.25769462884731431</v>
      </c>
      <c r="S75" s="475">
        <f t="shared" si="69"/>
        <v>-0.11741895455250506</v>
      </c>
      <c r="T75" s="476">
        <f t="shared" si="69"/>
        <v>-0.16071428571428581</v>
      </c>
      <c r="U75" s="476">
        <f t="shared" si="69"/>
        <v>-0.1558441558441559</v>
      </c>
      <c r="V75" s="476">
        <f t="shared" si="69"/>
        <v>2.4193548387096753E-2</v>
      </c>
      <c r="W75" s="476">
        <f t="shared" si="69"/>
        <v>-2.4390243902438824E-2</v>
      </c>
      <c r="X75" s="475">
        <f t="shared" si="69"/>
        <v>-8.9630931458699492E-2</v>
      </c>
      <c r="Y75" s="476"/>
      <c r="Z75" s="476"/>
      <c r="AA75" s="476"/>
      <c r="AB75" s="476"/>
      <c r="AC75" s="475"/>
      <c r="AD75" s="476" t="str">
        <f t="shared" ref="AD75:AM76" si="70">IF(ISERROR(AD68/Y68-1),"",(AD68/Y68-1))</f>
        <v/>
      </c>
      <c r="AE75" s="476" t="str">
        <f t="shared" si="70"/>
        <v/>
      </c>
      <c r="AF75" s="476" t="str">
        <f t="shared" si="70"/>
        <v/>
      </c>
      <c r="AG75" s="476" t="str">
        <f t="shared" si="70"/>
        <v/>
      </c>
      <c r="AH75" s="475" t="str">
        <f t="shared" si="70"/>
        <v/>
      </c>
      <c r="AI75" s="476" t="str">
        <f t="shared" si="70"/>
        <v/>
      </c>
      <c r="AJ75" s="476" t="str">
        <f t="shared" si="70"/>
        <v/>
      </c>
      <c r="AK75" s="476" t="str">
        <f t="shared" si="70"/>
        <v/>
      </c>
      <c r="AL75" s="476" t="str">
        <f t="shared" si="70"/>
        <v/>
      </c>
      <c r="AM75" s="475" t="str">
        <f t="shared" si="70"/>
        <v/>
      </c>
      <c r="AN75" s="476" t="str">
        <f t="shared" ref="AN75:AW76" si="71">IF(ISERROR(AN68/AI68-1),"",(AN68/AI68-1))</f>
        <v/>
      </c>
      <c r="AO75" s="476" t="str">
        <f t="shared" si="71"/>
        <v/>
      </c>
      <c r="AP75" s="476" t="str">
        <f t="shared" si="71"/>
        <v/>
      </c>
      <c r="AQ75" s="476" t="str">
        <f t="shared" si="71"/>
        <v/>
      </c>
      <c r="AR75" s="475" t="str">
        <f t="shared" si="71"/>
        <v/>
      </c>
      <c r="AS75" s="476" t="str">
        <f t="shared" si="71"/>
        <v/>
      </c>
      <c r="AT75" s="476" t="str">
        <f t="shared" si="71"/>
        <v/>
      </c>
      <c r="AU75" s="476" t="str">
        <f t="shared" si="71"/>
        <v/>
      </c>
      <c r="AV75" s="476" t="str">
        <f t="shared" si="71"/>
        <v/>
      </c>
      <c r="AW75" s="475" t="str">
        <f t="shared" si="71"/>
        <v/>
      </c>
      <c r="AX75" s="476"/>
      <c r="AY75" s="476"/>
      <c r="AZ75" s="476"/>
      <c r="BA75" s="476"/>
      <c r="BB75" s="475" t="str">
        <f>IF(ISERROR(BB68/AW68-1),"",(BB68/AW68-1))</f>
        <v/>
      </c>
      <c r="BC75" s="476"/>
      <c r="BD75" s="476"/>
      <c r="BE75" s="476"/>
      <c r="BF75" s="476"/>
      <c r="BG75" s="475" t="str">
        <f>IF(ISERROR(BG68/BB68-1),"",(BG68/BB68-1))</f>
        <v/>
      </c>
      <c r="BH75" s="476"/>
      <c r="BI75" s="476"/>
      <c r="BJ75" s="476"/>
      <c r="BK75" s="476"/>
      <c r="BL75" s="475" t="str">
        <f>IF(ISERROR(BL68/BG68-1),"",(BL68/BG68-1))</f>
        <v/>
      </c>
      <c r="BM75" s="476"/>
      <c r="BN75" s="476"/>
      <c r="BO75" s="476"/>
      <c r="BP75" s="476"/>
      <c r="BQ75" s="475" t="str">
        <f>IF(ISERROR(BQ68/BL68-1),"",(BQ68/BL68-1))</f>
        <v/>
      </c>
      <c r="BR75" s="476"/>
      <c r="BS75" s="476"/>
      <c r="BT75" s="476"/>
      <c r="BU75" s="476"/>
      <c r="BV75" s="475" t="str">
        <f>IF(ISERROR(BV68/BQ68-1),"",(BV68/BQ68-1))</f>
        <v/>
      </c>
      <c r="BW75" s="476"/>
      <c r="BX75" s="476"/>
      <c r="BY75" s="476"/>
      <c r="BZ75" s="476"/>
      <c r="CA75" s="475" t="str">
        <f>IF(ISERROR(CA68/BV68-1),"",(CA68/BV68-1))</f>
        <v/>
      </c>
      <c r="CB75" s="476"/>
      <c r="CC75" s="476"/>
      <c r="CD75" s="476"/>
      <c r="CE75" s="476"/>
      <c r="CF75" s="475" t="str">
        <f>IF(ISERROR(CF68/CA68-1),"",(CF68/CA68-1))</f>
        <v/>
      </c>
      <c r="CG75" s="476"/>
      <c r="CH75" s="476"/>
      <c r="CI75" s="476"/>
      <c r="CJ75" s="476"/>
      <c r="CK75" s="475" t="str">
        <f>IF(ISERROR(CK68/CF68-1),"",(CK68/CF68-1))</f>
        <v/>
      </c>
      <c r="CL75" s="476"/>
      <c r="CM75" s="476"/>
      <c r="CN75" s="476"/>
      <c r="CO75" s="476"/>
      <c r="CP75" s="475" t="str">
        <f>IF(ISERROR(CP68/CK68-1),"",(CP68/CK68-1))</f>
        <v/>
      </c>
      <c r="CQ75" s="475" t="str">
        <f t="shared" si="68"/>
        <v/>
      </c>
      <c r="CR75" s="475" t="str">
        <f t="shared" si="68"/>
        <v/>
      </c>
      <c r="CS75" s="475" t="str">
        <f t="shared" si="68"/>
        <v/>
      </c>
    </row>
    <row r="76" spans="2:98" hidden="1" outlineLevel="1">
      <c r="B76" s="467" t="s">
        <v>93</v>
      </c>
      <c r="C76" s="490"/>
      <c r="D76" s="491">
        <f t="shared" si="59"/>
        <v>0.16234390009606159</v>
      </c>
      <c r="E76" s="491">
        <f t="shared" si="59"/>
        <v>5.7392102846648418E-2</v>
      </c>
      <c r="F76" s="491">
        <f t="shared" si="59"/>
        <v>-8.3195831524099151E-2</v>
      </c>
      <c r="G76" s="491">
        <f t="shared" si="59"/>
        <v>-4.3857156389125906E-2</v>
      </c>
      <c r="H76" s="491">
        <f t="shared" si="59"/>
        <v>-0.15712304339211403</v>
      </c>
      <c r="I76" s="491">
        <f t="shared" si="59"/>
        <v>5.4184297132110926E-2</v>
      </c>
      <c r="J76" s="492"/>
      <c r="K76" s="492"/>
      <c r="L76" s="492"/>
      <c r="M76" s="492"/>
      <c r="N76" s="491">
        <f t="shared" si="69"/>
        <v>0.19801538633069482</v>
      </c>
      <c r="O76" s="492">
        <f t="shared" si="69"/>
        <v>0.10578386605783874</v>
      </c>
      <c r="P76" s="492">
        <f t="shared" si="69"/>
        <v>0.14364437913299044</v>
      </c>
      <c r="Q76" s="492">
        <f t="shared" si="69"/>
        <v>5.1311288483466111E-2</v>
      </c>
      <c r="R76" s="492">
        <f t="shared" si="69"/>
        <v>2.3516642547033451E-2</v>
      </c>
      <c r="S76" s="491">
        <f t="shared" si="69"/>
        <v>8.0874825500232728E-2</v>
      </c>
      <c r="T76" s="492">
        <f t="shared" si="69"/>
        <v>5.6434962147281498E-2</v>
      </c>
      <c r="U76" s="492">
        <f t="shared" si="69"/>
        <v>1.5097976228718224E-2</v>
      </c>
      <c r="V76" s="492">
        <f t="shared" si="69"/>
        <v>4.5191612436731754E-2</v>
      </c>
      <c r="W76" s="492">
        <f t="shared" si="69"/>
        <v>-6.7161541180625894E-3</v>
      </c>
      <c r="X76" s="491">
        <f t="shared" si="69"/>
        <v>2.7294644394695977E-2</v>
      </c>
      <c r="Y76" s="492">
        <f>IF(ISERROR(Y69/T69-1),"",(Y69/T69-1))</f>
        <v>-7.947882736156342E-2</v>
      </c>
      <c r="Z76" s="492">
        <f>IF(ISERROR(Z69/U69-1),"",(Z69/U69-1))</f>
        <v>-8.29113924050634E-2</v>
      </c>
      <c r="AA76" s="492">
        <f>IF(ISERROR(AA69/V69-1),"",(AA69/V69-1))</f>
        <v>-2.7672085783465916E-2</v>
      </c>
      <c r="AB76" s="492">
        <f>IF(ISERROR(AB69/W69-1),"",(AB69/W69-1))</f>
        <v>0.13024911032028452</v>
      </c>
      <c r="AC76" s="491">
        <f>IF(ISERROR(AC69/X69-1),"",(AC69/X69-1))</f>
        <v>-1.843935965132848E-2</v>
      </c>
      <c r="AD76" s="492">
        <f t="shared" si="70"/>
        <v>0.21903750884642603</v>
      </c>
      <c r="AE76" s="492">
        <f t="shared" si="70"/>
        <v>0.24051069703243644</v>
      </c>
      <c r="AF76" s="492">
        <f t="shared" si="70"/>
        <v>0.1789398790466028</v>
      </c>
      <c r="AG76" s="492">
        <f t="shared" si="70"/>
        <v>-8.8476070528967332E-2</v>
      </c>
      <c r="AH76" s="491">
        <f t="shared" si="70"/>
        <v>0.13132951925540115</v>
      </c>
      <c r="AI76" s="492">
        <f t="shared" si="70"/>
        <v>-0.10798258345428158</v>
      </c>
      <c r="AJ76" s="492">
        <f t="shared" si="70"/>
        <v>-0.22865090403337962</v>
      </c>
      <c r="AK76" s="492">
        <f t="shared" si="70"/>
        <v>-0.22420036210018091</v>
      </c>
      <c r="AL76" s="492">
        <f t="shared" si="70"/>
        <v>-7.9101899827288324E-2</v>
      </c>
      <c r="AM76" s="491">
        <f t="shared" si="70"/>
        <v>-0.16348403653105903</v>
      </c>
      <c r="AN76" s="492">
        <f t="shared" si="71"/>
        <v>-0.14415880247315327</v>
      </c>
      <c r="AO76" s="492">
        <f t="shared" si="71"/>
        <v>0.10025243418680141</v>
      </c>
      <c r="AP76" s="492">
        <f t="shared" si="71"/>
        <v>0.145468689225982</v>
      </c>
      <c r="AQ76" s="492">
        <f t="shared" si="71"/>
        <v>0.16654163540885203</v>
      </c>
      <c r="AR76" s="491">
        <f t="shared" si="71"/>
        <v>5.8919065235044643E-2</v>
      </c>
      <c r="AS76" s="492">
        <f t="shared" si="71"/>
        <v>0.26083650190114072</v>
      </c>
      <c r="AT76" s="492">
        <f t="shared" si="71"/>
        <v>0.15929203539822989</v>
      </c>
      <c r="AU76" s="492">
        <f t="shared" si="71"/>
        <v>0.19456706281833602</v>
      </c>
      <c r="AV76" s="492">
        <f t="shared" si="71"/>
        <v>0.14244372990353682</v>
      </c>
      <c r="AW76" s="491">
        <f t="shared" si="71"/>
        <v>0.18643490115882777</v>
      </c>
      <c r="AX76" s="492">
        <f>IF(ISERROR(AX69/AS69-1),"",(AX69/AS69-1))</f>
        <v>0.20657418576598308</v>
      </c>
      <c r="AY76" s="492">
        <f>IF(ISERROR(AY69/AT69-1),"",(AY69/AT69-1))</f>
        <v>0.12864009047215164</v>
      </c>
      <c r="AZ76" s="492">
        <f>IF(ISERROR(AZ69/AU69-1),"",(AZ69/AU69-1))</f>
        <v>0.11313246162592394</v>
      </c>
      <c r="BA76" s="492">
        <f>IF(ISERROR(BA69/AV69-1),"",(BA69/AV69-1))</f>
        <v>9.0064734027582416E-2</v>
      </c>
      <c r="BB76" s="491">
        <f>IF(ISERROR(BB69/AW69-1),"",(BB69/AW69-1))</f>
        <v>0.13343866704969831</v>
      </c>
      <c r="BC76" s="492">
        <f>IF(ISERROR(BC69/AX69-1),"",(BC69/AX69-1))</f>
        <v>4.0989752561859438E-2</v>
      </c>
      <c r="BD76" s="492">
        <f>IF(ISERROR(BD69/AY69-1),"",(BD69/AY69-1))</f>
        <v>5.861723446893774E-2</v>
      </c>
      <c r="BE76" s="492">
        <f>IF(ISERROR(BE69/AZ69-1),"",(BE69/AZ69-1))</f>
        <v>5.286006128702736E-2</v>
      </c>
      <c r="BF76" s="492">
        <f>IF(ISERROR(BF69/BA69-1),"",(BF69/BA69-1))</f>
        <v>0.1019881229021431</v>
      </c>
      <c r="BG76" s="491">
        <f>IF(ISERROR(BG69/BB69-1),"",(BG69/BB69-1))</f>
        <v>6.3363325307312035E-2</v>
      </c>
      <c r="BH76" s="492">
        <f>IF(ISERROR(BH69/BC69-1),"",(BH69/BC69-1))</f>
        <v>0.10852340936374572</v>
      </c>
      <c r="BI76" s="492">
        <f>IF(ISERROR(BI69/BD69-1),"",(BI69/BD69-1))</f>
        <v>0.11239943208708003</v>
      </c>
      <c r="BJ76" s="492">
        <f>IF(ISERROR(BJ69/BE69-1),"",(BJ69/BE69-1))</f>
        <v>9.6046568032985835E-2</v>
      </c>
      <c r="BK76" s="492">
        <f>IF(ISERROR(BK69/BF69-1),"",(BK69/BF69-1))</f>
        <v>0.10543580131208974</v>
      </c>
      <c r="BL76" s="491">
        <f>IF(ISERROR(BL69/BG69-1),"",(BL69/BG69-1))</f>
        <v>0.10564890954594208</v>
      </c>
      <c r="BM76" s="492">
        <f>IF(ISERROR(BM69/BH69-1),"",(BM69/BH69-1))</f>
        <v>2.1875676846437209E-2</v>
      </c>
      <c r="BN76" s="492">
        <f>IF(ISERROR(BN69/BI69-1),"",(BN69/BI69-1))</f>
        <v>1.1912359072537626E-2</v>
      </c>
      <c r="BO76" s="492">
        <f>IF(ISERROR(BO69/BJ69-1),"",(BO69/BJ69-1))</f>
        <v>-6.859924762115388E-3</v>
      </c>
      <c r="BP76" s="492">
        <f>IF(ISERROR(BP69/BK69-1),"",(BP69/BK69-1))</f>
        <v>-1.4624841034336589E-2</v>
      </c>
      <c r="BQ76" s="491">
        <f>IF(ISERROR(BQ69/BL69-1),"",(BQ69/BL69-1))</f>
        <v>3.071948261923918E-3</v>
      </c>
      <c r="BR76" s="492">
        <f>IF(ISERROR(BR69/BM69-1),"",(BR69/BM69-1))</f>
        <v>5.4896142433234152E-2</v>
      </c>
      <c r="BS76" s="492">
        <f>IF(ISERROR(BS69/BN69-1),"",(BS69/BN69-1))</f>
        <v>9.8591549295774739E-2</v>
      </c>
      <c r="BT76" s="492">
        <f>IF(ISERROR(BT69/BO69-1),"",(BT69/BO69-1))</f>
        <v>0.11519607843137258</v>
      </c>
      <c r="BU76" s="492">
        <f>IF(ISERROR(BU69/BP69-1),"",(BU69/BP69-1))</f>
        <v>4.0008604000860482E-2</v>
      </c>
      <c r="BV76" s="491">
        <f>IF(ISERROR(BV69/BQ69-1),"",(BV69/BQ69-1))</f>
        <v>7.6885880077369517E-2</v>
      </c>
      <c r="BW76" s="492">
        <f>IF(ISERROR(BW69/BR69-1),"",(BW69/BR69-1))</f>
        <v>-3.7974683544303889E-2</v>
      </c>
      <c r="BX76" s="492">
        <f>IF(ISERROR(BX69/BS69-1),"",(BX69/BS69-1))</f>
        <v>-5.9892843474933066E-2</v>
      </c>
      <c r="BY76" s="492">
        <f>IF(ISERROR(BY69/BT69-1),"",(BY69/BT69-1))</f>
        <v>-1.7982017982017928E-2</v>
      </c>
      <c r="BZ76" s="492">
        <f>IF(ISERROR(BZ69/BU69-1),"",(BZ69/BU69-1))</f>
        <v>5.8324715615305056E-2</v>
      </c>
      <c r="CA76" s="491">
        <f>IF(ISERROR(CA69/BV69-1),"",(CA69/BV69-1))</f>
        <v>-1.5466746495035766E-2</v>
      </c>
      <c r="CB76" s="492">
        <f>IF(ISERROR(CB69/BW69-1),"",(CB69/BW69-1))</f>
        <v>0.12802840434419394</v>
      </c>
      <c r="CC76" s="492">
        <f>IF(ISERROR(CC69/BX69-1),"",(CC69/BX69-1))</f>
        <v>0.1143903928353347</v>
      </c>
      <c r="CD76" s="492">
        <f>IF(ISERROR(CD69/BY69-1),"",(CD69/BY69-1))</f>
        <v>9.9694811800610461E-2</v>
      </c>
      <c r="CE76" s="492">
        <f>IF(ISERROR(CE69/BZ69-1),"",(CE69/BZ69-1))</f>
        <v>9.6345514950166189E-2</v>
      </c>
      <c r="CF76" s="491">
        <f>IF(ISERROR(CF69/CA69-1),"",(CF69/CA69-1))</f>
        <v>0.10935995540465249</v>
      </c>
      <c r="CG76" s="492"/>
      <c r="CH76" s="492"/>
      <c r="CI76" s="492"/>
      <c r="CJ76" s="492"/>
      <c r="CK76" s="491">
        <f>IF(ISERROR(CK69/CF69-1),"",(CK69/CF69-1))</f>
        <v>7.6104335114887345E-2</v>
      </c>
      <c r="CL76" s="492"/>
      <c r="CM76" s="492"/>
      <c r="CN76" s="492"/>
      <c r="CO76" s="492"/>
      <c r="CP76" s="491">
        <f>IF(ISERROR(CP69/CK69-1),"",(CP69/CK69-1))</f>
        <v>-0.31681198794413545</v>
      </c>
      <c r="CQ76" s="491">
        <f t="shared" si="68"/>
        <v>9.3959758566310114E-2</v>
      </c>
      <c r="CR76" s="491">
        <f t="shared" si="68"/>
        <v>9.1419203910259039E-2</v>
      </c>
      <c r="CS76" s="491">
        <f t="shared" si="68"/>
        <v>0.10588057512535731</v>
      </c>
    </row>
    <row r="77" spans="2:98" hidden="1" outlineLevel="1">
      <c r="C77" s="486"/>
      <c r="D77" s="486"/>
      <c r="E77" s="486"/>
      <c r="F77" s="486"/>
      <c r="G77" s="486"/>
      <c r="H77" s="486"/>
      <c r="I77" s="486"/>
      <c r="J77" s="487"/>
      <c r="K77" s="487"/>
      <c r="L77" s="487"/>
      <c r="M77" s="487"/>
      <c r="N77" s="486"/>
      <c r="O77" s="487"/>
      <c r="P77" s="487"/>
      <c r="Q77" s="487"/>
      <c r="R77" s="487"/>
      <c r="S77" s="486"/>
      <c r="T77" s="487"/>
      <c r="U77" s="487"/>
      <c r="V77" s="487"/>
      <c r="W77" s="487"/>
      <c r="X77" s="486"/>
      <c r="Y77" s="487"/>
      <c r="Z77" s="487"/>
      <c r="AA77" s="487"/>
      <c r="AB77" s="487"/>
      <c r="AC77" s="486"/>
      <c r="AD77" s="487"/>
      <c r="AE77" s="487"/>
      <c r="AF77" s="487"/>
      <c r="AG77" s="487"/>
      <c r="AH77" s="486"/>
      <c r="AI77" s="487"/>
      <c r="AJ77" s="487"/>
      <c r="AK77" s="487"/>
      <c r="AL77" s="487"/>
      <c r="AM77" s="486"/>
      <c r="AN77" s="487"/>
      <c r="AO77" s="487"/>
      <c r="AP77" s="487"/>
      <c r="AQ77" s="487"/>
      <c r="AR77" s="486"/>
      <c r="AS77" s="487"/>
      <c r="AT77" s="487"/>
      <c r="AU77" s="487"/>
      <c r="AV77" s="487"/>
      <c r="AW77" s="486"/>
      <c r="AX77" s="487"/>
      <c r="AY77" s="487"/>
      <c r="AZ77" s="487"/>
      <c r="BA77" s="487"/>
      <c r="BB77" s="486"/>
      <c r="BC77" s="487"/>
      <c r="BD77" s="487"/>
      <c r="BE77" s="487"/>
      <c r="BF77" s="487"/>
      <c r="BG77" s="486"/>
      <c r="BH77" s="487"/>
      <c r="BI77" s="487"/>
      <c r="BJ77" s="487"/>
      <c r="BK77" s="487"/>
      <c r="BL77" s="486"/>
      <c r="BM77" s="487"/>
      <c r="BN77" s="487"/>
      <c r="BO77" s="487"/>
      <c r="BP77" s="487"/>
      <c r="BQ77" s="486"/>
      <c r="BR77" s="487"/>
      <c r="BS77" s="487"/>
      <c r="BT77" s="487"/>
      <c r="BU77" s="487"/>
      <c r="BV77" s="486"/>
      <c r="BW77" s="487"/>
      <c r="BX77" s="487"/>
      <c r="BY77" s="487"/>
      <c r="BZ77" s="487"/>
      <c r="CA77" s="486"/>
      <c r="CB77" s="487"/>
      <c r="CC77" s="487"/>
      <c r="CD77" s="487"/>
      <c r="CE77" s="487"/>
      <c r="CF77" s="486"/>
      <c r="CG77" s="487"/>
      <c r="CH77" s="487"/>
      <c r="CI77" s="487"/>
      <c r="CJ77" s="487"/>
      <c r="CK77" s="486"/>
      <c r="CL77" s="487"/>
      <c r="CM77" s="487"/>
      <c r="CN77" s="487"/>
      <c r="CO77" s="487"/>
      <c r="CP77" s="486"/>
      <c r="CQ77" s="486"/>
      <c r="CR77" s="486"/>
      <c r="CS77" s="486"/>
    </row>
    <row r="78" spans="2:98" collapsed="1">
      <c r="B78" s="445" t="s">
        <v>121</v>
      </c>
      <c r="C78" s="444"/>
      <c r="D78" s="444"/>
      <c r="E78" s="444"/>
      <c r="F78" s="444"/>
      <c r="G78" s="444"/>
      <c r="H78" s="444"/>
      <c r="I78" s="444"/>
      <c r="N78" s="444"/>
      <c r="S78" s="444"/>
      <c r="X78" s="444"/>
      <c r="AC78" s="444"/>
      <c r="AH78" s="444"/>
      <c r="AL78" s="471"/>
      <c r="AM78" s="472"/>
      <c r="AN78" s="471"/>
      <c r="AO78" s="471"/>
      <c r="AQ78" s="471"/>
      <c r="AR78" s="472"/>
      <c r="AS78" s="471"/>
      <c r="AT78" s="471"/>
      <c r="AU78" s="471"/>
      <c r="AV78" s="471"/>
      <c r="AW78" s="472"/>
      <c r="AX78" s="471"/>
      <c r="AY78" s="471"/>
      <c r="AZ78" s="471"/>
      <c r="BA78" s="471"/>
      <c r="BB78" s="472"/>
      <c r="BC78" s="471"/>
      <c r="BD78" s="471"/>
      <c r="BE78" s="471"/>
      <c r="BF78" s="471"/>
      <c r="BG78" s="472"/>
      <c r="BH78" s="471"/>
      <c r="BI78" s="471"/>
      <c r="BJ78" s="471"/>
      <c r="BK78" s="471"/>
      <c r="BL78" s="472"/>
      <c r="BM78" s="471"/>
      <c r="BN78" s="471"/>
      <c r="BO78" s="471"/>
      <c r="BP78" s="471"/>
      <c r="BQ78" s="472"/>
      <c r="BR78" s="471"/>
      <c r="BS78" s="471"/>
      <c r="BT78" s="471"/>
      <c r="BU78" s="471"/>
      <c r="BV78" s="472"/>
      <c r="BW78" s="471"/>
      <c r="BX78" s="471"/>
      <c r="BY78" s="471"/>
      <c r="BZ78" s="471"/>
      <c r="CA78" s="472"/>
      <c r="CB78" s="471"/>
      <c r="CC78" s="471"/>
      <c r="CD78" s="471"/>
      <c r="CE78" s="471"/>
      <c r="CF78" s="472"/>
      <c r="CG78" s="471"/>
      <c r="CH78" s="471"/>
      <c r="CI78" s="471"/>
      <c r="CJ78" s="471"/>
      <c r="CK78" s="472"/>
      <c r="CL78" s="471"/>
      <c r="CM78" s="471"/>
      <c r="CN78" s="471"/>
      <c r="CO78" s="471"/>
      <c r="CP78" s="472"/>
      <c r="CQ78" s="472"/>
      <c r="CR78" s="472"/>
      <c r="CS78" s="472"/>
    </row>
    <row r="79" spans="2:98">
      <c r="B79" s="433" t="s">
        <v>90</v>
      </c>
      <c r="C79" s="444"/>
      <c r="D79" s="444"/>
      <c r="E79" s="444"/>
      <c r="F79" s="444"/>
      <c r="G79" s="444"/>
      <c r="H79" s="444"/>
      <c r="I79" s="444"/>
      <c r="N79" s="444"/>
      <c r="S79" s="444"/>
      <c r="T79" s="433">
        <f>'Data (2)'!T142</f>
        <v>45.5</v>
      </c>
      <c r="U79" s="433">
        <f>'Data (2)'!U142</f>
        <v>33.9</v>
      </c>
      <c r="V79" s="433">
        <f>'Data (2)'!V142</f>
        <v>29.6</v>
      </c>
      <c r="W79" s="433">
        <f>'Data (2)'!W142</f>
        <v>33.800000000000011</v>
      </c>
      <c r="X79" s="444">
        <f>SUM(T79:W79)</f>
        <v>142.80000000000001</v>
      </c>
      <c r="Y79" s="433">
        <f>'Data (2)'!Y142</f>
        <v>36.9</v>
      </c>
      <c r="Z79" s="433">
        <f>'Data (2)'!Z142</f>
        <v>38.200000000000003</v>
      </c>
      <c r="AA79" s="433">
        <f>'Data (2)'!AA142</f>
        <v>33.9</v>
      </c>
      <c r="AB79" s="433">
        <f>'Data (2)'!AB142</f>
        <v>33.800000000000011</v>
      </c>
      <c r="AC79" s="444">
        <f>SUM(Y79:AB79)</f>
        <v>142.80000000000001</v>
      </c>
      <c r="AD79" s="433">
        <f>'Data (2)'!AD142</f>
        <v>44.4</v>
      </c>
      <c r="AE79" s="433">
        <f>'Data (2)'!AE142</f>
        <v>39.700000000000003</v>
      </c>
      <c r="AF79" s="433">
        <f>'Data (2)'!AF142</f>
        <v>39.1</v>
      </c>
      <c r="AG79" s="433">
        <f>'Data (2)'!AG142</f>
        <v>35.600000000000023</v>
      </c>
      <c r="AH79" s="444">
        <f>SUM(AD79:AG79)</f>
        <v>158.80000000000001</v>
      </c>
      <c r="AI79" s="433">
        <f>'Data (2)'!AI142</f>
        <v>45</v>
      </c>
      <c r="AJ79" s="433">
        <f>'Data (2)'!AJ142</f>
        <v>30.3</v>
      </c>
      <c r="AK79" s="433">
        <f>'Data (2)'!AK142</f>
        <v>20.8</v>
      </c>
      <c r="AL79" s="433">
        <f>'Data (2)'!AL142</f>
        <v>15.3</v>
      </c>
      <c r="AM79" s="444">
        <f>SUM(AI79:AL79)</f>
        <v>111.39999999999999</v>
      </c>
      <c r="AN79" s="433">
        <f>'Data (2)'!AN142</f>
        <v>30.6</v>
      </c>
      <c r="AO79" s="433">
        <f>'Data (2)'!AO142</f>
        <v>42.8</v>
      </c>
      <c r="AP79" s="433">
        <f>'Data (2)'!AP142</f>
        <v>34.299999999999997</v>
      </c>
      <c r="AQ79" s="433">
        <f>'Data (2)'!AQ142</f>
        <v>31.899999999999991</v>
      </c>
      <c r="AR79" s="444">
        <f>SUM(AN79:AQ79)</f>
        <v>139.6</v>
      </c>
      <c r="AS79" s="433">
        <f>'Data (2)'!AS142</f>
        <v>49.8</v>
      </c>
      <c r="AT79" s="454">
        <f>'Data (2)'!AT142</f>
        <v>48.5</v>
      </c>
      <c r="AU79" s="454">
        <f>'Data (2)'!AU142</f>
        <v>45.1</v>
      </c>
      <c r="AV79" s="454">
        <f>'Data (2)'!AV142</f>
        <v>51.1</v>
      </c>
      <c r="AW79" s="444">
        <f>SUM(AS79:AV79)</f>
        <v>194.5</v>
      </c>
      <c r="AX79" s="454">
        <f>'Data (2)'!AX142</f>
        <v>65.8</v>
      </c>
      <c r="AY79" s="454">
        <f>'Data (2)'!AY142</f>
        <v>80.900000000000006</v>
      </c>
      <c r="AZ79" s="454">
        <f>'Data (2)'!AZ142</f>
        <v>57</v>
      </c>
      <c r="BA79" s="433">
        <f>'Data (2)'!BA142</f>
        <v>53.6</v>
      </c>
      <c r="BB79" s="444">
        <f>SUM(AX79:BA79)</f>
        <v>257.3</v>
      </c>
      <c r="BC79" s="433">
        <f>'Data (2)'!BC142</f>
        <v>67.900000000000006</v>
      </c>
      <c r="BD79" s="433">
        <f>'Data (2)'!BD142</f>
        <v>71.2</v>
      </c>
      <c r="BE79" s="433">
        <f>'Data (2)'!BE142</f>
        <v>68.7</v>
      </c>
      <c r="BF79" s="433">
        <f>'Data (2)'!BF142</f>
        <v>68.5</v>
      </c>
      <c r="BG79" s="444">
        <f>SUM(BC79:BF79)</f>
        <v>276.3</v>
      </c>
      <c r="BH79" s="433">
        <f>'Data (2)'!BH142</f>
        <v>75.900000000000006</v>
      </c>
      <c r="BI79" s="433">
        <f>'Data (2)'!BI142</f>
        <v>79.8</v>
      </c>
      <c r="BJ79" s="433">
        <f>'Data (2)'!BJ142</f>
        <v>74.400000000000006</v>
      </c>
      <c r="BK79" s="433">
        <f>'Data (2)'!BK142</f>
        <v>78.7</v>
      </c>
      <c r="BL79" s="444">
        <f>SUM(BH79:BK79)</f>
        <v>308.8</v>
      </c>
      <c r="BM79" s="433">
        <f>'Data (2)'!BM142</f>
        <v>89.2</v>
      </c>
      <c r="BN79" s="433">
        <f>'Data (2)'!BN142</f>
        <v>91.2</v>
      </c>
      <c r="BO79" s="433">
        <f>'Data (2)'!BO142</f>
        <v>74.099999999999994</v>
      </c>
      <c r="BP79" s="433">
        <f>'Data (2)'!BP142</f>
        <v>81.7</v>
      </c>
      <c r="BQ79" s="444">
        <f>SUM(BM79:BP79)</f>
        <v>336.2</v>
      </c>
      <c r="BR79" s="433">
        <f>'Data (2)'!BR142</f>
        <v>90.8</v>
      </c>
      <c r="BS79" s="433">
        <f>'Data (2)'!BS142</f>
        <v>101.6</v>
      </c>
      <c r="BT79" s="433">
        <f>'Data (2)'!BT142</f>
        <v>88.8</v>
      </c>
      <c r="BU79" s="433">
        <f>'Data (2)'!BU142</f>
        <v>87.1</v>
      </c>
      <c r="BV79" s="444">
        <f>SUM(BR79:BU79)</f>
        <v>368.29999999999995</v>
      </c>
      <c r="BW79" s="433">
        <f>'Data (2)'!BW142</f>
        <v>81.900000000000006</v>
      </c>
      <c r="BX79" s="433">
        <f>'Data (2)'!BX142</f>
        <v>92.1</v>
      </c>
      <c r="BY79" s="433">
        <f>'Data (2)'!BY142</f>
        <v>90</v>
      </c>
      <c r="BZ79" s="433">
        <f>'Data (2)'!BZ142</f>
        <v>95.4</v>
      </c>
      <c r="CA79" s="444">
        <f>SUM(BW79:BZ79)</f>
        <v>359.4</v>
      </c>
      <c r="CB79" s="433">
        <f>'Data (2)'!CB142</f>
        <v>91</v>
      </c>
      <c r="CC79" s="433">
        <f>'Data (2)'!CC142</f>
        <v>93.1</v>
      </c>
      <c r="CD79" s="433">
        <f>'Data (2)'!CD142</f>
        <v>92.5</v>
      </c>
      <c r="CE79" s="433">
        <f>'Data (2)'!CE142</f>
        <v>97.2</v>
      </c>
      <c r="CF79" s="444">
        <f>SUM(CB79:CE79)</f>
        <v>373.8</v>
      </c>
      <c r="CG79" s="433">
        <f>'Data (2)'!CG142</f>
        <v>112.5</v>
      </c>
      <c r="CH79" s="433">
        <f>'Data (2)'!CH142</f>
        <v>111.8</v>
      </c>
      <c r="CI79" s="433">
        <f>'Data (2)'!CI142</f>
        <v>100.1</v>
      </c>
      <c r="CJ79" s="433">
        <f>'Data (2)'!CJ142</f>
        <v>86.9</v>
      </c>
      <c r="CK79" s="444">
        <f>SUM(CG79:CJ79)</f>
        <v>411.29999999999995</v>
      </c>
      <c r="CL79" s="433">
        <f>'Data (2)'!CL142</f>
        <v>91.5</v>
      </c>
      <c r="CM79" s="433">
        <f>CM13*CM98</f>
        <v>21.335550400000002</v>
      </c>
      <c r="CN79" s="433">
        <f>CN13*CN98</f>
        <v>39.787688200000005</v>
      </c>
      <c r="CO79" s="433">
        <f>CO13*CO98</f>
        <v>53.764749000000002</v>
      </c>
      <c r="CP79" s="444">
        <f>SUM(CL79:CO79)</f>
        <v>206.3879876</v>
      </c>
      <c r="CQ79" s="455">
        <f>CQ13*CQ98</f>
        <v>233.367680173</v>
      </c>
      <c r="CR79" s="455">
        <f>CR13*CR98</f>
        <v>266.38019783662799</v>
      </c>
      <c r="CS79" s="455">
        <f>CS13*CS98</f>
        <v>308.83670631347917</v>
      </c>
      <c r="CT79" s="493"/>
    </row>
    <row r="80" spans="2:98">
      <c r="B80" s="494" t="s">
        <v>91</v>
      </c>
      <c r="C80" s="495"/>
      <c r="D80" s="495"/>
      <c r="E80" s="495"/>
      <c r="F80" s="495"/>
      <c r="G80" s="495"/>
      <c r="H80" s="495"/>
      <c r="I80" s="495"/>
      <c r="J80" s="494"/>
      <c r="K80" s="494"/>
      <c r="L80" s="494"/>
      <c r="M80" s="494"/>
      <c r="N80" s="495"/>
      <c r="O80" s="494"/>
      <c r="P80" s="494"/>
      <c r="Q80" s="494"/>
      <c r="R80" s="494"/>
      <c r="S80" s="495"/>
      <c r="T80" s="494">
        <f>'Data (2)'!T143</f>
        <v>4.0999999999999979</v>
      </c>
      <c r="U80" s="494">
        <f>'Data (2)'!U143</f>
        <v>6.1</v>
      </c>
      <c r="V80" s="494">
        <f>'Data (2)'!V143</f>
        <v>4.7</v>
      </c>
      <c r="W80" s="494">
        <f>'Data (2)'!W143</f>
        <v>6.4</v>
      </c>
      <c r="X80" s="495">
        <f>SUM(T80:W80)</f>
        <v>21.299999999999997</v>
      </c>
      <c r="Y80" s="494">
        <f>'Data (2)'!Y143</f>
        <v>4.9000000000000004</v>
      </c>
      <c r="Z80" s="494">
        <f>'Data (2)'!Z143</f>
        <v>5.0999999999999996</v>
      </c>
      <c r="AA80" s="494">
        <f>'Data (2)'!AA143</f>
        <v>4.9000000000000004</v>
      </c>
      <c r="AB80" s="494">
        <f>'Data (2)'!AB143</f>
        <v>6.4</v>
      </c>
      <c r="AC80" s="495">
        <f>SUM(Y80:AB80)</f>
        <v>21.3</v>
      </c>
      <c r="AD80" s="494">
        <f>'Data (2)'!AD143</f>
        <v>8</v>
      </c>
      <c r="AE80" s="494">
        <f>'Data (2)'!AE143</f>
        <v>8</v>
      </c>
      <c r="AF80" s="494">
        <f>'Data (2)'!AF143</f>
        <v>6.4</v>
      </c>
      <c r="AG80" s="494">
        <f>'Data (2)'!AG143</f>
        <v>4.4000000000000021</v>
      </c>
      <c r="AH80" s="495">
        <f>SUM(AD80:AG80)</f>
        <v>26.8</v>
      </c>
      <c r="AI80" s="494">
        <f>'Data (2)'!AI143</f>
        <v>8.8000000000000007</v>
      </c>
      <c r="AJ80" s="494">
        <f>'Data (2)'!AJ143</f>
        <v>9.9</v>
      </c>
      <c r="AK80" s="494">
        <f>'Data (2)'!AK143</f>
        <v>7.8</v>
      </c>
      <c r="AL80" s="494">
        <f>'Data (2)'!AL143</f>
        <v>9.6</v>
      </c>
      <c r="AM80" s="495">
        <f>SUM(AI80:AL80)</f>
        <v>36.1</v>
      </c>
      <c r="AN80" s="494">
        <f>'Data (2)'!AN143</f>
        <v>11.4</v>
      </c>
      <c r="AO80" s="494">
        <f>'Data (2)'!AO143</f>
        <v>10.7</v>
      </c>
      <c r="AP80" s="494">
        <f>'Data (2)'!AP143</f>
        <v>11.9</v>
      </c>
      <c r="AQ80" s="494">
        <f>'Data (2)'!AQ143</f>
        <v>11.700000000000003</v>
      </c>
      <c r="AR80" s="495">
        <f>SUM(AN80:AQ80)</f>
        <v>45.7</v>
      </c>
      <c r="AS80" s="494">
        <f>'Data (2)'!AS143</f>
        <v>12.5</v>
      </c>
      <c r="AT80" s="496">
        <f>'Data (2)'!AT143</f>
        <v>11.9</v>
      </c>
      <c r="AU80" s="496">
        <f>'Data (2)'!AU143</f>
        <v>16.2</v>
      </c>
      <c r="AV80" s="496">
        <f>'Data (2)'!AV143</f>
        <v>11</v>
      </c>
      <c r="AW80" s="495">
        <f>SUM(AS80:AV80)</f>
        <v>51.599999999999994</v>
      </c>
      <c r="AX80" s="496">
        <f>'Data (2)'!AX143</f>
        <v>11.8</v>
      </c>
      <c r="AY80" s="496">
        <f>'Data (2)'!AY143</f>
        <v>11.7</v>
      </c>
      <c r="AZ80" s="496">
        <f>'Data (2)'!AZ143</f>
        <v>14.9</v>
      </c>
      <c r="BA80" s="494">
        <f>'Data (2)'!BA143</f>
        <v>12.2</v>
      </c>
      <c r="BB80" s="495">
        <f>SUM(AX80:BA80)</f>
        <v>50.599999999999994</v>
      </c>
      <c r="BC80" s="494">
        <f>'Data (2)'!BC143</f>
        <v>13.4</v>
      </c>
      <c r="BD80" s="494">
        <f>'Data (2)'!BD143</f>
        <v>15.1</v>
      </c>
      <c r="BE80" s="494">
        <f>'Data (2)'!BE143</f>
        <v>14.9</v>
      </c>
      <c r="BF80" s="494">
        <f>'Data (2)'!BF143</f>
        <v>15.5</v>
      </c>
      <c r="BG80" s="495">
        <f>SUM(BC80:BF80)</f>
        <v>58.9</v>
      </c>
      <c r="BH80" s="494">
        <f>'Data (2)'!BH143</f>
        <v>16.399999999999999</v>
      </c>
      <c r="BI80" s="494">
        <f>'Data (2)'!BI143</f>
        <v>17.600000000000001</v>
      </c>
      <c r="BJ80" s="494">
        <f>'Data (2)'!BJ143</f>
        <v>16.7</v>
      </c>
      <c r="BK80" s="494">
        <f>'Data (2)'!BK143</f>
        <v>16.3</v>
      </c>
      <c r="BL80" s="495">
        <f>SUM(BH80:BK80)</f>
        <v>67</v>
      </c>
      <c r="BM80" s="494">
        <f>'Data (2)'!BM143</f>
        <v>14.7</v>
      </c>
      <c r="BN80" s="494">
        <f>'Data (2)'!BN143</f>
        <v>14.4</v>
      </c>
      <c r="BO80" s="494">
        <f>'Data (2)'!BO143</f>
        <v>14.2</v>
      </c>
      <c r="BP80" s="494">
        <f>'Data (2)'!BP143</f>
        <v>12.5</v>
      </c>
      <c r="BQ80" s="495">
        <f>SUM(BM80:BP80)</f>
        <v>55.8</v>
      </c>
      <c r="BR80" s="494">
        <f>'Data (2)'!BR143</f>
        <v>12.3</v>
      </c>
      <c r="BS80" s="494">
        <f>'Data (2)'!BS143</f>
        <v>11.7</v>
      </c>
      <c r="BT80" s="494">
        <f>'Data (2)'!BT143</f>
        <v>12.9</v>
      </c>
      <c r="BU80" s="494">
        <f>'Data (2)'!BU143</f>
        <v>13.2</v>
      </c>
      <c r="BV80" s="495">
        <f>SUM(BR80:BU80)</f>
        <v>50.099999999999994</v>
      </c>
      <c r="BW80" s="494">
        <f>'Data (2)'!BW143</f>
        <v>13</v>
      </c>
      <c r="BX80" s="494">
        <f>'Data (2)'!BX143</f>
        <v>12.1</v>
      </c>
      <c r="BY80" s="494">
        <f>'Data (2)'!BY143</f>
        <v>12.1</v>
      </c>
      <c r="BZ80" s="494">
        <f>'Data (2)'!BZ143</f>
        <v>11.5</v>
      </c>
      <c r="CA80" s="495">
        <f>SUM(BW80:BZ80)</f>
        <v>48.7</v>
      </c>
      <c r="CB80" s="494">
        <f>'Data (2)'!CB143</f>
        <v>9.9</v>
      </c>
      <c r="CC80" s="494">
        <f>'Data (2)'!CC143</f>
        <v>15.9</v>
      </c>
      <c r="CD80" s="494">
        <f>'Data (2)'!CD143</f>
        <v>15.5</v>
      </c>
      <c r="CE80" s="494">
        <f>'Data (2)'!CE143</f>
        <v>9.3000000000000007</v>
      </c>
      <c r="CF80" s="495">
        <f>SUM(CB80:CE80)</f>
        <v>50.599999999999994</v>
      </c>
      <c r="CG80" s="494">
        <f>'Data (2)'!CG143</f>
        <v>14.8</v>
      </c>
      <c r="CH80" s="494">
        <f>'Data (2)'!CH143</f>
        <v>16.3</v>
      </c>
      <c r="CI80" s="494">
        <f>'Data (2)'!CI143</f>
        <v>20.3</v>
      </c>
      <c r="CJ80" s="494">
        <f>'Data (2)'!CJ143</f>
        <v>20.6</v>
      </c>
      <c r="CK80" s="495">
        <f>SUM(CG80:CJ80)</f>
        <v>72</v>
      </c>
      <c r="CL80" s="494">
        <f>'Data (2)'!CL143</f>
        <v>6.5</v>
      </c>
      <c r="CM80" s="494">
        <f>CM99*CM19</f>
        <v>2.1748647999999999</v>
      </c>
      <c r="CN80" s="494">
        <f>CN99*CN19</f>
        <v>3.8654315999999991</v>
      </c>
      <c r="CO80" s="494">
        <f>CO99*CO19</f>
        <v>6.3524272000000002</v>
      </c>
      <c r="CP80" s="495">
        <f>SUM(CL80:CO80)</f>
        <v>18.8927236</v>
      </c>
      <c r="CQ80" s="497">
        <f>CQ99*CQ19</f>
        <v>33.600558339999992</v>
      </c>
      <c r="CR80" s="497">
        <f>CR99*CR19</f>
        <v>42.841369358704</v>
      </c>
      <c r="CS80" s="497">
        <f>CS99*CS19</f>
        <v>52.381118595617792</v>
      </c>
    </row>
    <row r="81" spans="2:97" hidden="1">
      <c r="B81" s="433" t="s">
        <v>102</v>
      </c>
      <c r="C81" s="444">
        <f>'Data (2)'!C144</f>
        <v>84.150999999999996</v>
      </c>
      <c r="D81" s="444">
        <f>'Data (2)'!D144</f>
        <v>87.126000000000005</v>
      </c>
      <c r="E81" s="444">
        <f>'Data (2)'!E144</f>
        <v>68</v>
      </c>
      <c r="F81" s="444">
        <f>'Data (2)'!F144</f>
        <v>68.5</v>
      </c>
      <c r="G81" s="444">
        <f>'Data (2)'!G144</f>
        <v>69.8</v>
      </c>
      <c r="H81" s="444">
        <f>'Data (2)'!H144</f>
        <v>65.8</v>
      </c>
      <c r="I81" s="444">
        <f>'Data (2)'!I144</f>
        <v>66.8</v>
      </c>
      <c r="J81" s="433">
        <f>'Data (2)'!J144</f>
        <v>22.6</v>
      </c>
      <c r="K81" s="433">
        <f>'Data (2)'!K144</f>
        <v>27.2</v>
      </c>
      <c r="L81" s="433">
        <f>'Data (2)'!L144</f>
        <v>19.100000000000001</v>
      </c>
      <c r="M81" s="433">
        <f>'Data (2)'!M144</f>
        <v>20.199999999999989</v>
      </c>
      <c r="N81" s="444">
        <f>SUM(J81:M81)</f>
        <v>89.1</v>
      </c>
      <c r="O81" s="433">
        <f>'Data (2)'!O144</f>
        <v>28.1</v>
      </c>
      <c r="P81" s="433">
        <f>'Data (2)'!P144</f>
        <v>31.4</v>
      </c>
      <c r="Q81" s="433">
        <f>'Data (2)'!Q144</f>
        <v>23.6</v>
      </c>
      <c r="R81" s="433">
        <f>'Data (2)'!R144</f>
        <v>20.900000000000006</v>
      </c>
      <c r="S81" s="444">
        <f>SUM(O81:R81)</f>
        <v>104</v>
      </c>
      <c r="T81" s="433">
        <f>'Data (2)'!T144</f>
        <v>29.9</v>
      </c>
      <c r="U81" s="433">
        <f>'Data (2)'!U144</f>
        <v>32.6</v>
      </c>
      <c r="V81" s="433">
        <f>'Data (2)'!V144</f>
        <v>25</v>
      </c>
      <c r="W81" s="433">
        <f>'Data (2)'!W144</f>
        <v>17.599999999999994</v>
      </c>
      <c r="X81" s="444">
        <f>SUM(T81:W81)</f>
        <v>105.1</v>
      </c>
      <c r="AC81" s="444"/>
      <c r="AH81" s="444"/>
      <c r="AM81" s="444"/>
      <c r="AR81" s="444"/>
      <c r="AW81" s="444"/>
      <c r="BB81" s="444"/>
      <c r="BG81" s="444"/>
      <c r="BL81" s="444"/>
      <c r="BQ81" s="444"/>
      <c r="BV81" s="444"/>
      <c r="CA81" s="444"/>
      <c r="CF81" s="444"/>
      <c r="CK81" s="444"/>
      <c r="CP81" s="444"/>
      <c r="CQ81" s="444"/>
      <c r="CR81" s="444"/>
      <c r="CS81" s="444"/>
    </row>
    <row r="82" spans="2:97" hidden="1">
      <c r="B82" s="433" t="s">
        <v>103</v>
      </c>
      <c r="C82" s="444">
        <f>'Data (2)'!C145</f>
        <v>40.399000000000001</v>
      </c>
      <c r="D82" s="444">
        <f>'Data (2)'!D145</f>
        <v>57.433</v>
      </c>
      <c r="E82" s="444">
        <f>'Data (2)'!E145</f>
        <v>33.700000000000003</v>
      </c>
      <c r="F82" s="444">
        <f>'Data (2)'!F145</f>
        <v>46.2</v>
      </c>
      <c r="G82" s="444">
        <f>'Data (2)'!G145</f>
        <v>14.9</v>
      </c>
      <c r="H82" s="444">
        <f>'Data (2)'!H145</f>
        <v>19.600000000000001</v>
      </c>
      <c r="I82" s="444">
        <f>'Data (2)'!I145</f>
        <v>16.2</v>
      </c>
      <c r="J82" s="433">
        <f>'Data (2)'!J145</f>
        <v>7.6</v>
      </c>
      <c r="K82" s="433">
        <f>'Data (2)'!K145</f>
        <v>13</v>
      </c>
      <c r="L82" s="433">
        <f>'Data (2)'!L145</f>
        <v>9.9</v>
      </c>
      <c r="M82" s="433">
        <f>'Data (2)'!M145</f>
        <v>9.2000000000000028</v>
      </c>
      <c r="N82" s="444">
        <f>SUM(J82:M82)</f>
        <v>39.700000000000003</v>
      </c>
      <c r="O82" s="433">
        <f>'Data (2)'!O145</f>
        <v>12.1</v>
      </c>
      <c r="P82" s="433">
        <f>'Data (2)'!P145</f>
        <v>11.6</v>
      </c>
      <c r="Q82" s="433">
        <f>'Data (2)'!Q145</f>
        <v>9.1999999999999993</v>
      </c>
      <c r="R82" s="433">
        <f>'Data (2)'!R145</f>
        <v>10.100000000000001</v>
      </c>
      <c r="S82" s="444">
        <f>SUM(O82:R82)</f>
        <v>43</v>
      </c>
      <c r="T82" s="433">
        <f>'Data (2)'!T145</f>
        <v>7.9</v>
      </c>
      <c r="U82" s="433">
        <f>'Data (2)'!U145</f>
        <v>7</v>
      </c>
      <c r="V82" s="433">
        <f>'Data (2)'!V145</f>
        <v>7.5</v>
      </c>
      <c r="W82" s="433">
        <f>'Data (2)'!W145</f>
        <v>3.6000000000000014</v>
      </c>
      <c r="X82" s="444">
        <f>SUM(T82:W82)</f>
        <v>26</v>
      </c>
      <c r="AC82" s="444"/>
      <c r="AH82" s="444"/>
      <c r="AM82" s="444"/>
      <c r="AR82" s="444"/>
      <c r="AW82" s="444"/>
      <c r="BB82" s="444"/>
      <c r="BG82" s="444"/>
      <c r="BL82" s="444"/>
      <c r="BQ82" s="444"/>
      <c r="BV82" s="444"/>
      <c r="CA82" s="444"/>
      <c r="CF82" s="444"/>
      <c r="CK82" s="444"/>
      <c r="CP82" s="444"/>
      <c r="CQ82" s="444"/>
      <c r="CR82" s="444"/>
      <c r="CS82" s="444"/>
    </row>
    <row r="83" spans="2:97" hidden="1">
      <c r="B83" s="498" t="s">
        <v>104</v>
      </c>
      <c r="C83" s="444">
        <f>'Data (2)'!C146</f>
        <v>14.702</v>
      </c>
      <c r="D83" s="444">
        <f>'Data (2)'!D146</f>
        <v>16.009</v>
      </c>
      <c r="E83" s="444">
        <f>'Data (2)'!E146</f>
        <v>22.4</v>
      </c>
      <c r="F83" s="444">
        <f>'Data (2)'!F146</f>
        <v>6</v>
      </c>
      <c r="G83" s="444">
        <f>'Data (2)'!G146</f>
        <v>2.4</v>
      </c>
      <c r="H83" s="444">
        <f>'Data (2)'!H146</f>
        <v>0.4</v>
      </c>
      <c r="I83" s="444">
        <f>'Data (2)'!I146</f>
        <v>2</v>
      </c>
      <c r="J83" s="498">
        <f>'Data (2)'!J146</f>
        <v>0.5</v>
      </c>
      <c r="K83" s="498">
        <f>'Data (2)'!K146</f>
        <v>0.8</v>
      </c>
      <c r="L83" s="498">
        <f>'Data (2)'!L146</f>
        <v>1</v>
      </c>
      <c r="M83" s="498">
        <f>'Data (2)'!M146</f>
        <v>1.5</v>
      </c>
      <c r="N83" s="444">
        <f>SUM(J83:M83)</f>
        <v>3.8</v>
      </c>
      <c r="O83" s="498">
        <f>'Data (2)'!O146</f>
        <v>1.1000000000000001</v>
      </c>
      <c r="P83" s="498">
        <f>'Data (2)'!P146</f>
        <v>2.2000000000000002</v>
      </c>
      <c r="Q83" s="498">
        <f>'Data (2)'!Q146</f>
        <v>1.6</v>
      </c>
      <c r="R83" s="498">
        <f>'Data (2)'!R146</f>
        <v>3.0999999999999996</v>
      </c>
      <c r="S83" s="444">
        <f>SUM(O83:R83)</f>
        <v>8</v>
      </c>
      <c r="T83" s="498">
        <f>'Data (2)'!T146</f>
        <v>2.6</v>
      </c>
      <c r="U83" s="498">
        <f>'Data (2)'!U146</f>
        <v>3.6</v>
      </c>
      <c r="V83" s="498">
        <f>'Data (2)'!V146</f>
        <v>3.6</v>
      </c>
      <c r="W83" s="498">
        <f>'Data (2)'!W146</f>
        <v>3.5999999999999996</v>
      </c>
      <c r="X83" s="444">
        <f>SUM(T83:W83)</f>
        <v>13.4</v>
      </c>
      <c r="Y83" s="498"/>
      <c r="Z83" s="498"/>
      <c r="AA83" s="498"/>
      <c r="AB83" s="498"/>
      <c r="AC83" s="444"/>
      <c r="AD83" s="498"/>
      <c r="AE83" s="498"/>
      <c r="AF83" s="498"/>
      <c r="AG83" s="498"/>
      <c r="AH83" s="444"/>
      <c r="AI83" s="498"/>
      <c r="AJ83" s="498"/>
      <c r="AK83" s="498"/>
      <c r="AL83" s="498"/>
      <c r="AM83" s="444"/>
      <c r="AN83" s="498"/>
      <c r="AO83" s="498"/>
      <c r="AP83" s="498"/>
      <c r="AQ83" s="498"/>
      <c r="AR83" s="444"/>
      <c r="AS83" s="498"/>
      <c r="AT83" s="498"/>
      <c r="AU83" s="498"/>
      <c r="AV83" s="498"/>
      <c r="AW83" s="444"/>
      <c r="AX83" s="498"/>
      <c r="AY83" s="498"/>
      <c r="AZ83" s="498"/>
      <c r="BA83" s="498"/>
      <c r="BB83" s="444"/>
      <c r="BC83" s="498"/>
      <c r="BD83" s="498"/>
      <c r="BE83" s="498"/>
      <c r="BF83" s="498"/>
      <c r="BG83" s="444"/>
      <c r="BH83" s="498"/>
      <c r="BI83" s="498"/>
      <c r="BJ83" s="498"/>
      <c r="BK83" s="498"/>
      <c r="BL83" s="444"/>
      <c r="BM83" s="498"/>
      <c r="BN83" s="498"/>
      <c r="BO83" s="498"/>
      <c r="BP83" s="498"/>
      <c r="BQ83" s="444"/>
      <c r="BR83" s="498"/>
      <c r="BS83" s="498"/>
      <c r="BT83" s="498"/>
      <c r="BU83" s="498"/>
      <c r="BV83" s="444"/>
      <c r="BW83" s="498"/>
      <c r="BX83" s="498"/>
      <c r="BY83" s="498"/>
      <c r="BZ83" s="498"/>
      <c r="CA83" s="444"/>
      <c r="CB83" s="498"/>
      <c r="CC83" s="498"/>
      <c r="CD83" s="498"/>
      <c r="CE83" s="498"/>
      <c r="CF83" s="444"/>
      <c r="CG83" s="498"/>
      <c r="CH83" s="498"/>
      <c r="CI83" s="498"/>
      <c r="CJ83" s="498"/>
      <c r="CK83" s="444"/>
      <c r="CL83" s="498"/>
      <c r="CM83" s="498"/>
      <c r="CN83" s="498"/>
      <c r="CO83" s="498"/>
      <c r="CP83" s="444"/>
      <c r="CQ83" s="444"/>
      <c r="CR83" s="444"/>
      <c r="CS83" s="444"/>
    </row>
    <row r="84" spans="2:97">
      <c r="B84" s="467" t="s">
        <v>273</v>
      </c>
      <c r="C84" s="468">
        <f t="shared" ref="C84:X84" si="72">SUM(C81:C83)</f>
        <v>139.25200000000001</v>
      </c>
      <c r="D84" s="468">
        <f t="shared" si="72"/>
        <v>160.56799999999998</v>
      </c>
      <c r="E84" s="468">
        <f t="shared" si="72"/>
        <v>124.1</v>
      </c>
      <c r="F84" s="468">
        <f t="shared" si="72"/>
        <v>120.7</v>
      </c>
      <c r="G84" s="468">
        <f t="shared" si="72"/>
        <v>87.100000000000009</v>
      </c>
      <c r="H84" s="468">
        <f t="shared" si="72"/>
        <v>85.800000000000011</v>
      </c>
      <c r="I84" s="468">
        <f t="shared" si="72"/>
        <v>85</v>
      </c>
      <c r="J84" s="467">
        <f t="shared" si="72"/>
        <v>30.700000000000003</v>
      </c>
      <c r="K84" s="467">
        <f t="shared" si="72"/>
        <v>41</v>
      </c>
      <c r="L84" s="467">
        <f t="shared" si="72"/>
        <v>30</v>
      </c>
      <c r="M84" s="467">
        <f t="shared" si="72"/>
        <v>30.899999999999991</v>
      </c>
      <c r="N84" s="468">
        <f t="shared" si="72"/>
        <v>132.60000000000002</v>
      </c>
      <c r="O84" s="467">
        <f t="shared" si="72"/>
        <v>41.300000000000004</v>
      </c>
      <c r="P84" s="467">
        <f t="shared" si="72"/>
        <v>45.2</v>
      </c>
      <c r="Q84" s="467">
        <f t="shared" si="72"/>
        <v>34.4</v>
      </c>
      <c r="R84" s="467">
        <f t="shared" si="72"/>
        <v>34.100000000000009</v>
      </c>
      <c r="S84" s="468">
        <f t="shared" si="72"/>
        <v>155</v>
      </c>
      <c r="T84" s="467">
        <f t="shared" si="72"/>
        <v>40.4</v>
      </c>
      <c r="U84" s="467">
        <f t="shared" si="72"/>
        <v>43.2</v>
      </c>
      <c r="V84" s="467">
        <f t="shared" si="72"/>
        <v>36.1</v>
      </c>
      <c r="W84" s="467">
        <f t="shared" si="72"/>
        <v>24.799999999999997</v>
      </c>
      <c r="X84" s="468">
        <f t="shared" si="72"/>
        <v>144.5</v>
      </c>
      <c r="Y84" s="467">
        <f t="shared" ref="Y84:BD84" si="73">SUM(Y79:Y80)</f>
        <v>41.8</v>
      </c>
      <c r="Z84" s="467">
        <f t="shared" si="73"/>
        <v>43.300000000000004</v>
      </c>
      <c r="AA84" s="467">
        <f t="shared" si="73"/>
        <v>38.799999999999997</v>
      </c>
      <c r="AB84" s="467">
        <f t="shared" si="73"/>
        <v>40.20000000000001</v>
      </c>
      <c r="AC84" s="468">
        <f t="shared" si="73"/>
        <v>164.10000000000002</v>
      </c>
      <c r="AD84" s="467">
        <f t="shared" si="73"/>
        <v>52.4</v>
      </c>
      <c r="AE84" s="467">
        <f t="shared" si="73"/>
        <v>47.7</v>
      </c>
      <c r="AF84" s="467">
        <f t="shared" si="73"/>
        <v>45.5</v>
      </c>
      <c r="AG84" s="467">
        <f t="shared" si="73"/>
        <v>40.000000000000028</v>
      </c>
      <c r="AH84" s="468">
        <f t="shared" si="73"/>
        <v>185.60000000000002</v>
      </c>
      <c r="AI84" s="467">
        <f t="shared" si="73"/>
        <v>53.8</v>
      </c>
      <c r="AJ84" s="467">
        <f t="shared" si="73"/>
        <v>40.200000000000003</v>
      </c>
      <c r="AK84" s="467">
        <f t="shared" si="73"/>
        <v>28.6</v>
      </c>
      <c r="AL84" s="467">
        <f t="shared" si="73"/>
        <v>24.9</v>
      </c>
      <c r="AM84" s="468">
        <f t="shared" si="73"/>
        <v>147.5</v>
      </c>
      <c r="AN84" s="467">
        <f t="shared" si="73"/>
        <v>42</v>
      </c>
      <c r="AO84" s="467">
        <f t="shared" si="73"/>
        <v>53.5</v>
      </c>
      <c r="AP84" s="467">
        <f t="shared" si="73"/>
        <v>46.199999999999996</v>
      </c>
      <c r="AQ84" s="467">
        <f t="shared" si="73"/>
        <v>43.599999999999994</v>
      </c>
      <c r="AR84" s="468">
        <f t="shared" si="73"/>
        <v>185.3</v>
      </c>
      <c r="AS84" s="467">
        <f t="shared" si="73"/>
        <v>62.3</v>
      </c>
      <c r="AT84" s="467">
        <f t="shared" si="73"/>
        <v>60.4</v>
      </c>
      <c r="AU84" s="467">
        <f t="shared" si="73"/>
        <v>61.3</v>
      </c>
      <c r="AV84" s="467">
        <f t="shared" si="73"/>
        <v>62.1</v>
      </c>
      <c r="AW84" s="468">
        <f t="shared" si="73"/>
        <v>246.1</v>
      </c>
      <c r="AX84" s="467">
        <f t="shared" si="73"/>
        <v>77.599999999999994</v>
      </c>
      <c r="AY84" s="467">
        <f t="shared" si="73"/>
        <v>92.600000000000009</v>
      </c>
      <c r="AZ84" s="467">
        <f t="shared" si="73"/>
        <v>71.900000000000006</v>
      </c>
      <c r="BA84" s="467">
        <f t="shared" si="73"/>
        <v>65.8</v>
      </c>
      <c r="BB84" s="468">
        <f t="shared" si="73"/>
        <v>307.89999999999998</v>
      </c>
      <c r="BC84" s="467">
        <f t="shared" si="73"/>
        <v>81.300000000000011</v>
      </c>
      <c r="BD84" s="467">
        <f t="shared" si="73"/>
        <v>86.3</v>
      </c>
      <c r="BE84" s="467">
        <f t="shared" ref="BE84:CJ84" si="74">SUM(BE79:BE80)</f>
        <v>83.600000000000009</v>
      </c>
      <c r="BF84" s="467">
        <f t="shared" si="74"/>
        <v>84</v>
      </c>
      <c r="BG84" s="468">
        <f t="shared" si="74"/>
        <v>335.2</v>
      </c>
      <c r="BH84" s="467">
        <f t="shared" si="74"/>
        <v>92.300000000000011</v>
      </c>
      <c r="BI84" s="467">
        <f t="shared" si="74"/>
        <v>97.4</v>
      </c>
      <c r="BJ84" s="467">
        <f t="shared" si="74"/>
        <v>91.100000000000009</v>
      </c>
      <c r="BK84" s="467">
        <f t="shared" si="74"/>
        <v>95</v>
      </c>
      <c r="BL84" s="468">
        <f t="shared" si="74"/>
        <v>375.8</v>
      </c>
      <c r="BM84" s="467">
        <f t="shared" si="74"/>
        <v>103.9</v>
      </c>
      <c r="BN84" s="467">
        <f t="shared" si="74"/>
        <v>105.60000000000001</v>
      </c>
      <c r="BO84" s="467">
        <f t="shared" si="74"/>
        <v>88.3</v>
      </c>
      <c r="BP84" s="467">
        <f t="shared" si="74"/>
        <v>94.2</v>
      </c>
      <c r="BQ84" s="468">
        <f t="shared" si="74"/>
        <v>392</v>
      </c>
      <c r="BR84" s="467">
        <f t="shared" si="74"/>
        <v>103.1</v>
      </c>
      <c r="BS84" s="467">
        <f t="shared" si="74"/>
        <v>113.3</v>
      </c>
      <c r="BT84" s="467">
        <f t="shared" si="74"/>
        <v>101.7</v>
      </c>
      <c r="BU84" s="467">
        <f t="shared" si="74"/>
        <v>100.3</v>
      </c>
      <c r="BV84" s="468">
        <f t="shared" si="74"/>
        <v>418.4</v>
      </c>
      <c r="BW84" s="467">
        <f t="shared" si="74"/>
        <v>94.9</v>
      </c>
      <c r="BX84" s="467">
        <f t="shared" si="74"/>
        <v>104.19999999999999</v>
      </c>
      <c r="BY84" s="467">
        <f t="shared" si="74"/>
        <v>102.1</v>
      </c>
      <c r="BZ84" s="467">
        <f t="shared" si="74"/>
        <v>106.9</v>
      </c>
      <c r="CA84" s="468">
        <f t="shared" si="74"/>
        <v>408.09999999999997</v>
      </c>
      <c r="CB84" s="467">
        <f t="shared" si="74"/>
        <v>100.9</v>
      </c>
      <c r="CC84" s="467">
        <f t="shared" si="74"/>
        <v>109</v>
      </c>
      <c r="CD84" s="467">
        <f t="shared" si="74"/>
        <v>108</v>
      </c>
      <c r="CE84" s="467">
        <f t="shared" si="74"/>
        <v>106.5</v>
      </c>
      <c r="CF84" s="468">
        <f t="shared" si="74"/>
        <v>424.4</v>
      </c>
      <c r="CG84" s="467">
        <f t="shared" si="74"/>
        <v>127.3</v>
      </c>
      <c r="CH84" s="467">
        <f t="shared" si="74"/>
        <v>128.1</v>
      </c>
      <c r="CI84" s="467">
        <f t="shared" si="74"/>
        <v>120.39999999999999</v>
      </c>
      <c r="CJ84" s="467">
        <f t="shared" si="74"/>
        <v>107.5</v>
      </c>
      <c r="CK84" s="468">
        <f t="shared" ref="CK84:CS84" si="75">SUM(CK79:CK80)</f>
        <v>483.29999999999995</v>
      </c>
      <c r="CL84" s="467">
        <f t="shared" si="75"/>
        <v>98</v>
      </c>
      <c r="CM84" s="467">
        <f t="shared" si="75"/>
        <v>23.510415200000004</v>
      </c>
      <c r="CN84" s="467">
        <f t="shared" si="75"/>
        <v>43.653119800000006</v>
      </c>
      <c r="CO84" s="467">
        <f t="shared" si="75"/>
        <v>60.117176200000003</v>
      </c>
      <c r="CP84" s="468">
        <f t="shared" si="75"/>
        <v>225.28071120000001</v>
      </c>
      <c r="CQ84" s="468">
        <f t="shared" si="75"/>
        <v>266.96823851299996</v>
      </c>
      <c r="CR84" s="468">
        <f t="shared" si="75"/>
        <v>309.221567195332</v>
      </c>
      <c r="CS84" s="468">
        <f t="shared" si="75"/>
        <v>361.21782490909698</v>
      </c>
    </row>
    <row r="85" spans="2:97">
      <c r="B85" s="433" t="s">
        <v>92</v>
      </c>
      <c r="C85" s="444">
        <f>'Data (2)'!C147</f>
        <v>-62.794999999999945</v>
      </c>
      <c r="D85" s="444">
        <f>'Data (2)'!D147</f>
        <v>-43.52899999999984</v>
      </c>
      <c r="E85" s="444">
        <f>'Data (2)'!E147</f>
        <v>-55.2</v>
      </c>
      <c r="F85" s="444">
        <f>'Data (2)'!F147</f>
        <v>-45.3</v>
      </c>
      <c r="G85" s="444">
        <f>'Data (2)'!G147</f>
        <v>-403.3</v>
      </c>
      <c r="H85" s="444">
        <f>'Data (2)'!H147</f>
        <v>-25.6</v>
      </c>
      <c r="I85" s="444">
        <f>'Data (2)'!I147</f>
        <v>-27.2</v>
      </c>
      <c r="J85" s="433">
        <f>'Data (2)'!J147</f>
        <v>-7</v>
      </c>
      <c r="K85" s="433">
        <f>'Data (2)'!K147</f>
        <v>-15.1</v>
      </c>
      <c r="L85" s="433">
        <f>'Data (2)'!L147</f>
        <v>-11.4</v>
      </c>
      <c r="M85" s="433">
        <f>'Data (2)'!M147</f>
        <v>-10.299999999999997</v>
      </c>
      <c r="N85" s="444">
        <f>SUM(J85:M85)</f>
        <v>-43.8</v>
      </c>
      <c r="O85" s="433">
        <f>'Data (2)'!O147</f>
        <v>-8.4</v>
      </c>
      <c r="P85" s="433">
        <f>'Data (2)'!P147</f>
        <v>-8.3000000000000007</v>
      </c>
      <c r="Q85" s="433">
        <f>'Data (2)'!Q147</f>
        <v>-25.7</v>
      </c>
      <c r="R85" s="433">
        <f>'Data (2)'!R147</f>
        <v>-8.3999999999999915</v>
      </c>
      <c r="S85" s="444">
        <f>SUM(O85:R85)</f>
        <v>-50.8</v>
      </c>
      <c r="T85" s="433">
        <f>'Data (2)'!T147</f>
        <v>-10.6</v>
      </c>
      <c r="U85" s="433">
        <f>'Data (2)'!U147</f>
        <v>-8.9</v>
      </c>
      <c r="V85" s="433">
        <f>'Data (2)'!V147</f>
        <v>-10.4</v>
      </c>
      <c r="W85" s="433">
        <f>'Data (2)'!W147</f>
        <v>-8.2000000000000028</v>
      </c>
      <c r="X85" s="444">
        <f>SUM(T85:W85)</f>
        <v>-38.1</v>
      </c>
      <c r="Y85" s="433">
        <f>'Data (2)'!Y147</f>
        <v>-11.9</v>
      </c>
      <c r="Z85" s="433">
        <f>'Data (2)'!Z147</f>
        <v>-9.3000000000000007</v>
      </c>
      <c r="AA85" s="433">
        <f>'Data (2)'!AA147</f>
        <v>-8.6</v>
      </c>
      <c r="AB85" s="433">
        <f>'Data (2)'!AB147</f>
        <v>-19.399999999999984</v>
      </c>
      <c r="AC85" s="444">
        <f>SUM(Y85:AB85)</f>
        <v>-49.199999999999989</v>
      </c>
      <c r="AD85" s="433">
        <f>'Data (2)'!AD147</f>
        <v>-16</v>
      </c>
      <c r="AE85" s="433">
        <f>'Data (2)'!AE147</f>
        <v>-18.399999999999999</v>
      </c>
      <c r="AF85" s="433">
        <f>'Data (2)'!AF147</f>
        <v>-9.6</v>
      </c>
      <c r="AG85" s="433">
        <f>'Data (2)'!AG147</f>
        <v>-10.700000000000003</v>
      </c>
      <c r="AH85" s="444">
        <f>SUM(AD85:AG85)</f>
        <v>-54.7</v>
      </c>
      <c r="AI85" s="433">
        <f>'Data (2)'!AI147</f>
        <v>-13.9</v>
      </c>
      <c r="AJ85" s="433">
        <f>'Data (2)'!AJ147</f>
        <v>-10.5</v>
      </c>
      <c r="AK85" s="433">
        <f>'Data (2)'!AK147</f>
        <v>-9</v>
      </c>
      <c r="AL85" s="433">
        <f>'Data (2)'!AL147</f>
        <v>-10.4</v>
      </c>
      <c r="AM85" s="444">
        <f>SUM(AI85:AL85)</f>
        <v>-43.8</v>
      </c>
      <c r="AN85" s="433">
        <f>'Data (2)'!AN147</f>
        <v>-18.2</v>
      </c>
      <c r="AO85" s="433">
        <f>'Data (2)'!AO147</f>
        <v>-13</v>
      </c>
      <c r="AP85" s="433">
        <f>'Data (2)'!AP147</f>
        <v>-11.7</v>
      </c>
      <c r="AQ85" s="454">
        <f>'Data (2)'!AQ147</f>
        <v>-12.600000000000001</v>
      </c>
      <c r="AR85" s="444">
        <f>SUM(AN85:AQ85)</f>
        <v>-55.5</v>
      </c>
      <c r="AS85" s="454">
        <f>'Data (2)'!AS147</f>
        <v>-15.1</v>
      </c>
      <c r="AT85" s="454">
        <f>'Data (2)'!AT147</f>
        <v>-11</v>
      </c>
      <c r="AU85" s="454">
        <f>'Data (2)'!AU147</f>
        <v>-15.3</v>
      </c>
      <c r="AV85" s="454">
        <f>'Data (2)'!AV147</f>
        <v>-12.7</v>
      </c>
      <c r="AW85" s="444">
        <f>SUM(AS85:AV85)</f>
        <v>-54.100000000000009</v>
      </c>
      <c r="AX85" s="454">
        <f>'Data (2)'!AX147</f>
        <v>-17</v>
      </c>
      <c r="AY85" s="454">
        <f>'Data (2)'!AY147</f>
        <v>-18.7</v>
      </c>
      <c r="AZ85" s="454">
        <f>'Data (2)'!AZ147</f>
        <v>-11.9</v>
      </c>
      <c r="BA85" s="433">
        <f>'Data (2)'!BA147</f>
        <v>-11.5</v>
      </c>
      <c r="BB85" s="444">
        <f>SUM(AX85:BA85)</f>
        <v>-59.1</v>
      </c>
      <c r="BC85" s="433">
        <f>'Data (2)'!BC147</f>
        <v>-18.3</v>
      </c>
      <c r="BD85" s="433">
        <f>'Data (2)'!BD147</f>
        <v>-14.4</v>
      </c>
      <c r="BE85" s="433">
        <f>'Data (2)'!BE147</f>
        <v>-14.6</v>
      </c>
      <c r="BF85" s="433">
        <f>'Data (2)'!BF147</f>
        <v>-17</v>
      </c>
      <c r="BG85" s="444">
        <f>SUM(BC85:BF85)</f>
        <v>-64.300000000000011</v>
      </c>
      <c r="BH85" s="433">
        <f>'Data (2)'!BH147</f>
        <v>-17.7</v>
      </c>
      <c r="BI85" s="433">
        <f>'Data (2)'!BI147</f>
        <v>-22.3</v>
      </c>
      <c r="BJ85" s="433">
        <f>'Data (2)'!BJ147</f>
        <v>-12.1</v>
      </c>
      <c r="BK85" s="433">
        <f>'Data (2)'!BK147</f>
        <v>-17.899999999999999</v>
      </c>
      <c r="BL85" s="444">
        <f>SUM(BH85:BK85)</f>
        <v>-70</v>
      </c>
      <c r="BM85" s="433">
        <f>'Data (2)'!BM147</f>
        <v>-21.3</v>
      </c>
      <c r="BN85" s="433">
        <f>'Data (2)'!BN147</f>
        <v>-15</v>
      </c>
      <c r="BO85" s="433">
        <f>'Data (2)'!BO147</f>
        <v>-10.3</v>
      </c>
      <c r="BP85" s="433">
        <f>'Data (2)'!BP147</f>
        <v>-13</v>
      </c>
      <c r="BQ85" s="444">
        <f>SUM(BM85:BP85)</f>
        <v>-59.599999999999994</v>
      </c>
      <c r="BR85" s="433">
        <f>'Data (2)'!BR147</f>
        <v>-19.2</v>
      </c>
      <c r="BS85" s="433">
        <f>'Data (2)'!BS147</f>
        <v>-13.2</v>
      </c>
      <c r="BT85" s="433">
        <f>'Data (2)'!BT147</f>
        <v>-12.6</v>
      </c>
      <c r="BU85" s="433">
        <f>'Data (2)'!BU147</f>
        <v>-13.3</v>
      </c>
      <c r="BV85" s="444">
        <f>SUM(BR85:BU85)</f>
        <v>-58.3</v>
      </c>
      <c r="BW85" s="433">
        <f>'Data (2)'!BW147</f>
        <v>-16.3</v>
      </c>
      <c r="BX85" s="433">
        <f>'Data (2)'!BX147</f>
        <v>-14.5</v>
      </c>
      <c r="BY85" s="433">
        <f>'Data (2)'!BY147</f>
        <v>-13</v>
      </c>
      <c r="BZ85" s="433">
        <f>'Data (2)'!BZ147</f>
        <v>-13.7</v>
      </c>
      <c r="CA85" s="444">
        <f>SUM(BW85:BZ85)</f>
        <v>-57.5</v>
      </c>
      <c r="CB85" s="433">
        <f>'Data (2)'!CB147</f>
        <v>-18.5</v>
      </c>
      <c r="CC85" s="433">
        <f>'Data (2)'!CC147</f>
        <v>-12.5</v>
      </c>
      <c r="CD85" s="433">
        <f>'Data (2)'!CD147</f>
        <v>-11.5</v>
      </c>
      <c r="CE85" s="433">
        <f>'Data (2)'!CE147</f>
        <v>-10.7</v>
      </c>
      <c r="CF85" s="444">
        <f>SUM(CB85:CE85)</f>
        <v>-53.2</v>
      </c>
      <c r="CG85" s="433">
        <f>'Data (2)'!CG147</f>
        <v>-24.5</v>
      </c>
      <c r="CH85" s="433">
        <f>'Data (2)'!CH147</f>
        <v>-13</v>
      </c>
      <c r="CI85" s="433">
        <f>'Data (2)'!CI147</f>
        <v>-10.5</v>
      </c>
      <c r="CJ85" s="433">
        <f>'Data (2)'!CJ147</f>
        <v>-10.1</v>
      </c>
      <c r="CK85" s="444">
        <f>SUM(CG85:CJ85)</f>
        <v>-58.1</v>
      </c>
      <c r="CL85" s="433">
        <f>'Data (2)'!CL147</f>
        <v>-32.299999999999997</v>
      </c>
      <c r="CM85" s="499">
        <v>-9</v>
      </c>
      <c r="CN85" s="499">
        <v>-10</v>
      </c>
      <c r="CO85" s="499">
        <v>-10</v>
      </c>
      <c r="CP85" s="444">
        <f>SUM(CL85:CO85)</f>
        <v>-61.3</v>
      </c>
      <c r="CQ85" s="452">
        <v>-55</v>
      </c>
      <c r="CR85" s="452">
        <v>-56</v>
      </c>
      <c r="CS85" s="452">
        <v>-57</v>
      </c>
    </row>
    <row r="86" spans="2:97">
      <c r="B86" s="500" t="s">
        <v>93</v>
      </c>
      <c r="C86" s="501">
        <f t="shared" ref="C86:AH86" si="76">C84+C85</f>
        <v>76.457000000000065</v>
      </c>
      <c r="D86" s="501">
        <f t="shared" si="76"/>
        <v>117.03900000000014</v>
      </c>
      <c r="E86" s="501">
        <f t="shared" si="76"/>
        <v>68.899999999999991</v>
      </c>
      <c r="F86" s="501">
        <f t="shared" si="76"/>
        <v>75.400000000000006</v>
      </c>
      <c r="G86" s="501">
        <f t="shared" si="76"/>
        <v>-316.2</v>
      </c>
      <c r="H86" s="501">
        <f t="shared" si="76"/>
        <v>60.20000000000001</v>
      </c>
      <c r="I86" s="501">
        <f t="shared" si="76"/>
        <v>57.8</v>
      </c>
      <c r="J86" s="500">
        <f t="shared" si="76"/>
        <v>23.700000000000003</v>
      </c>
      <c r="K86" s="500">
        <f t="shared" si="76"/>
        <v>25.9</v>
      </c>
      <c r="L86" s="500">
        <f t="shared" si="76"/>
        <v>18.600000000000001</v>
      </c>
      <c r="M86" s="500">
        <f t="shared" si="76"/>
        <v>20.599999999999994</v>
      </c>
      <c r="N86" s="501">
        <f t="shared" si="76"/>
        <v>88.800000000000026</v>
      </c>
      <c r="O86" s="500">
        <f t="shared" si="76"/>
        <v>32.900000000000006</v>
      </c>
      <c r="P86" s="500">
        <f t="shared" si="76"/>
        <v>36.900000000000006</v>
      </c>
      <c r="Q86" s="500">
        <f t="shared" si="76"/>
        <v>8.6999999999999993</v>
      </c>
      <c r="R86" s="500">
        <f t="shared" si="76"/>
        <v>25.700000000000017</v>
      </c>
      <c r="S86" s="501">
        <f t="shared" si="76"/>
        <v>104.2</v>
      </c>
      <c r="T86" s="500">
        <f t="shared" si="76"/>
        <v>29.799999999999997</v>
      </c>
      <c r="U86" s="500">
        <f t="shared" si="76"/>
        <v>34.300000000000004</v>
      </c>
      <c r="V86" s="500">
        <f t="shared" si="76"/>
        <v>25.700000000000003</v>
      </c>
      <c r="W86" s="500">
        <f t="shared" si="76"/>
        <v>16.599999999999994</v>
      </c>
      <c r="X86" s="501">
        <f t="shared" si="76"/>
        <v>106.4</v>
      </c>
      <c r="Y86" s="500">
        <f t="shared" si="76"/>
        <v>29.9</v>
      </c>
      <c r="Z86" s="500">
        <f t="shared" si="76"/>
        <v>34</v>
      </c>
      <c r="AA86" s="500">
        <f t="shared" si="76"/>
        <v>30.199999999999996</v>
      </c>
      <c r="AB86" s="500">
        <f t="shared" si="76"/>
        <v>20.800000000000026</v>
      </c>
      <c r="AC86" s="501">
        <f t="shared" si="76"/>
        <v>114.90000000000003</v>
      </c>
      <c r="AD86" s="500">
        <f t="shared" si="76"/>
        <v>36.4</v>
      </c>
      <c r="AE86" s="500">
        <f t="shared" si="76"/>
        <v>29.300000000000004</v>
      </c>
      <c r="AF86" s="500">
        <f t="shared" si="76"/>
        <v>35.9</v>
      </c>
      <c r="AG86" s="500">
        <f t="shared" si="76"/>
        <v>29.300000000000026</v>
      </c>
      <c r="AH86" s="501">
        <f t="shared" si="76"/>
        <v>130.90000000000003</v>
      </c>
      <c r="AI86" s="500">
        <f t="shared" ref="AI86:BN86" si="77">AI84+AI85</f>
        <v>39.9</v>
      </c>
      <c r="AJ86" s="500">
        <f t="shared" si="77"/>
        <v>29.700000000000003</v>
      </c>
      <c r="AK86" s="500">
        <f t="shared" si="77"/>
        <v>19.600000000000001</v>
      </c>
      <c r="AL86" s="500">
        <f t="shared" si="77"/>
        <v>14.499999999999998</v>
      </c>
      <c r="AM86" s="501">
        <f t="shared" si="77"/>
        <v>103.7</v>
      </c>
      <c r="AN86" s="500">
        <f t="shared" si="77"/>
        <v>23.8</v>
      </c>
      <c r="AO86" s="500">
        <f t="shared" si="77"/>
        <v>40.5</v>
      </c>
      <c r="AP86" s="500">
        <f t="shared" si="77"/>
        <v>34.5</v>
      </c>
      <c r="AQ86" s="500">
        <f t="shared" si="77"/>
        <v>30.999999999999993</v>
      </c>
      <c r="AR86" s="501">
        <f t="shared" si="77"/>
        <v>129.80000000000001</v>
      </c>
      <c r="AS86" s="500">
        <f t="shared" si="77"/>
        <v>47.199999999999996</v>
      </c>
      <c r="AT86" s="500">
        <f t="shared" si="77"/>
        <v>49.4</v>
      </c>
      <c r="AU86" s="500">
        <f t="shared" si="77"/>
        <v>46</v>
      </c>
      <c r="AV86" s="500">
        <f t="shared" si="77"/>
        <v>49.400000000000006</v>
      </c>
      <c r="AW86" s="501">
        <f t="shared" si="77"/>
        <v>192</v>
      </c>
      <c r="AX86" s="500">
        <f t="shared" si="77"/>
        <v>60.599999999999994</v>
      </c>
      <c r="AY86" s="500">
        <f t="shared" si="77"/>
        <v>73.900000000000006</v>
      </c>
      <c r="AZ86" s="500">
        <f t="shared" si="77"/>
        <v>60.000000000000007</v>
      </c>
      <c r="BA86" s="500">
        <f t="shared" si="77"/>
        <v>54.3</v>
      </c>
      <c r="BB86" s="501">
        <f t="shared" si="77"/>
        <v>248.79999999999998</v>
      </c>
      <c r="BC86" s="500">
        <f t="shared" si="77"/>
        <v>63.000000000000014</v>
      </c>
      <c r="BD86" s="500">
        <f t="shared" si="77"/>
        <v>71.899999999999991</v>
      </c>
      <c r="BE86" s="500">
        <f t="shared" si="77"/>
        <v>69.000000000000014</v>
      </c>
      <c r="BF86" s="500">
        <f t="shared" si="77"/>
        <v>67</v>
      </c>
      <c r="BG86" s="501">
        <f t="shared" si="77"/>
        <v>270.89999999999998</v>
      </c>
      <c r="BH86" s="500">
        <f t="shared" si="77"/>
        <v>74.600000000000009</v>
      </c>
      <c r="BI86" s="500">
        <f t="shared" si="77"/>
        <v>75.100000000000009</v>
      </c>
      <c r="BJ86" s="500">
        <f t="shared" si="77"/>
        <v>79.000000000000014</v>
      </c>
      <c r="BK86" s="500">
        <f t="shared" si="77"/>
        <v>77.099999999999994</v>
      </c>
      <c r="BL86" s="501">
        <f t="shared" si="77"/>
        <v>305.8</v>
      </c>
      <c r="BM86" s="500">
        <f t="shared" si="77"/>
        <v>82.600000000000009</v>
      </c>
      <c r="BN86" s="500">
        <f t="shared" si="77"/>
        <v>90.600000000000009</v>
      </c>
      <c r="BO86" s="500">
        <f t="shared" ref="BO86:CS86" si="78">BO84+BO85</f>
        <v>78</v>
      </c>
      <c r="BP86" s="500">
        <f t="shared" si="78"/>
        <v>81.2</v>
      </c>
      <c r="BQ86" s="501">
        <f t="shared" si="78"/>
        <v>332.4</v>
      </c>
      <c r="BR86" s="500">
        <f t="shared" si="78"/>
        <v>83.899999999999991</v>
      </c>
      <c r="BS86" s="500">
        <f t="shared" si="78"/>
        <v>100.1</v>
      </c>
      <c r="BT86" s="500">
        <f t="shared" si="78"/>
        <v>89.100000000000009</v>
      </c>
      <c r="BU86" s="500">
        <f t="shared" si="78"/>
        <v>87</v>
      </c>
      <c r="BV86" s="501">
        <f t="shared" si="78"/>
        <v>360.09999999999997</v>
      </c>
      <c r="BW86" s="500">
        <f t="shared" si="78"/>
        <v>78.600000000000009</v>
      </c>
      <c r="BX86" s="500">
        <f t="shared" si="78"/>
        <v>89.699999999999989</v>
      </c>
      <c r="BY86" s="500">
        <f t="shared" si="78"/>
        <v>89.1</v>
      </c>
      <c r="BZ86" s="500">
        <f t="shared" si="78"/>
        <v>93.2</v>
      </c>
      <c r="CA86" s="501">
        <f t="shared" si="78"/>
        <v>350.59999999999997</v>
      </c>
      <c r="CB86" s="500">
        <f t="shared" si="78"/>
        <v>82.4</v>
      </c>
      <c r="CC86" s="500">
        <f t="shared" si="78"/>
        <v>96.5</v>
      </c>
      <c r="CD86" s="500">
        <f t="shared" si="78"/>
        <v>96.5</v>
      </c>
      <c r="CE86" s="500">
        <f t="shared" si="78"/>
        <v>95.8</v>
      </c>
      <c r="CF86" s="501">
        <f t="shared" si="78"/>
        <v>371.2</v>
      </c>
      <c r="CG86" s="500">
        <f t="shared" si="78"/>
        <v>102.8</v>
      </c>
      <c r="CH86" s="500">
        <f t="shared" si="78"/>
        <v>115.1</v>
      </c>
      <c r="CI86" s="500">
        <f t="shared" si="78"/>
        <v>109.89999999999999</v>
      </c>
      <c r="CJ86" s="500">
        <f t="shared" si="78"/>
        <v>97.4</v>
      </c>
      <c r="CK86" s="501">
        <f t="shared" si="78"/>
        <v>425.19999999999993</v>
      </c>
      <c r="CL86" s="500">
        <f t="shared" si="78"/>
        <v>65.7</v>
      </c>
      <c r="CM86" s="500">
        <f t="shared" si="78"/>
        <v>14.510415200000004</v>
      </c>
      <c r="CN86" s="500">
        <f t="shared" si="78"/>
        <v>33.653119800000006</v>
      </c>
      <c r="CO86" s="500">
        <f t="shared" si="78"/>
        <v>50.117176200000003</v>
      </c>
      <c r="CP86" s="501">
        <f t="shared" si="78"/>
        <v>163.98071120000003</v>
      </c>
      <c r="CQ86" s="501">
        <f t="shared" si="78"/>
        <v>211.96823851299996</v>
      </c>
      <c r="CR86" s="501">
        <f t="shared" si="78"/>
        <v>253.221567195332</v>
      </c>
      <c r="CS86" s="501">
        <f t="shared" si="78"/>
        <v>304.21782490909698</v>
      </c>
    </row>
    <row r="87" spans="2:97">
      <c r="C87" s="444"/>
      <c r="D87" s="444"/>
      <c r="E87" s="444"/>
      <c r="F87" s="444"/>
      <c r="G87" s="444"/>
      <c r="H87" s="444"/>
      <c r="I87" s="444"/>
      <c r="N87" s="444"/>
      <c r="S87" s="444"/>
      <c r="X87" s="444"/>
      <c r="AC87" s="444"/>
      <c r="AH87" s="474"/>
      <c r="AL87" s="471"/>
      <c r="AM87" s="474"/>
      <c r="AN87" s="471"/>
      <c r="AO87" s="471"/>
      <c r="AQ87" s="471"/>
      <c r="AR87" s="474"/>
      <c r="AS87" s="471"/>
      <c r="AT87" s="471"/>
      <c r="AU87" s="471"/>
      <c r="AV87" s="471"/>
      <c r="AW87" s="474"/>
      <c r="AX87" s="502"/>
      <c r="AY87" s="471"/>
      <c r="AZ87" s="471"/>
      <c r="BA87" s="471"/>
      <c r="BB87" s="474"/>
      <c r="BC87" s="502"/>
      <c r="BD87" s="471"/>
      <c r="BE87" s="471"/>
      <c r="BF87" s="471"/>
      <c r="BG87" s="474"/>
      <c r="BH87" s="471"/>
      <c r="BI87" s="471"/>
      <c r="BJ87" s="471"/>
      <c r="BK87" s="471"/>
      <c r="BL87" s="472"/>
      <c r="BM87" s="471"/>
      <c r="BN87" s="471"/>
      <c r="BO87" s="471"/>
      <c r="BP87" s="471"/>
      <c r="BQ87" s="472"/>
      <c r="BR87" s="471"/>
      <c r="BS87" s="471"/>
      <c r="BT87" s="471"/>
      <c r="BU87" s="471"/>
      <c r="BV87" s="472"/>
      <c r="BW87" s="471"/>
      <c r="BX87" s="471"/>
      <c r="BY87" s="471"/>
      <c r="BZ87" s="471"/>
      <c r="CA87" s="472"/>
      <c r="CB87" s="471"/>
      <c r="CC87" s="471"/>
      <c r="CD87" s="471"/>
      <c r="CE87" s="471"/>
      <c r="CF87" s="472"/>
      <c r="CG87" s="471"/>
      <c r="CH87" s="471"/>
      <c r="CI87" s="471"/>
      <c r="CJ87" s="471"/>
      <c r="CK87" s="472"/>
      <c r="CL87" s="471"/>
      <c r="CM87" s="471"/>
      <c r="CN87" s="471"/>
      <c r="CO87" s="471"/>
      <c r="CP87" s="472"/>
      <c r="CQ87" s="472"/>
      <c r="CR87" s="472"/>
      <c r="CS87" s="472"/>
    </row>
    <row r="88" spans="2:97">
      <c r="B88" s="481" t="s">
        <v>122</v>
      </c>
      <c r="C88" s="444"/>
      <c r="D88" s="444"/>
      <c r="E88" s="444"/>
      <c r="F88" s="444"/>
      <c r="G88" s="444"/>
      <c r="H88" s="444"/>
      <c r="I88" s="444"/>
      <c r="N88" s="444"/>
      <c r="S88" s="444"/>
      <c r="X88" s="444"/>
      <c r="AC88" s="444"/>
      <c r="AH88" s="444"/>
      <c r="AL88" s="471"/>
      <c r="AM88" s="472"/>
      <c r="AN88" s="471"/>
      <c r="AO88" s="471"/>
      <c r="AQ88" s="471"/>
      <c r="AR88" s="472"/>
      <c r="AS88" s="471"/>
      <c r="AT88" s="471"/>
      <c r="AU88" s="471"/>
      <c r="AV88" s="471"/>
      <c r="AW88" s="472"/>
      <c r="AX88" s="502"/>
      <c r="AY88" s="471"/>
      <c r="AZ88" s="471"/>
      <c r="BA88" s="471"/>
      <c r="BB88" s="472"/>
      <c r="BC88" s="502"/>
      <c r="BD88" s="471"/>
      <c r="BE88" s="471"/>
      <c r="BF88" s="471"/>
      <c r="BG88" s="472"/>
      <c r="BH88" s="471"/>
      <c r="BI88" s="471"/>
      <c r="BJ88" s="471"/>
      <c r="BK88" s="471"/>
      <c r="BL88" s="472"/>
      <c r="BM88" s="471"/>
      <c r="BN88" s="471"/>
      <c r="BO88" s="471"/>
      <c r="BP88" s="471"/>
      <c r="BQ88" s="472"/>
      <c r="BR88" s="471"/>
      <c r="BS88" s="471"/>
      <c r="BT88" s="471"/>
      <c r="BU88" s="471"/>
      <c r="BV88" s="472"/>
      <c r="BW88" s="471"/>
      <c r="BX88" s="471"/>
      <c r="BY88" s="471"/>
      <c r="BZ88" s="471"/>
      <c r="CA88" s="472"/>
      <c r="CB88" s="471"/>
      <c r="CC88" s="471"/>
      <c r="CD88" s="471"/>
      <c r="CE88" s="471"/>
      <c r="CF88" s="472"/>
      <c r="CG88" s="471"/>
      <c r="CH88" s="471"/>
      <c r="CI88" s="471"/>
      <c r="CJ88" s="471"/>
      <c r="CK88" s="472"/>
      <c r="CL88" s="471"/>
      <c r="CM88" s="471"/>
      <c r="CN88" s="471"/>
      <c r="CO88" s="471"/>
      <c r="CP88" s="472"/>
      <c r="CQ88" s="472"/>
      <c r="CR88" s="472"/>
      <c r="CS88" s="472"/>
    </row>
    <row r="89" spans="2:97">
      <c r="B89" s="433" t="s">
        <v>90</v>
      </c>
      <c r="C89" s="475"/>
      <c r="D89" s="475"/>
      <c r="E89" s="475"/>
      <c r="F89" s="475"/>
      <c r="G89" s="475"/>
      <c r="H89" s="475"/>
      <c r="I89" s="475"/>
      <c r="J89" s="476"/>
      <c r="K89" s="476"/>
      <c r="L89" s="476"/>
      <c r="M89" s="476"/>
      <c r="N89" s="475"/>
      <c r="O89" s="476"/>
      <c r="P89" s="476"/>
      <c r="Q89" s="476"/>
      <c r="R89" s="476"/>
      <c r="S89" s="475"/>
      <c r="T89" s="476">
        <f t="shared" ref="T89:AY89" si="79">IF(ISERROR(T79/T$86),"",T79/T$86)</f>
        <v>1.5268456375838928</v>
      </c>
      <c r="U89" s="476">
        <f t="shared" si="79"/>
        <v>0.9883381924198249</v>
      </c>
      <c r="V89" s="476">
        <f t="shared" si="79"/>
        <v>1.1517509727626458</v>
      </c>
      <c r="W89" s="476">
        <f t="shared" si="79"/>
        <v>2.0361445783132543</v>
      </c>
      <c r="X89" s="475">
        <f t="shared" si="79"/>
        <v>1.3421052631578947</v>
      </c>
      <c r="Y89" s="476">
        <f t="shared" si="79"/>
        <v>1.234113712374582</v>
      </c>
      <c r="Z89" s="476">
        <f t="shared" si="79"/>
        <v>1.1235294117647059</v>
      </c>
      <c r="AA89" s="476">
        <f t="shared" si="79"/>
        <v>1.1225165562913908</v>
      </c>
      <c r="AB89" s="476">
        <f t="shared" si="79"/>
        <v>1.6249999999999984</v>
      </c>
      <c r="AC89" s="475">
        <f t="shared" si="79"/>
        <v>1.2428198433420363</v>
      </c>
      <c r="AD89" s="476">
        <f t="shared" si="79"/>
        <v>1.2197802197802199</v>
      </c>
      <c r="AE89" s="476">
        <f t="shared" si="79"/>
        <v>1.3549488054607508</v>
      </c>
      <c r="AF89" s="476">
        <f t="shared" si="79"/>
        <v>1.0891364902506964</v>
      </c>
      <c r="AG89" s="476">
        <f t="shared" si="79"/>
        <v>1.215017064846416</v>
      </c>
      <c r="AH89" s="475">
        <f t="shared" si="79"/>
        <v>1.2131398013750954</v>
      </c>
      <c r="AI89" s="476">
        <f t="shared" si="79"/>
        <v>1.1278195488721805</v>
      </c>
      <c r="AJ89" s="476">
        <f t="shared" si="79"/>
        <v>1.0202020202020201</v>
      </c>
      <c r="AK89" s="476">
        <f t="shared" si="79"/>
        <v>1.0612244897959184</v>
      </c>
      <c r="AL89" s="476">
        <f t="shared" si="79"/>
        <v>1.0551724137931036</v>
      </c>
      <c r="AM89" s="475">
        <f t="shared" si="79"/>
        <v>1.0742526518804243</v>
      </c>
      <c r="AN89" s="476">
        <f t="shared" si="79"/>
        <v>1.2857142857142858</v>
      </c>
      <c r="AO89" s="476">
        <f t="shared" si="79"/>
        <v>1.05679012345679</v>
      </c>
      <c r="AP89" s="476">
        <f t="shared" si="79"/>
        <v>0.99420289855072452</v>
      </c>
      <c r="AQ89" s="476">
        <f t="shared" si="79"/>
        <v>1.0290322580645161</v>
      </c>
      <c r="AR89" s="475">
        <f t="shared" si="79"/>
        <v>1.0755007704160244</v>
      </c>
      <c r="AS89" s="476">
        <f t="shared" si="79"/>
        <v>1.0550847457627119</v>
      </c>
      <c r="AT89" s="476">
        <f t="shared" si="79"/>
        <v>0.98178137651821862</v>
      </c>
      <c r="AU89" s="476">
        <f t="shared" si="79"/>
        <v>0.98043478260869565</v>
      </c>
      <c r="AV89" s="476">
        <f t="shared" si="79"/>
        <v>1.034412955465587</v>
      </c>
      <c r="AW89" s="475">
        <f t="shared" si="79"/>
        <v>1.0130208333333333</v>
      </c>
      <c r="AX89" s="476">
        <f t="shared" si="79"/>
        <v>1.085808580858086</v>
      </c>
      <c r="AY89" s="476">
        <f t="shared" si="79"/>
        <v>1.094722598105548</v>
      </c>
      <c r="AZ89" s="476">
        <f t="shared" ref="AZ89:CE89" si="80">IF(ISERROR(AZ79/AZ$86),"",AZ79/AZ$86)</f>
        <v>0.94999999999999984</v>
      </c>
      <c r="BA89" s="476">
        <f t="shared" si="80"/>
        <v>0.98710865561694294</v>
      </c>
      <c r="BB89" s="475">
        <f t="shared" si="80"/>
        <v>1.0341639871382637</v>
      </c>
      <c r="BC89" s="476">
        <f t="shared" si="80"/>
        <v>1.0777777777777777</v>
      </c>
      <c r="BD89" s="476">
        <f t="shared" si="80"/>
        <v>0.99026425591098766</v>
      </c>
      <c r="BE89" s="476">
        <f t="shared" si="80"/>
        <v>0.99565217391304328</v>
      </c>
      <c r="BF89" s="476">
        <f t="shared" si="80"/>
        <v>1.0223880597014925</v>
      </c>
      <c r="BG89" s="475">
        <f t="shared" si="80"/>
        <v>1.0199335548172759</v>
      </c>
      <c r="BH89" s="476">
        <f t="shared" si="80"/>
        <v>1.0174262734584449</v>
      </c>
      <c r="BI89" s="476">
        <f t="shared" si="80"/>
        <v>1.062583222370173</v>
      </c>
      <c r="BJ89" s="476">
        <f t="shared" si="80"/>
        <v>0.94177215189873409</v>
      </c>
      <c r="BK89" s="476">
        <f t="shared" si="80"/>
        <v>1.0207522697795073</v>
      </c>
      <c r="BL89" s="475">
        <f t="shared" si="80"/>
        <v>1.0098103335513406</v>
      </c>
      <c r="BM89" s="476">
        <f t="shared" si="80"/>
        <v>1.0799031476997578</v>
      </c>
      <c r="BN89" s="476">
        <f t="shared" si="80"/>
        <v>1.0066225165562914</v>
      </c>
      <c r="BO89" s="476">
        <f t="shared" si="80"/>
        <v>0.95</v>
      </c>
      <c r="BP89" s="476">
        <f t="shared" si="80"/>
        <v>1.0061576354679802</v>
      </c>
      <c r="BQ89" s="475">
        <f t="shared" si="80"/>
        <v>1.0114320096269556</v>
      </c>
      <c r="BR89" s="476">
        <f t="shared" si="80"/>
        <v>1.0822407628128725</v>
      </c>
      <c r="BS89" s="476">
        <f t="shared" si="80"/>
        <v>1.014985014985015</v>
      </c>
      <c r="BT89" s="476">
        <f t="shared" si="80"/>
        <v>0.99663299663299654</v>
      </c>
      <c r="BU89" s="476">
        <f t="shared" si="80"/>
        <v>1.0011494252873563</v>
      </c>
      <c r="BV89" s="475">
        <f t="shared" si="80"/>
        <v>1.0227714523743405</v>
      </c>
      <c r="BW89" s="476">
        <f t="shared" si="80"/>
        <v>1.0419847328244274</v>
      </c>
      <c r="BX89" s="476">
        <f t="shared" si="80"/>
        <v>1.0267558528428093</v>
      </c>
      <c r="BY89" s="476">
        <f t="shared" si="80"/>
        <v>1.0101010101010102</v>
      </c>
      <c r="BZ89" s="476">
        <f t="shared" si="80"/>
        <v>1.0236051502145922</v>
      </c>
      <c r="CA89" s="475">
        <f t="shared" si="80"/>
        <v>1.0250998288648032</v>
      </c>
      <c r="CB89" s="476">
        <f t="shared" si="80"/>
        <v>1.1043689320388348</v>
      </c>
      <c r="CC89" s="476">
        <f t="shared" si="80"/>
        <v>0.96476683937823826</v>
      </c>
      <c r="CD89" s="476">
        <f t="shared" si="80"/>
        <v>0.95854922279792742</v>
      </c>
      <c r="CE89" s="476">
        <f t="shared" si="80"/>
        <v>1.0146137787056368</v>
      </c>
      <c r="CF89" s="475">
        <f t="shared" ref="CF89:CS89" si="81">IF(ISERROR(CF79/CF$86),"",CF79/CF$86)</f>
        <v>1.0070043103448276</v>
      </c>
      <c r="CG89" s="476">
        <f t="shared" si="81"/>
        <v>1.0943579766536966</v>
      </c>
      <c r="CH89" s="476">
        <f t="shared" si="81"/>
        <v>0.97132927888792353</v>
      </c>
      <c r="CI89" s="476">
        <f t="shared" si="81"/>
        <v>0.91082802547770703</v>
      </c>
      <c r="CJ89" s="476">
        <f t="shared" si="81"/>
        <v>0.8921971252566735</v>
      </c>
      <c r="CK89" s="475">
        <f t="shared" si="81"/>
        <v>0.96730950141110073</v>
      </c>
      <c r="CL89" s="476">
        <f t="shared" si="81"/>
        <v>1.3926940639269405</v>
      </c>
      <c r="CM89" s="476">
        <f t="shared" si="81"/>
        <v>1.4703611237809375</v>
      </c>
      <c r="CN89" s="476">
        <f t="shared" si="81"/>
        <v>1.1822882525144072</v>
      </c>
      <c r="CO89" s="476">
        <f t="shared" si="81"/>
        <v>1.0727808922323121</v>
      </c>
      <c r="CP89" s="475">
        <f t="shared" si="81"/>
        <v>1.2586113701402215</v>
      </c>
      <c r="CQ89" s="475">
        <f t="shared" si="81"/>
        <v>1.1009558875901477</v>
      </c>
      <c r="CR89" s="475">
        <f t="shared" si="81"/>
        <v>1.0519648890378503</v>
      </c>
      <c r="CS89" s="475">
        <f t="shared" si="81"/>
        <v>1.0151828099019589</v>
      </c>
    </row>
    <row r="90" spans="2:97">
      <c r="B90" s="433" t="s">
        <v>91</v>
      </c>
      <c r="C90" s="475"/>
      <c r="D90" s="475"/>
      <c r="E90" s="475"/>
      <c r="F90" s="475"/>
      <c r="G90" s="475"/>
      <c r="H90" s="475"/>
      <c r="I90" s="475"/>
      <c r="J90" s="476"/>
      <c r="K90" s="476"/>
      <c r="L90" s="476"/>
      <c r="M90" s="476"/>
      <c r="N90" s="475"/>
      <c r="O90" s="476"/>
      <c r="P90" s="476"/>
      <c r="Q90" s="476"/>
      <c r="R90" s="476"/>
      <c r="S90" s="475"/>
      <c r="T90" s="476">
        <f t="shared" ref="T90:AY90" si="82">IF(ISERROR(T80/T$86),"",T80/T$86)</f>
        <v>0.1375838926174496</v>
      </c>
      <c r="U90" s="476">
        <f t="shared" si="82"/>
        <v>0.17784256559766762</v>
      </c>
      <c r="V90" s="476">
        <f t="shared" si="82"/>
        <v>0.1828793774319066</v>
      </c>
      <c r="W90" s="476">
        <f t="shared" si="82"/>
        <v>0.38554216867469893</v>
      </c>
      <c r="X90" s="475">
        <f t="shared" si="82"/>
        <v>0.200187969924812</v>
      </c>
      <c r="Y90" s="476">
        <f t="shared" si="82"/>
        <v>0.16387959866220739</v>
      </c>
      <c r="Z90" s="476">
        <f t="shared" si="82"/>
        <v>0.15</v>
      </c>
      <c r="AA90" s="476">
        <f t="shared" si="82"/>
        <v>0.1622516556291391</v>
      </c>
      <c r="AB90" s="476">
        <f t="shared" si="82"/>
        <v>0.30769230769230732</v>
      </c>
      <c r="AC90" s="475">
        <f t="shared" si="82"/>
        <v>0.18537859007832894</v>
      </c>
      <c r="AD90" s="476">
        <f t="shared" si="82"/>
        <v>0.21978021978021978</v>
      </c>
      <c r="AE90" s="476">
        <f t="shared" si="82"/>
        <v>0.273037542662116</v>
      </c>
      <c r="AF90" s="476">
        <f t="shared" si="82"/>
        <v>0.17827298050139279</v>
      </c>
      <c r="AG90" s="476">
        <f t="shared" si="82"/>
        <v>0.15017064846416375</v>
      </c>
      <c r="AH90" s="475">
        <f t="shared" si="82"/>
        <v>0.20473644003055763</v>
      </c>
      <c r="AI90" s="476">
        <f t="shared" si="82"/>
        <v>0.2205513784461153</v>
      </c>
      <c r="AJ90" s="476">
        <f t="shared" si="82"/>
        <v>0.33333333333333331</v>
      </c>
      <c r="AK90" s="476">
        <f t="shared" si="82"/>
        <v>0.39795918367346933</v>
      </c>
      <c r="AL90" s="476">
        <f t="shared" si="82"/>
        <v>0.66206896551724148</v>
      </c>
      <c r="AM90" s="475">
        <f t="shared" si="82"/>
        <v>0.3481195756991321</v>
      </c>
      <c r="AN90" s="476">
        <f t="shared" si="82"/>
        <v>0.47899159663865548</v>
      </c>
      <c r="AO90" s="476">
        <f t="shared" si="82"/>
        <v>0.26419753086419751</v>
      </c>
      <c r="AP90" s="476">
        <f t="shared" si="82"/>
        <v>0.34492753623188405</v>
      </c>
      <c r="AQ90" s="476">
        <f t="shared" si="82"/>
        <v>0.37741935483870986</v>
      </c>
      <c r="AR90" s="475">
        <f t="shared" si="82"/>
        <v>0.35208012326656396</v>
      </c>
      <c r="AS90" s="476">
        <f t="shared" si="82"/>
        <v>0.26483050847457629</v>
      </c>
      <c r="AT90" s="476">
        <f t="shared" si="82"/>
        <v>0.24089068825910934</v>
      </c>
      <c r="AU90" s="476">
        <f t="shared" si="82"/>
        <v>0.35217391304347823</v>
      </c>
      <c r="AV90" s="476">
        <f t="shared" si="82"/>
        <v>0.2226720647773279</v>
      </c>
      <c r="AW90" s="475">
        <f t="shared" si="82"/>
        <v>0.26874999999999999</v>
      </c>
      <c r="AX90" s="476">
        <f t="shared" si="82"/>
        <v>0.19471947194719474</v>
      </c>
      <c r="AY90" s="476">
        <f t="shared" si="82"/>
        <v>0.15832205683355885</v>
      </c>
      <c r="AZ90" s="476">
        <f t="shared" ref="AZ90:CE90" si="83">IF(ISERROR(AZ80/AZ$86),"",AZ80/AZ$86)</f>
        <v>0.24833333333333332</v>
      </c>
      <c r="BA90" s="476">
        <f t="shared" si="83"/>
        <v>0.22467771639042358</v>
      </c>
      <c r="BB90" s="475">
        <f t="shared" si="83"/>
        <v>0.20337620578778134</v>
      </c>
      <c r="BC90" s="476">
        <f t="shared" si="83"/>
        <v>0.21269841269841266</v>
      </c>
      <c r="BD90" s="476">
        <f t="shared" si="83"/>
        <v>0.21001390820584145</v>
      </c>
      <c r="BE90" s="476">
        <f t="shared" si="83"/>
        <v>0.21594202898550721</v>
      </c>
      <c r="BF90" s="476">
        <f t="shared" si="83"/>
        <v>0.23134328358208955</v>
      </c>
      <c r="BG90" s="475">
        <f t="shared" si="83"/>
        <v>0.21742340346991512</v>
      </c>
      <c r="BH90" s="476">
        <f t="shared" si="83"/>
        <v>0.21983914209115277</v>
      </c>
      <c r="BI90" s="476">
        <f t="shared" si="83"/>
        <v>0.23435419440745672</v>
      </c>
      <c r="BJ90" s="476">
        <f t="shared" si="83"/>
        <v>0.2113924050632911</v>
      </c>
      <c r="BK90" s="476">
        <f t="shared" si="83"/>
        <v>0.21141374837872895</v>
      </c>
      <c r="BL90" s="475">
        <f t="shared" si="83"/>
        <v>0.21909744931327665</v>
      </c>
      <c r="BM90" s="476">
        <f t="shared" si="83"/>
        <v>0.17796610169491522</v>
      </c>
      <c r="BN90" s="476">
        <f t="shared" si="83"/>
        <v>0.15894039735099336</v>
      </c>
      <c r="BO90" s="476">
        <f t="shared" si="83"/>
        <v>0.18205128205128204</v>
      </c>
      <c r="BP90" s="476">
        <f t="shared" si="83"/>
        <v>0.1539408866995074</v>
      </c>
      <c r="BQ90" s="475">
        <f t="shared" si="83"/>
        <v>0.16787003610108303</v>
      </c>
      <c r="BR90" s="476">
        <f t="shared" si="83"/>
        <v>0.14660309892729442</v>
      </c>
      <c r="BS90" s="476">
        <f t="shared" si="83"/>
        <v>0.11688311688311688</v>
      </c>
      <c r="BT90" s="476">
        <f t="shared" si="83"/>
        <v>0.14478114478114476</v>
      </c>
      <c r="BU90" s="476">
        <f t="shared" si="83"/>
        <v>0.15172413793103448</v>
      </c>
      <c r="BV90" s="475">
        <f t="shared" si="83"/>
        <v>0.13912801999444599</v>
      </c>
      <c r="BW90" s="476">
        <f t="shared" si="83"/>
        <v>0.16539440203562339</v>
      </c>
      <c r="BX90" s="476">
        <f t="shared" si="83"/>
        <v>0.13489409141583056</v>
      </c>
      <c r="BY90" s="476">
        <f t="shared" si="83"/>
        <v>0.13580246913580246</v>
      </c>
      <c r="BZ90" s="476">
        <f t="shared" si="83"/>
        <v>0.12339055793991416</v>
      </c>
      <c r="CA90" s="475">
        <f t="shared" si="83"/>
        <v>0.13890473474044499</v>
      </c>
      <c r="CB90" s="476">
        <f t="shared" si="83"/>
        <v>0.12014563106796117</v>
      </c>
      <c r="CC90" s="476">
        <f t="shared" si="83"/>
        <v>0.16476683937823836</v>
      </c>
      <c r="CD90" s="476">
        <f t="shared" si="83"/>
        <v>0.16062176165803108</v>
      </c>
      <c r="CE90" s="476">
        <f t="shared" si="83"/>
        <v>9.7077244258872666E-2</v>
      </c>
      <c r="CF90" s="475">
        <f t="shared" ref="CF90:CS90" si="84">IF(ISERROR(CF80/CF$86),"",CF80/CF$86)</f>
        <v>0.13631465517241378</v>
      </c>
      <c r="CG90" s="476">
        <f t="shared" si="84"/>
        <v>0.14396887159533076</v>
      </c>
      <c r="CH90" s="476">
        <f t="shared" si="84"/>
        <v>0.14161598609904433</v>
      </c>
      <c r="CI90" s="476">
        <f t="shared" si="84"/>
        <v>0.18471337579617836</v>
      </c>
      <c r="CJ90" s="476">
        <f t="shared" si="84"/>
        <v>0.21149897330595482</v>
      </c>
      <c r="CK90" s="475">
        <f t="shared" si="84"/>
        <v>0.16933207902163691</v>
      </c>
      <c r="CL90" s="476">
        <f t="shared" si="84"/>
        <v>9.8934550989345504E-2</v>
      </c>
      <c r="CM90" s="476">
        <f t="shared" si="84"/>
        <v>0.14988301644187269</v>
      </c>
      <c r="CN90" s="476">
        <f t="shared" si="84"/>
        <v>0.11486101802662582</v>
      </c>
      <c r="CO90" s="476">
        <f t="shared" si="84"/>
        <v>0.12675149882047823</v>
      </c>
      <c r="CP90" s="475">
        <f t="shared" si="84"/>
        <v>0.11521308489116978</v>
      </c>
      <c r="CQ90" s="475">
        <f t="shared" si="84"/>
        <v>0.15851694846225406</v>
      </c>
      <c r="CR90" s="475">
        <f t="shared" si="84"/>
        <v>0.16918531005558737</v>
      </c>
      <c r="CS90" s="475">
        <f t="shared" si="84"/>
        <v>0.17218293704936502</v>
      </c>
    </row>
    <row r="91" spans="2:97" hidden="1">
      <c r="B91" s="503" t="s">
        <v>102</v>
      </c>
      <c r="C91" s="504">
        <f t="shared" ref="C91:X91" si="85">IF(ISERROR(C81/C$86),"",C81/C$86)</f>
        <v>1.1006317276377562</v>
      </c>
      <c r="D91" s="504">
        <f t="shared" si="85"/>
        <v>0.74441852715761325</v>
      </c>
      <c r="E91" s="504">
        <f t="shared" si="85"/>
        <v>0.98693759071117571</v>
      </c>
      <c r="F91" s="504">
        <f t="shared" si="85"/>
        <v>0.90848806366047741</v>
      </c>
      <c r="G91" s="504">
        <f t="shared" si="85"/>
        <v>-0.22074636306135356</v>
      </c>
      <c r="H91" s="504">
        <f t="shared" si="85"/>
        <v>1.0930232558139532</v>
      </c>
      <c r="I91" s="504">
        <f t="shared" si="85"/>
        <v>1.1557093425605536</v>
      </c>
      <c r="J91" s="505">
        <f t="shared" si="85"/>
        <v>0.95358649789029526</v>
      </c>
      <c r="K91" s="505">
        <f t="shared" si="85"/>
        <v>1.0501930501930503</v>
      </c>
      <c r="L91" s="505">
        <f t="shared" si="85"/>
        <v>1.0268817204301075</v>
      </c>
      <c r="M91" s="505">
        <f t="shared" si="85"/>
        <v>0.98058252427184434</v>
      </c>
      <c r="N91" s="504">
        <f t="shared" si="85"/>
        <v>1.0033783783783781</v>
      </c>
      <c r="O91" s="505">
        <f t="shared" si="85"/>
        <v>0.85410334346504546</v>
      </c>
      <c r="P91" s="505">
        <f t="shared" si="85"/>
        <v>0.85094850948509471</v>
      </c>
      <c r="Q91" s="505">
        <f t="shared" si="85"/>
        <v>2.7126436781609198</v>
      </c>
      <c r="R91" s="505">
        <f t="shared" si="85"/>
        <v>0.81322957198443546</v>
      </c>
      <c r="S91" s="504">
        <f t="shared" si="85"/>
        <v>0.99808061420345484</v>
      </c>
      <c r="T91" s="505">
        <f t="shared" si="85"/>
        <v>1.0033557046979866</v>
      </c>
      <c r="U91" s="505">
        <f t="shared" si="85"/>
        <v>0.95043731778425644</v>
      </c>
      <c r="V91" s="505">
        <f t="shared" si="85"/>
        <v>0.97276264591439676</v>
      </c>
      <c r="W91" s="505">
        <f t="shared" si="85"/>
        <v>1.0602409638554218</v>
      </c>
      <c r="X91" s="504">
        <f t="shared" si="85"/>
        <v>0.98778195488721798</v>
      </c>
      <c r="Y91" s="505"/>
      <c r="Z91" s="505"/>
      <c r="AA91" s="505"/>
      <c r="AB91" s="505"/>
      <c r="AC91" s="504"/>
      <c r="AD91" s="505"/>
      <c r="AE91" s="505"/>
      <c r="AF91" s="505"/>
      <c r="AG91" s="505"/>
      <c r="AH91" s="504"/>
      <c r="AI91" s="505"/>
      <c r="AJ91" s="505"/>
      <c r="AK91" s="505"/>
      <c r="AL91" s="505"/>
      <c r="AM91" s="504"/>
      <c r="AN91" s="505"/>
      <c r="AO91" s="505"/>
      <c r="AP91" s="505"/>
      <c r="AQ91" s="505"/>
      <c r="AR91" s="504"/>
      <c r="AS91" s="505"/>
      <c r="AT91" s="505"/>
      <c r="AU91" s="505"/>
      <c r="AV91" s="505"/>
      <c r="AW91" s="504"/>
      <c r="AX91" s="505"/>
      <c r="AY91" s="505"/>
      <c r="AZ91" s="505"/>
      <c r="BA91" s="505"/>
      <c r="BB91" s="504"/>
      <c r="BC91" s="505"/>
      <c r="BD91" s="505"/>
      <c r="BE91" s="505"/>
      <c r="BF91" s="505"/>
      <c r="BG91" s="504"/>
      <c r="BH91" s="505"/>
      <c r="BI91" s="505"/>
      <c r="BJ91" s="505"/>
      <c r="BK91" s="505"/>
      <c r="BL91" s="504"/>
      <c r="BM91" s="505"/>
      <c r="BN91" s="505"/>
      <c r="BO91" s="505"/>
      <c r="BP91" s="505"/>
      <c r="BQ91" s="504"/>
      <c r="BR91" s="505"/>
      <c r="BS91" s="505"/>
      <c r="BT91" s="505"/>
      <c r="BU91" s="505"/>
      <c r="BV91" s="504"/>
      <c r="BW91" s="505"/>
      <c r="BX91" s="505"/>
      <c r="BY91" s="505"/>
      <c r="BZ91" s="505"/>
      <c r="CA91" s="504"/>
      <c r="CB91" s="505"/>
      <c r="CC91" s="505"/>
      <c r="CD91" s="505"/>
      <c r="CE91" s="505"/>
      <c r="CF91" s="504"/>
      <c r="CG91" s="505"/>
      <c r="CH91" s="505"/>
      <c r="CI91" s="505"/>
      <c r="CJ91" s="505"/>
      <c r="CK91" s="504"/>
      <c r="CL91" s="505"/>
      <c r="CM91" s="505"/>
      <c r="CN91" s="505"/>
      <c r="CO91" s="505"/>
      <c r="CP91" s="504"/>
      <c r="CQ91" s="504"/>
      <c r="CR91" s="504"/>
      <c r="CS91" s="504"/>
    </row>
    <row r="92" spans="2:97" hidden="1">
      <c r="B92" s="433" t="s">
        <v>103</v>
      </c>
      <c r="C92" s="475">
        <f t="shared" ref="C92:X92" si="86">IF(ISERROR(C82/C$86),"",C82/C$86)</f>
        <v>0.52838850595759668</v>
      </c>
      <c r="D92" s="475">
        <f t="shared" si="86"/>
        <v>0.49071676962380001</v>
      </c>
      <c r="E92" s="475">
        <f t="shared" si="86"/>
        <v>0.48911465892597977</v>
      </c>
      <c r="F92" s="475">
        <f t="shared" si="86"/>
        <v>0.61273209549071617</v>
      </c>
      <c r="G92" s="475">
        <f t="shared" si="86"/>
        <v>-4.712207463630614E-2</v>
      </c>
      <c r="H92" s="475">
        <f t="shared" si="86"/>
        <v>0.32558139534883718</v>
      </c>
      <c r="I92" s="475">
        <f t="shared" si="86"/>
        <v>0.28027681660899656</v>
      </c>
      <c r="J92" s="476">
        <f t="shared" si="86"/>
        <v>0.32067510548523204</v>
      </c>
      <c r="K92" s="476">
        <f t="shared" si="86"/>
        <v>0.50193050193050193</v>
      </c>
      <c r="L92" s="476">
        <f t="shared" si="86"/>
        <v>0.532258064516129</v>
      </c>
      <c r="M92" s="476">
        <f t="shared" si="86"/>
        <v>0.44660194174757306</v>
      </c>
      <c r="N92" s="475">
        <f t="shared" si="86"/>
        <v>0.447072072072072</v>
      </c>
      <c r="O92" s="476">
        <f t="shared" si="86"/>
        <v>0.36778115501519748</v>
      </c>
      <c r="P92" s="476">
        <f t="shared" si="86"/>
        <v>0.31436314363143625</v>
      </c>
      <c r="Q92" s="476">
        <f t="shared" si="86"/>
        <v>1.0574712643678161</v>
      </c>
      <c r="R92" s="476">
        <f t="shared" si="86"/>
        <v>0.39299610894941611</v>
      </c>
      <c r="S92" s="475">
        <f t="shared" si="86"/>
        <v>0.41266794625719766</v>
      </c>
      <c r="T92" s="476">
        <f t="shared" si="86"/>
        <v>0.26510067114093966</v>
      </c>
      <c r="U92" s="476">
        <f t="shared" si="86"/>
        <v>0.2040816326530612</v>
      </c>
      <c r="V92" s="476">
        <f t="shared" si="86"/>
        <v>0.29182879377431903</v>
      </c>
      <c r="W92" s="476">
        <f t="shared" si="86"/>
        <v>0.21686746987951824</v>
      </c>
      <c r="X92" s="475">
        <f t="shared" si="86"/>
        <v>0.24436090225563908</v>
      </c>
      <c r="Y92" s="476"/>
      <c r="Z92" s="476"/>
      <c r="AA92" s="476"/>
      <c r="AB92" s="476"/>
      <c r="AC92" s="475"/>
      <c r="AD92" s="476"/>
      <c r="AE92" s="476"/>
      <c r="AF92" s="476"/>
      <c r="AG92" s="476"/>
      <c r="AH92" s="475"/>
      <c r="AI92" s="476"/>
      <c r="AJ92" s="476"/>
      <c r="AK92" s="476"/>
      <c r="AL92" s="476"/>
      <c r="AM92" s="475"/>
      <c r="AN92" s="476"/>
      <c r="AO92" s="476"/>
      <c r="AP92" s="476"/>
      <c r="AQ92" s="476"/>
      <c r="AR92" s="475"/>
      <c r="AS92" s="476"/>
      <c r="AT92" s="476"/>
      <c r="AU92" s="476"/>
      <c r="AV92" s="476"/>
      <c r="AW92" s="475"/>
      <c r="AX92" s="476"/>
      <c r="AY92" s="476"/>
      <c r="AZ92" s="476"/>
      <c r="BA92" s="476"/>
      <c r="BB92" s="475"/>
      <c r="BC92" s="476"/>
      <c r="BD92" s="476"/>
      <c r="BE92" s="476"/>
      <c r="BF92" s="476"/>
      <c r="BG92" s="475"/>
      <c r="BH92" s="476"/>
      <c r="BI92" s="476"/>
      <c r="BJ92" s="476"/>
      <c r="BK92" s="476"/>
      <c r="BL92" s="475"/>
      <c r="BM92" s="476"/>
      <c r="BN92" s="476"/>
      <c r="BO92" s="476"/>
      <c r="BP92" s="476"/>
      <c r="BQ92" s="475"/>
      <c r="BR92" s="476"/>
      <c r="BS92" s="476"/>
      <c r="BT92" s="476"/>
      <c r="BU92" s="476"/>
      <c r="BV92" s="475"/>
      <c r="BW92" s="476"/>
      <c r="BX92" s="476"/>
      <c r="BY92" s="476"/>
      <c r="BZ92" s="476"/>
      <c r="CA92" s="475"/>
      <c r="CB92" s="476"/>
      <c r="CC92" s="476"/>
      <c r="CD92" s="476"/>
      <c r="CE92" s="476"/>
      <c r="CF92" s="475"/>
      <c r="CG92" s="476"/>
      <c r="CH92" s="476"/>
      <c r="CI92" s="476"/>
      <c r="CJ92" s="476"/>
      <c r="CK92" s="475"/>
      <c r="CL92" s="476"/>
      <c r="CM92" s="476"/>
      <c r="CN92" s="476"/>
      <c r="CO92" s="476"/>
      <c r="CP92" s="475"/>
      <c r="CQ92" s="475"/>
      <c r="CR92" s="475"/>
      <c r="CS92" s="475"/>
    </row>
    <row r="93" spans="2:97" hidden="1">
      <c r="B93" s="494" t="s">
        <v>104</v>
      </c>
      <c r="C93" s="506">
        <f t="shared" ref="C93:X93" si="87">IF(ISERROR(C83/C$86),"",C83/C$86)</f>
        <v>0.19229109172476017</v>
      </c>
      <c r="D93" s="506">
        <f t="shared" si="87"/>
        <v>0.13678346534061278</v>
      </c>
      <c r="E93" s="506">
        <f t="shared" si="87"/>
        <v>0.32510885341074025</v>
      </c>
      <c r="F93" s="506">
        <f t="shared" si="87"/>
        <v>7.9575596816976124E-2</v>
      </c>
      <c r="G93" s="506">
        <f t="shared" si="87"/>
        <v>-7.5901328273244783E-3</v>
      </c>
      <c r="H93" s="506">
        <f t="shared" si="87"/>
        <v>6.6445182724252485E-3</v>
      </c>
      <c r="I93" s="506">
        <f t="shared" si="87"/>
        <v>3.4602076124567477E-2</v>
      </c>
      <c r="J93" s="507">
        <f t="shared" si="87"/>
        <v>2.1097046413502109E-2</v>
      </c>
      <c r="K93" s="507">
        <f t="shared" si="87"/>
        <v>3.0888030888030892E-2</v>
      </c>
      <c r="L93" s="507">
        <f t="shared" si="87"/>
        <v>5.3763440860215048E-2</v>
      </c>
      <c r="M93" s="507">
        <f t="shared" si="87"/>
        <v>7.2815533980582547E-2</v>
      </c>
      <c r="N93" s="506">
        <f t="shared" si="87"/>
        <v>4.2792792792792779E-2</v>
      </c>
      <c r="O93" s="507">
        <f t="shared" si="87"/>
        <v>3.3434650455927049E-2</v>
      </c>
      <c r="P93" s="507">
        <f t="shared" si="87"/>
        <v>5.9620596205962058E-2</v>
      </c>
      <c r="Q93" s="507">
        <f t="shared" si="87"/>
        <v>0.18390804597701152</v>
      </c>
      <c r="R93" s="507">
        <f t="shared" si="87"/>
        <v>0.12062256809338512</v>
      </c>
      <c r="S93" s="506">
        <f t="shared" si="87"/>
        <v>7.6775431861804216E-2</v>
      </c>
      <c r="T93" s="507">
        <f t="shared" si="87"/>
        <v>8.724832214765102E-2</v>
      </c>
      <c r="U93" s="507">
        <f t="shared" si="87"/>
        <v>0.10495626822157433</v>
      </c>
      <c r="V93" s="507">
        <f t="shared" si="87"/>
        <v>0.14007782101167313</v>
      </c>
      <c r="W93" s="507">
        <f t="shared" si="87"/>
        <v>0.21686746987951813</v>
      </c>
      <c r="X93" s="506">
        <f t="shared" si="87"/>
        <v>0.12593984962406016</v>
      </c>
      <c r="Y93" s="507"/>
      <c r="Z93" s="507"/>
      <c r="AA93" s="507"/>
      <c r="AB93" s="507"/>
      <c r="AC93" s="506"/>
      <c r="AD93" s="507"/>
      <c r="AE93" s="507"/>
      <c r="AF93" s="507"/>
      <c r="AG93" s="507"/>
      <c r="AH93" s="506"/>
      <c r="AI93" s="507"/>
      <c r="AJ93" s="507"/>
      <c r="AK93" s="507"/>
      <c r="AL93" s="507"/>
      <c r="AM93" s="506"/>
      <c r="AN93" s="507"/>
      <c r="AO93" s="507"/>
      <c r="AP93" s="507"/>
      <c r="AQ93" s="507"/>
      <c r="AR93" s="506"/>
      <c r="AS93" s="507"/>
      <c r="AT93" s="507"/>
      <c r="AU93" s="507"/>
      <c r="AV93" s="507"/>
      <c r="AW93" s="506"/>
      <c r="AX93" s="507"/>
      <c r="AY93" s="507"/>
      <c r="AZ93" s="507"/>
      <c r="BA93" s="507"/>
      <c r="BB93" s="506"/>
      <c r="BC93" s="507"/>
      <c r="BD93" s="507"/>
      <c r="BE93" s="507"/>
      <c r="BF93" s="507"/>
      <c r="BG93" s="506"/>
      <c r="BH93" s="507"/>
      <c r="BI93" s="507"/>
      <c r="BJ93" s="507"/>
      <c r="BK93" s="507"/>
      <c r="BL93" s="506"/>
      <c r="BM93" s="507"/>
      <c r="BN93" s="507"/>
      <c r="BO93" s="507"/>
      <c r="BP93" s="507"/>
      <c r="BQ93" s="506"/>
      <c r="BR93" s="507"/>
      <c r="BS93" s="507"/>
      <c r="BT93" s="507"/>
      <c r="BU93" s="507"/>
      <c r="BV93" s="506"/>
      <c r="BW93" s="507"/>
      <c r="BX93" s="507"/>
      <c r="BY93" s="507"/>
      <c r="BZ93" s="507"/>
      <c r="CA93" s="506"/>
      <c r="CB93" s="507"/>
      <c r="CC93" s="507"/>
      <c r="CD93" s="507"/>
      <c r="CE93" s="507"/>
      <c r="CF93" s="506"/>
      <c r="CG93" s="507"/>
      <c r="CH93" s="507"/>
      <c r="CI93" s="507"/>
      <c r="CJ93" s="507"/>
      <c r="CK93" s="506"/>
      <c r="CL93" s="507"/>
      <c r="CM93" s="507"/>
      <c r="CN93" s="507"/>
      <c r="CO93" s="507"/>
      <c r="CP93" s="506"/>
      <c r="CQ93" s="506"/>
      <c r="CR93" s="506"/>
      <c r="CS93" s="506"/>
    </row>
    <row r="94" spans="2:97">
      <c r="B94" s="433" t="s">
        <v>92</v>
      </c>
      <c r="C94" s="475">
        <f t="shared" ref="C94:AH94" si="88">IF(ISERROR(C85/C$86),"",C85/C$86)</f>
        <v>-0.82131132532011319</v>
      </c>
      <c r="D94" s="475">
        <f t="shared" si="88"/>
        <v>-0.3719187621220259</v>
      </c>
      <c r="E94" s="475">
        <f t="shared" si="88"/>
        <v>-0.80116110304789567</v>
      </c>
      <c r="F94" s="475">
        <f t="shared" si="88"/>
        <v>-0.6007957559681697</v>
      </c>
      <c r="G94" s="475">
        <f t="shared" si="88"/>
        <v>1.2754585705249843</v>
      </c>
      <c r="H94" s="475">
        <f t="shared" si="88"/>
        <v>-0.4252491694352159</v>
      </c>
      <c r="I94" s="475">
        <f t="shared" si="88"/>
        <v>-0.47058823529411764</v>
      </c>
      <c r="J94" s="476">
        <f t="shared" si="88"/>
        <v>-0.29535864978902948</v>
      </c>
      <c r="K94" s="476">
        <f t="shared" si="88"/>
        <v>-0.58301158301158307</v>
      </c>
      <c r="L94" s="476">
        <f t="shared" si="88"/>
        <v>-0.61290322580645162</v>
      </c>
      <c r="M94" s="476">
        <f t="shared" si="88"/>
        <v>-0.5</v>
      </c>
      <c r="N94" s="475">
        <f t="shared" si="88"/>
        <v>-0.49324324324324309</v>
      </c>
      <c r="O94" s="476">
        <f t="shared" si="88"/>
        <v>-0.25531914893617019</v>
      </c>
      <c r="P94" s="476">
        <f t="shared" si="88"/>
        <v>-0.2249322493224932</v>
      </c>
      <c r="Q94" s="476">
        <f t="shared" si="88"/>
        <v>-2.9540229885057472</v>
      </c>
      <c r="R94" s="476">
        <f t="shared" si="88"/>
        <v>-0.3268482490272368</v>
      </c>
      <c r="S94" s="475">
        <f t="shared" si="88"/>
        <v>-0.4875239923224568</v>
      </c>
      <c r="T94" s="476">
        <f t="shared" si="88"/>
        <v>-0.35570469798657722</v>
      </c>
      <c r="U94" s="476">
        <f t="shared" si="88"/>
        <v>-0.25947521865889212</v>
      </c>
      <c r="V94" s="476">
        <f t="shared" si="88"/>
        <v>-0.40466926070038906</v>
      </c>
      <c r="W94" s="476">
        <f t="shared" si="88"/>
        <v>-0.49397590361445814</v>
      </c>
      <c r="X94" s="475">
        <f t="shared" si="88"/>
        <v>-0.35808270676691728</v>
      </c>
      <c r="Y94" s="476">
        <f t="shared" si="88"/>
        <v>-0.39799331103678931</v>
      </c>
      <c r="Z94" s="476">
        <f t="shared" si="88"/>
        <v>-0.27352941176470591</v>
      </c>
      <c r="AA94" s="476">
        <f t="shared" si="88"/>
        <v>-0.28476821192052981</v>
      </c>
      <c r="AB94" s="476">
        <f t="shared" si="88"/>
        <v>-0.93269230769230582</v>
      </c>
      <c r="AC94" s="475">
        <f t="shared" si="88"/>
        <v>-0.42819843342036529</v>
      </c>
      <c r="AD94" s="476">
        <f t="shared" si="88"/>
        <v>-0.43956043956043955</v>
      </c>
      <c r="AE94" s="476">
        <f t="shared" si="88"/>
        <v>-0.6279863481228668</v>
      </c>
      <c r="AF94" s="476">
        <f t="shared" si="88"/>
        <v>-0.26740947075208915</v>
      </c>
      <c r="AG94" s="476">
        <f t="shared" si="88"/>
        <v>-0.36518771331057998</v>
      </c>
      <c r="AH94" s="475">
        <f t="shared" si="88"/>
        <v>-0.4178762414056531</v>
      </c>
      <c r="AI94" s="476">
        <f t="shared" ref="AI94:BN94" si="89">IF(ISERROR(AI85/AI$86),"",AI85/AI$86)</f>
        <v>-0.34837092731829578</v>
      </c>
      <c r="AJ94" s="476">
        <f t="shared" si="89"/>
        <v>-0.35353535353535348</v>
      </c>
      <c r="AK94" s="476">
        <f t="shared" si="89"/>
        <v>-0.45918367346938771</v>
      </c>
      <c r="AL94" s="476">
        <f t="shared" si="89"/>
        <v>-0.71724137931034493</v>
      </c>
      <c r="AM94" s="475">
        <f t="shared" si="89"/>
        <v>-0.42237222757955639</v>
      </c>
      <c r="AN94" s="476">
        <f t="shared" si="89"/>
        <v>-0.76470588235294112</v>
      </c>
      <c r="AO94" s="476">
        <f t="shared" si="89"/>
        <v>-0.32098765432098764</v>
      </c>
      <c r="AP94" s="476">
        <f t="shared" si="89"/>
        <v>-0.33913043478260868</v>
      </c>
      <c r="AQ94" s="476">
        <f t="shared" si="89"/>
        <v>-0.40645161290322596</v>
      </c>
      <c r="AR94" s="475">
        <f t="shared" si="89"/>
        <v>-0.42758089368258856</v>
      </c>
      <c r="AS94" s="476">
        <f t="shared" si="89"/>
        <v>-0.31991525423728817</v>
      </c>
      <c r="AT94" s="476">
        <f t="shared" si="89"/>
        <v>-0.22267206477732795</v>
      </c>
      <c r="AU94" s="476">
        <f t="shared" si="89"/>
        <v>-0.33260869565217394</v>
      </c>
      <c r="AV94" s="476">
        <f t="shared" si="89"/>
        <v>-0.25708502024291496</v>
      </c>
      <c r="AW94" s="475">
        <f t="shared" si="89"/>
        <v>-0.28177083333333336</v>
      </c>
      <c r="AX94" s="476">
        <f t="shared" si="89"/>
        <v>-0.28052805280528054</v>
      </c>
      <c r="AY94" s="476">
        <f t="shared" si="89"/>
        <v>-0.25304465493910688</v>
      </c>
      <c r="AZ94" s="476">
        <f t="shared" si="89"/>
        <v>-0.19833333333333331</v>
      </c>
      <c r="BA94" s="476">
        <f t="shared" si="89"/>
        <v>-0.2117863720073665</v>
      </c>
      <c r="BB94" s="475">
        <f t="shared" si="89"/>
        <v>-0.23754019292604503</v>
      </c>
      <c r="BC94" s="476">
        <f t="shared" si="89"/>
        <v>-0.29047619047619044</v>
      </c>
      <c r="BD94" s="476">
        <f t="shared" si="89"/>
        <v>-0.20027816411682894</v>
      </c>
      <c r="BE94" s="476">
        <f t="shared" si="89"/>
        <v>-0.21159420289855069</v>
      </c>
      <c r="BF94" s="476">
        <f t="shared" si="89"/>
        <v>-0.2537313432835821</v>
      </c>
      <c r="BG94" s="475">
        <f t="shared" si="89"/>
        <v>-0.23735695828719092</v>
      </c>
      <c r="BH94" s="476">
        <f t="shared" si="89"/>
        <v>-0.23726541554959782</v>
      </c>
      <c r="BI94" s="476">
        <f t="shared" si="89"/>
        <v>-0.2969374167776298</v>
      </c>
      <c r="BJ94" s="476">
        <f t="shared" si="89"/>
        <v>-0.15316455696202527</v>
      </c>
      <c r="BK94" s="476">
        <f t="shared" si="89"/>
        <v>-0.23216601815823606</v>
      </c>
      <c r="BL94" s="475">
        <f t="shared" si="89"/>
        <v>-0.22890778286461738</v>
      </c>
      <c r="BM94" s="476">
        <f t="shared" si="89"/>
        <v>-0.25786924939467309</v>
      </c>
      <c r="BN94" s="476">
        <f t="shared" si="89"/>
        <v>-0.16556291390728475</v>
      </c>
      <c r="BO94" s="476">
        <f t="shared" ref="BO94:CS94" si="90">IF(ISERROR(BO85/BO$86),"",BO85/BO$86)</f>
        <v>-0.13205128205128205</v>
      </c>
      <c r="BP94" s="476">
        <f t="shared" si="90"/>
        <v>-0.16009852216748768</v>
      </c>
      <c r="BQ94" s="475">
        <f t="shared" si="90"/>
        <v>-0.17930204572803851</v>
      </c>
      <c r="BR94" s="476">
        <f t="shared" si="90"/>
        <v>-0.22884386174016688</v>
      </c>
      <c r="BS94" s="476">
        <f t="shared" si="90"/>
        <v>-0.13186813186813187</v>
      </c>
      <c r="BT94" s="476">
        <f t="shared" si="90"/>
        <v>-0.14141414141414141</v>
      </c>
      <c r="BU94" s="476">
        <f t="shared" si="90"/>
        <v>-0.15287356321839082</v>
      </c>
      <c r="BV94" s="475">
        <f t="shared" si="90"/>
        <v>-0.16189947236878646</v>
      </c>
      <c r="BW94" s="476">
        <f t="shared" si="90"/>
        <v>-0.20737913486005088</v>
      </c>
      <c r="BX94" s="476">
        <f t="shared" si="90"/>
        <v>-0.16164994425863993</v>
      </c>
      <c r="BY94" s="476">
        <f t="shared" si="90"/>
        <v>-0.14590347923681257</v>
      </c>
      <c r="BZ94" s="476">
        <f t="shared" si="90"/>
        <v>-0.14699570815450644</v>
      </c>
      <c r="CA94" s="475">
        <f t="shared" si="90"/>
        <v>-0.16400456360524815</v>
      </c>
      <c r="CB94" s="476">
        <f t="shared" si="90"/>
        <v>-0.2245145631067961</v>
      </c>
      <c r="CC94" s="476">
        <f t="shared" si="90"/>
        <v>-0.12953367875647667</v>
      </c>
      <c r="CD94" s="476">
        <f t="shared" si="90"/>
        <v>-0.11917098445595854</v>
      </c>
      <c r="CE94" s="476">
        <f t="shared" si="90"/>
        <v>-0.11169102296450939</v>
      </c>
      <c r="CF94" s="475">
        <f t="shared" si="90"/>
        <v>-0.14331896551724138</v>
      </c>
      <c r="CG94" s="476">
        <f t="shared" si="90"/>
        <v>-0.23832684824902725</v>
      </c>
      <c r="CH94" s="476">
        <f t="shared" si="90"/>
        <v>-0.11294526498696786</v>
      </c>
      <c r="CI94" s="476">
        <f t="shared" si="90"/>
        <v>-9.5541401273885357E-2</v>
      </c>
      <c r="CJ94" s="476">
        <f t="shared" si="90"/>
        <v>-0.10369609856262833</v>
      </c>
      <c r="CK94" s="475">
        <f t="shared" si="90"/>
        <v>-0.13664158043273755</v>
      </c>
      <c r="CL94" s="476">
        <f t="shared" si="90"/>
        <v>-0.49162861491628607</v>
      </c>
      <c r="CM94" s="476">
        <f t="shared" si="90"/>
        <v>-0.62024414022281027</v>
      </c>
      <c r="CN94" s="476">
        <f t="shared" si="90"/>
        <v>-0.29714927054103313</v>
      </c>
      <c r="CO94" s="476">
        <f t="shared" si="90"/>
        <v>-0.19953239105279039</v>
      </c>
      <c r="CP94" s="475">
        <f t="shared" si="90"/>
        <v>-0.37382445503139144</v>
      </c>
      <c r="CQ94" s="475">
        <f t="shared" si="90"/>
        <v>-0.25947283605240162</v>
      </c>
      <c r="CR94" s="475">
        <f t="shared" si="90"/>
        <v>-0.22115019909343775</v>
      </c>
      <c r="CS94" s="475">
        <f t="shared" si="90"/>
        <v>-0.18736574695132382</v>
      </c>
    </row>
    <row r="95" spans="2:97">
      <c r="B95" s="463" t="s">
        <v>93</v>
      </c>
      <c r="C95" s="478">
        <f t="shared" ref="C95:T95" si="91">SUM(C91:C94)</f>
        <v>1</v>
      </c>
      <c r="D95" s="478">
        <f t="shared" si="91"/>
        <v>1.0000000000000002</v>
      </c>
      <c r="E95" s="478">
        <f t="shared" si="91"/>
        <v>1</v>
      </c>
      <c r="F95" s="478">
        <f t="shared" si="91"/>
        <v>0.99999999999999989</v>
      </c>
      <c r="G95" s="478">
        <f t="shared" si="91"/>
        <v>1.0000000000000002</v>
      </c>
      <c r="H95" s="478">
        <f t="shared" si="91"/>
        <v>0.99999999999999978</v>
      </c>
      <c r="I95" s="478">
        <f t="shared" si="91"/>
        <v>1</v>
      </c>
      <c r="J95" s="479">
        <f t="shared" si="91"/>
        <v>1</v>
      </c>
      <c r="K95" s="479">
        <f t="shared" si="91"/>
        <v>0.99999999999999989</v>
      </c>
      <c r="L95" s="479">
        <f t="shared" si="91"/>
        <v>0.99999999999999989</v>
      </c>
      <c r="M95" s="479">
        <f t="shared" si="91"/>
        <v>0.99999999999999978</v>
      </c>
      <c r="N95" s="478">
        <f t="shared" si="91"/>
        <v>0.99999999999999967</v>
      </c>
      <c r="O95" s="479">
        <f t="shared" si="91"/>
        <v>1</v>
      </c>
      <c r="P95" s="479">
        <f t="shared" si="91"/>
        <v>1</v>
      </c>
      <c r="Q95" s="479">
        <f t="shared" si="91"/>
        <v>1.0000000000000004</v>
      </c>
      <c r="R95" s="479">
        <f t="shared" si="91"/>
        <v>0.99999999999999978</v>
      </c>
      <c r="S95" s="478">
        <f t="shared" si="91"/>
        <v>0.99999999999999978</v>
      </c>
      <c r="T95" s="479">
        <f t="shared" si="91"/>
        <v>1</v>
      </c>
      <c r="U95" s="479">
        <f t="shared" ref="U95:AZ95" si="92">U89+U90+U94</f>
        <v>0.90670553935860043</v>
      </c>
      <c r="V95" s="479">
        <f t="shared" si="92"/>
        <v>0.92996108949416345</v>
      </c>
      <c r="W95" s="479">
        <f t="shared" si="92"/>
        <v>1.9277108433734953</v>
      </c>
      <c r="X95" s="478">
        <f t="shared" si="92"/>
        <v>1.1842105263157894</v>
      </c>
      <c r="Y95" s="479">
        <f t="shared" si="92"/>
        <v>1.0000000000000002</v>
      </c>
      <c r="Z95" s="479">
        <f t="shared" si="92"/>
        <v>0.99999999999999989</v>
      </c>
      <c r="AA95" s="479">
        <f t="shared" si="92"/>
        <v>1</v>
      </c>
      <c r="AB95" s="479">
        <f t="shared" si="92"/>
        <v>0.99999999999999989</v>
      </c>
      <c r="AC95" s="478">
        <f t="shared" si="92"/>
        <v>1</v>
      </c>
      <c r="AD95" s="479">
        <f t="shared" si="92"/>
        <v>1.0000000000000002</v>
      </c>
      <c r="AE95" s="479">
        <f t="shared" si="92"/>
        <v>1</v>
      </c>
      <c r="AF95" s="479">
        <f t="shared" si="92"/>
        <v>1</v>
      </c>
      <c r="AG95" s="479">
        <f t="shared" si="92"/>
        <v>0.99999999999999989</v>
      </c>
      <c r="AH95" s="478">
        <f t="shared" si="92"/>
        <v>0.99999999999999978</v>
      </c>
      <c r="AI95" s="479">
        <f t="shared" si="92"/>
        <v>1</v>
      </c>
      <c r="AJ95" s="479">
        <f t="shared" si="92"/>
        <v>0.99999999999999989</v>
      </c>
      <c r="AK95" s="479">
        <f t="shared" si="92"/>
        <v>1</v>
      </c>
      <c r="AL95" s="479">
        <f t="shared" si="92"/>
        <v>1</v>
      </c>
      <c r="AM95" s="478">
        <f t="shared" si="92"/>
        <v>0.99999999999999989</v>
      </c>
      <c r="AN95" s="479">
        <f t="shared" si="92"/>
        <v>1.0000000000000002</v>
      </c>
      <c r="AO95" s="479">
        <f t="shared" si="92"/>
        <v>0.99999999999999989</v>
      </c>
      <c r="AP95" s="479">
        <f t="shared" si="92"/>
        <v>0.99999999999999978</v>
      </c>
      <c r="AQ95" s="479">
        <f t="shared" si="92"/>
        <v>1</v>
      </c>
      <c r="AR95" s="478">
        <f t="shared" si="92"/>
        <v>0.99999999999999989</v>
      </c>
      <c r="AS95" s="479">
        <f t="shared" si="92"/>
        <v>1</v>
      </c>
      <c r="AT95" s="479">
        <f t="shared" si="92"/>
        <v>1</v>
      </c>
      <c r="AU95" s="479">
        <f t="shared" si="92"/>
        <v>1</v>
      </c>
      <c r="AV95" s="479">
        <f t="shared" si="92"/>
        <v>1</v>
      </c>
      <c r="AW95" s="478">
        <f t="shared" si="92"/>
        <v>1</v>
      </c>
      <c r="AX95" s="479">
        <f t="shared" si="92"/>
        <v>1.0000000000000002</v>
      </c>
      <c r="AY95" s="479">
        <f t="shared" si="92"/>
        <v>0.99999999999999989</v>
      </c>
      <c r="AZ95" s="479">
        <f t="shared" si="92"/>
        <v>1</v>
      </c>
      <c r="BA95" s="479">
        <f t="shared" ref="BA95:CF95" si="93">BA89+BA90+BA94</f>
        <v>1</v>
      </c>
      <c r="BB95" s="478">
        <f t="shared" si="93"/>
        <v>1</v>
      </c>
      <c r="BC95" s="479">
        <f t="shared" si="93"/>
        <v>0.99999999999999989</v>
      </c>
      <c r="BD95" s="479">
        <f t="shared" si="93"/>
        <v>1.0000000000000002</v>
      </c>
      <c r="BE95" s="479">
        <f t="shared" si="93"/>
        <v>0.99999999999999978</v>
      </c>
      <c r="BF95" s="479">
        <f t="shared" si="93"/>
        <v>1</v>
      </c>
      <c r="BG95" s="478">
        <f t="shared" si="93"/>
        <v>1.0000000000000002</v>
      </c>
      <c r="BH95" s="479">
        <f t="shared" si="93"/>
        <v>0.99999999999999989</v>
      </c>
      <c r="BI95" s="479">
        <f t="shared" si="93"/>
        <v>1</v>
      </c>
      <c r="BJ95" s="479">
        <f t="shared" si="93"/>
        <v>1</v>
      </c>
      <c r="BK95" s="479">
        <f t="shared" si="93"/>
        <v>1</v>
      </c>
      <c r="BL95" s="478">
        <f t="shared" si="93"/>
        <v>1</v>
      </c>
      <c r="BM95" s="479">
        <f t="shared" si="93"/>
        <v>1</v>
      </c>
      <c r="BN95" s="479">
        <f t="shared" si="93"/>
        <v>1</v>
      </c>
      <c r="BO95" s="479">
        <f t="shared" si="93"/>
        <v>1</v>
      </c>
      <c r="BP95" s="479">
        <f t="shared" si="93"/>
        <v>0.99999999999999989</v>
      </c>
      <c r="BQ95" s="478">
        <f t="shared" si="93"/>
        <v>1</v>
      </c>
      <c r="BR95" s="479">
        <f t="shared" si="93"/>
        <v>1</v>
      </c>
      <c r="BS95" s="479">
        <f t="shared" si="93"/>
        <v>1</v>
      </c>
      <c r="BT95" s="479">
        <f t="shared" si="93"/>
        <v>0.99999999999999978</v>
      </c>
      <c r="BU95" s="479">
        <f t="shared" si="93"/>
        <v>1</v>
      </c>
      <c r="BV95" s="478">
        <f t="shared" si="93"/>
        <v>1</v>
      </c>
      <c r="BW95" s="479">
        <f t="shared" si="93"/>
        <v>0.99999999999999978</v>
      </c>
      <c r="BX95" s="479">
        <f t="shared" si="93"/>
        <v>1</v>
      </c>
      <c r="BY95" s="479">
        <f t="shared" si="93"/>
        <v>1</v>
      </c>
      <c r="BZ95" s="479">
        <f t="shared" si="93"/>
        <v>0.99999999999999989</v>
      </c>
      <c r="CA95" s="478">
        <f t="shared" si="93"/>
        <v>1.0000000000000002</v>
      </c>
      <c r="CB95" s="479">
        <f t="shared" si="93"/>
        <v>0.99999999999999989</v>
      </c>
      <c r="CC95" s="479">
        <f t="shared" si="93"/>
        <v>1</v>
      </c>
      <c r="CD95" s="479">
        <f t="shared" si="93"/>
        <v>1</v>
      </c>
      <c r="CE95" s="479">
        <f t="shared" si="93"/>
        <v>1.0000000000000002</v>
      </c>
      <c r="CF95" s="478">
        <f t="shared" si="93"/>
        <v>1</v>
      </c>
      <c r="CG95" s="479">
        <f t="shared" ref="CG95:CS95" si="94">CG89+CG90+CG94</f>
        <v>1</v>
      </c>
      <c r="CH95" s="479">
        <f t="shared" si="94"/>
        <v>0.99999999999999989</v>
      </c>
      <c r="CI95" s="479">
        <f t="shared" si="94"/>
        <v>1</v>
      </c>
      <c r="CJ95" s="479">
        <f t="shared" si="94"/>
        <v>1</v>
      </c>
      <c r="CK95" s="478">
        <f t="shared" si="94"/>
        <v>1</v>
      </c>
      <c r="CL95" s="479">
        <f t="shared" si="94"/>
        <v>1</v>
      </c>
      <c r="CM95" s="479">
        <f t="shared" si="94"/>
        <v>1</v>
      </c>
      <c r="CN95" s="479">
        <f t="shared" si="94"/>
        <v>0.99999999999999989</v>
      </c>
      <c r="CO95" s="479">
        <f t="shared" si="94"/>
        <v>1</v>
      </c>
      <c r="CP95" s="478">
        <f t="shared" si="94"/>
        <v>1</v>
      </c>
      <c r="CQ95" s="478">
        <f t="shared" si="94"/>
        <v>1</v>
      </c>
      <c r="CR95" s="478">
        <f t="shared" si="94"/>
        <v>1</v>
      </c>
      <c r="CS95" s="478">
        <f t="shared" si="94"/>
        <v>1</v>
      </c>
    </row>
    <row r="96" spans="2:97">
      <c r="C96" s="475"/>
      <c r="D96" s="475"/>
      <c r="E96" s="475"/>
      <c r="F96" s="475"/>
      <c r="G96" s="475"/>
      <c r="H96" s="475"/>
      <c r="I96" s="475"/>
      <c r="J96" s="476"/>
      <c r="K96" s="476"/>
      <c r="L96" s="476"/>
      <c r="M96" s="476"/>
      <c r="N96" s="475"/>
      <c r="O96" s="476"/>
      <c r="P96" s="476"/>
      <c r="Q96" s="476"/>
      <c r="R96" s="476"/>
      <c r="S96" s="475"/>
      <c r="T96" s="476"/>
      <c r="U96" s="476"/>
      <c r="V96" s="476"/>
      <c r="W96" s="476"/>
      <c r="X96" s="475"/>
      <c r="Y96" s="476"/>
      <c r="Z96" s="476"/>
      <c r="AA96" s="476"/>
      <c r="AB96" s="476"/>
      <c r="AC96" s="475"/>
      <c r="AD96" s="476"/>
      <c r="AE96" s="476"/>
      <c r="AF96" s="476"/>
      <c r="AG96" s="476"/>
      <c r="AH96" s="475"/>
      <c r="AI96" s="476"/>
      <c r="AJ96" s="476"/>
      <c r="AK96" s="476"/>
      <c r="AL96" s="476"/>
      <c r="AM96" s="475"/>
      <c r="AN96" s="476"/>
      <c r="AO96" s="476"/>
      <c r="AP96" s="476"/>
      <c r="AQ96" s="476"/>
      <c r="AR96" s="475"/>
      <c r="AS96" s="476"/>
      <c r="AT96" s="476"/>
      <c r="AU96" s="476"/>
      <c r="AV96" s="476"/>
      <c r="AW96" s="475"/>
      <c r="AX96" s="476"/>
      <c r="AY96" s="476"/>
      <c r="AZ96" s="476"/>
      <c r="BA96" s="476"/>
      <c r="BB96" s="475"/>
      <c r="BC96" s="476"/>
      <c r="BD96" s="476"/>
      <c r="BE96" s="476"/>
      <c r="BF96" s="476"/>
      <c r="BG96" s="475"/>
      <c r="BH96" s="476"/>
      <c r="BI96" s="476"/>
      <c r="BJ96" s="476"/>
      <c r="BK96" s="476"/>
      <c r="BL96" s="475"/>
      <c r="BM96" s="476"/>
      <c r="BN96" s="476"/>
      <c r="BO96" s="476"/>
      <c r="BP96" s="476"/>
      <c r="BQ96" s="475"/>
      <c r="BR96" s="476"/>
      <c r="BS96" s="476"/>
      <c r="BT96" s="476"/>
      <c r="BU96" s="476"/>
      <c r="BV96" s="475"/>
      <c r="BW96" s="476"/>
      <c r="BX96" s="476"/>
      <c r="BY96" s="476"/>
      <c r="BZ96" s="476"/>
      <c r="CA96" s="475"/>
      <c r="CB96" s="476"/>
      <c r="CC96" s="476"/>
      <c r="CD96" s="476"/>
      <c r="CE96" s="476"/>
      <c r="CF96" s="475"/>
      <c r="CG96" s="476"/>
      <c r="CH96" s="476"/>
      <c r="CI96" s="476"/>
      <c r="CJ96" s="476"/>
      <c r="CK96" s="475"/>
      <c r="CL96" s="476"/>
      <c r="CM96" s="476"/>
      <c r="CN96" s="476"/>
      <c r="CO96" s="476"/>
      <c r="CP96" s="475"/>
      <c r="CQ96" s="475"/>
      <c r="CR96" s="475"/>
      <c r="CS96" s="475"/>
    </row>
    <row r="97" spans="2:97">
      <c r="B97" s="481" t="s">
        <v>123</v>
      </c>
      <c r="C97" s="475"/>
      <c r="D97" s="475"/>
      <c r="E97" s="475"/>
      <c r="F97" s="475"/>
      <c r="G97" s="475"/>
      <c r="H97" s="475"/>
      <c r="I97" s="475"/>
      <c r="J97" s="476"/>
      <c r="K97" s="476"/>
      <c r="L97" s="476"/>
      <c r="M97" s="476"/>
      <c r="N97" s="475"/>
      <c r="O97" s="476"/>
      <c r="P97" s="476"/>
      <c r="Q97" s="476"/>
      <c r="R97" s="476"/>
      <c r="S97" s="475"/>
      <c r="T97" s="476"/>
      <c r="U97" s="476"/>
      <c r="V97" s="476"/>
      <c r="W97" s="476"/>
      <c r="X97" s="475"/>
      <c r="Y97" s="476"/>
      <c r="Z97" s="476"/>
      <c r="AA97" s="476"/>
      <c r="AB97" s="476"/>
      <c r="AC97" s="475"/>
      <c r="AD97" s="476"/>
      <c r="AE97" s="476"/>
      <c r="AF97" s="476"/>
      <c r="AG97" s="476"/>
      <c r="AH97" s="475"/>
      <c r="AI97" s="476"/>
      <c r="AJ97" s="476"/>
      <c r="AK97" s="476"/>
      <c r="AL97" s="476"/>
      <c r="AM97" s="475"/>
      <c r="AN97" s="476"/>
      <c r="AO97" s="476"/>
      <c r="AP97" s="476"/>
      <c r="AQ97" s="508"/>
      <c r="AR97" s="509"/>
      <c r="AS97" s="508"/>
      <c r="AT97" s="508"/>
      <c r="AU97" s="508"/>
      <c r="AV97" s="508"/>
      <c r="AW97" s="509"/>
      <c r="AX97" s="508"/>
      <c r="AY97" s="508"/>
      <c r="AZ97" s="508"/>
      <c r="BA97" s="508"/>
      <c r="BB97" s="475"/>
      <c r="BC97" s="508"/>
      <c r="BD97" s="508"/>
      <c r="BE97" s="508"/>
      <c r="BF97" s="508"/>
      <c r="BG97" s="475"/>
      <c r="BH97" s="508"/>
      <c r="BI97" s="508"/>
      <c r="BJ97" s="508"/>
      <c r="BK97" s="508"/>
      <c r="BL97" s="475"/>
      <c r="BM97" s="508"/>
      <c r="BN97" s="508"/>
      <c r="BO97" s="508"/>
      <c r="BP97" s="508"/>
      <c r="BQ97" s="475"/>
      <c r="BR97" s="508"/>
      <c r="BS97" s="508"/>
      <c r="BT97" s="508"/>
      <c r="BU97" s="508"/>
      <c r="BV97" s="475"/>
      <c r="BW97" s="508"/>
      <c r="BX97" s="508"/>
      <c r="BY97" s="508"/>
      <c r="BZ97" s="508"/>
      <c r="CA97" s="475"/>
      <c r="CB97" s="508"/>
      <c r="CC97" s="508"/>
      <c r="CD97" s="508"/>
      <c r="CE97" s="508"/>
      <c r="CF97" s="475"/>
      <c r="CG97" s="508"/>
      <c r="CH97" s="508"/>
      <c r="CI97" s="508"/>
      <c r="CJ97" s="508"/>
      <c r="CK97" s="475"/>
      <c r="CL97" s="508"/>
      <c r="CM97" s="508"/>
      <c r="CN97" s="508"/>
      <c r="CO97" s="508"/>
      <c r="CP97" s="475"/>
      <c r="CQ97" s="475"/>
      <c r="CR97" s="475"/>
      <c r="CS97" s="475"/>
    </row>
    <row r="98" spans="2:97">
      <c r="B98" s="433" t="s">
        <v>90</v>
      </c>
      <c r="C98" s="486"/>
      <c r="D98" s="486"/>
      <c r="E98" s="486"/>
      <c r="F98" s="486"/>
      <c r="G98" s="486"/>
      <c r="H98" s="486"/>
      <c r="I98" s="486"/>
      <c r="J98" s="487"/>
      <c r="K98" s="487"/>
      <c r="L98" s="487"/>
      <c r="M98" s="487"/>
      <c r="N98" s="486"/>
      <c r="O98" s="487"/>
      <c r="P98" s="487"/>
      <c r="Q98" s="487"/>
      <c r="R98" s="487"/>
      <c r="S98" s="486"/>
      <c r="T98" s="487">
        <f t="shared" ref="T98:AY98" si="95">IF(ISERROR(T79/T13),"",(T79/T13))</f>
        <v>0.17899291896144764</v>
      </c>
      <c r="U98" s="487">
        <f t="shared" si="95"/>
        <v>0.14920774647887325</v>
      </c>
      <c r="V98" s="487">
        <f t="shared" si="95"/>
        <v>0.14467253176930597</v>
      </c>
      <c r="W98" s="487">
        <f t="shared" si="95"/>
        <v>0.132082844861274</v>
      </c>
      <c r="X98" s="486">
        <f t="shared" si="95"/>
        <v>0.15160845100329123</v>
      </c>
      <c r="Y98" s="487">
        <f t="shared" si="95"/>
        <v>0.15375</v>
      </c>
      <c r="Z98" s="487">
        <f t="shared" si="95"/>
        <v>0.15896795672076572</v>
      </c>
      <c r="AA98" s="487">
        <f t="shared" si="95"/>
        <v>0.14637305699481865</v>
      </c>
      <c r="AB98" s="487">
        <f t="shared" si="95"/>
        <v>0.12803030303030308</v>
      </c>
      <c r="AC98" s="486">
        <f t="shared" si="95"/>
        <v>0.14632646787580697</v>
      </c>
      <c r="AD98" s="487">
        <f t="shared" si="95"/>
        <v>0.15368639667705089</v>
      </c>
      <c r="AE98" s="487">
        <f t="shared" si="95"/>
        <v>0.13089350478074513</v>
      </c>
      <c r="AF98" s="487">
        <f t="shared" si="95"/>
        <v>0.14074874010079194</v>
      </c>
      <c r="AG98" s="487">
        <f t="shared" si="95"/>
        <v>0.14506927465362676</v>
      </c>
      <c r="AH98" s="486">
        <f t="shared" si="95"/>
        <v>0.14237045006275775</v>
      </c>
      <c r="AI98" s="487">
        <f t="shared" si="95"/>
        <v>0.17751479289940827</v>
      </c>
      <c r="AJ98" s="487">
        <f t="shared" si="95"/>
        <v>0.13760217983651227</v>
      </c>
      <c r="AK98" s="487">
        <f t="shared" si="95"/>
        <v>0.10297029702970298</v>
      </c>
      <c r="AL98" s="487">
        <f t="shared" si="95"/>
        <v>7.3522345026429611E-2</v>
      </c>
      <c r="AM98" s="486">
        <f t="shared" si="95"/>
        <v>0.12604661688164742</v>
      </c>
      <c r="AN98" s="487">
        <f t="shared" si="95"/>
        <v>0.14620162446249402</v>
      </c>
      <c r="AO98" s="487">
        <f t="shared" si="95"/>
        <v>0.17092651757188496</v>
      </c>
      <c r="AP98" s="487">
        <f t="shared" si="95"/>
        <v>0.1463310580204778</v>
      </c>
      <c r="AQ98" s="510">
        <f t="shared" si="95"/>
        <v>0.12806101967081487</v>
      </c>
      <c r="AR98" s="511">
        <f t="shared" si="95"/>
        <v>0.14800678541136555</v>
      </c>
      <c r="AS98" s="510">
        <f t="shared" si="95"/>
        <v>0.1843079200592154</v>
      </c>
      <c r="AT98" s="510">
        <f t="shared" si="95"/>
        <v>0.16683866529067767</v>
      </c>
      <c r="AU98" s="510">
        <f t="shared" si="95"/>
        <v>0.16281588447653431</v>
      </c>
      <c r="AV98" s="510">
        <f t="shared" si="95"/>
        <v>0.17596418732782371</v>
      </c>
      <c r="AW98" s="512">
        <f t="shared" si="95"/>
        <v>0.17238323141008599</v>
      </c>
      <c r="AX98" s="510">
        <f t="shared" si="95"/>
        <v>0.1981330924420355</v>
      </c>
      <c r="AY98" s="510">
        <f t="shared" si="95"/>
        <v>0.24396863691194209</v>
      </c>
      <c r="AZ98" s="510">
        <f t="shared" ref="AZ98:CE98" si="96">IF(ISERROR(AZ79/AZ13),"",(AZ79/AZ13))</f>
        <v>0.18158649251353937</v>
      </c>
      <c r="BA98" s="510">
        <f t="shared" si="96"/>
        <v>0.1728474685585295</v>
      </c>
      <c r="BB98" s="486">
        <f t="shared" si="96"/>
        <v>0.19981362118505863</v>
      </c>
      <c r="BC98" s="510">
        <f t="shared" si="96"/>
        <v>0.19882869692532945</v>
      </c>
      <c r="BD98" s="510">
        <f t="shared" si="96"/>
        <v>0.20776189086664723</v>
      </c>
      <c r="BE98" s="510">
        <f t="shared" si="96"/>
        <v>0.20837124658780712</v>
      </c>
      <c r="BF98" s="510">
        <f t="shared" si="96"/>
        <v>0.20087976539589442</v>
      </c>
      <c r="BG98" s="486">
        <f t="shared" si="96"/>
        <v>0.20392648903978153</v>
      </c>
      <c r="BH98" s="510">
        <f t="shared" si="96"/>
        <v>0.20250800426894344</v>
      </c>
      <c r="BI98" s="510">
        <f t="shared" si="96"/>
        <v>0.21011058451816744</v>
      </c>
      <c r="BJ98" s="510">
        <f t="shared" si="96"/>
        <v>0.20706930141942667</v>
      </c>
      <c r="BK98" s="510">
        <f t="shared" si="96"/>
        <v>0.21059673534921061</v>
      </c>
      <c r="BL98" s="486">
        <f t="shared" si="96"/>
        <v>0.20758268351707448</v>
      </c>
      <c r="BM98" s="510">
        <f t="shared" si="96"/>
        <v>0.23001547189272825</v>
      </c>
      <c r="BN98" s="510">
        <f t="shared" si="96"/>
        <v>0.23182511438739198</v>
      </c>
      <c r="BO98" s="510">
        <f t="shared" si="96"/>
        <v>0.20396366639141206</v>
      </c>
      <c r="BP98" s="510">
        <f t="shared" si="96"/>
        <v>0.2124284971398856</v>
      </c>
      <c r="BQ98" s="486">
        <f t="shared" si="96"/>
        <v>0.21986789614806096</v>
      </c>
      <c r="BR98" s="510">
        <f t="shared" si="96"/>
        <v>0.21937666102923412</v>
      </c>
      <c r="BS98" s="510">
        <f t="shared" si="96"/>
        <v>0.22872579918955424</v>
      </c>
      <c r="BT98" s="510">
        <f t="shared" si="96"/>
        <v>0.2142857142857143</v>
      </c>
      <c r="BU98" s="510">
        <f t="shared" si="96"/>
        <v>0.21500863984201429</v>
      </c>
      <c r="BV98" s="486">
        <f t="shared" si="96"/>
        <v>0.21953981878874582</v>
      </c>
      <c r="BW98" s="510">
        <f t="shared" si="96"/>
        <v>0.20242214532871972</v>
      </c>
      <c r="BX98" s="510">
        <f t="shared" si="96"/>
        <v>0.22332686711930164</v>
      </c>
      <c r="BY98" s="510">
        <f t="shared" si="96"/>
        <v>0.21671081146159402</v>
      </c>
      <c r="BZ98" s="510">
        <f t="shared" si="96"/>
        <v>0.22268907563025211</v>
      </c>
      <c r="CA98" s="486">
        <f t="shared" si="96"/>
        <v>0.21641476485819233</v>
      </c>
      <c r="CB98" s="510">
        <f t="shared" si="96"/>
        <v>0.19620526088831391</v>
      </c>
      <c r="CC98" s="510">
        <f t="shared" si="96"/>
        <v>0.19974254451834367</v>
      </c>
      <c r="CD98" s="510">
        <f t="shared" si="96"/>
        <v>0.20555555555555555</v>
      </c>
      <c r="CE98" s="510">
        <f t="shared" si="96"/>
        <v>0.20894239036973347</v>
      </c>
      <c r="CF98" s="486">
        <f t="shared" ref="CF98:CL98" si="97">IF(ISERROR(CF79/CF13),"",(CF79/CF13))</f>
        <v>0.20259064549346917</v>
      </c>
      <c r="CG98" s="510">
        <f t="shared" si="97"/>
        <v>0.22193726573288619</v>
      </c>
      <c r="CH98" s="510">
        <f t="shared" si="97"/>
        <v>0.2211671612265084</v>
      </c>
      <c r="CI98" s="510">
        <f t="shared" si="97"/>
        <v>0.2123912582219393</v>
      </c>
      <c r="CJ98" s="510">
        <f t="shared" si="97"/>
        <v>0.18777009507346587</v>
      </c>
      <c r="CK98" s="486">
        <f t="shared" si="97"/>
        <v>0.21130233752889799</v>
      </c>
      <c r="CL98" s="510">
        <f t="shared" si="97"/>
        <v>0.19749622274983811</v>
      </c>
      <c r="CM98" s="513">
        <v>0.08</v>
      </c>
      <c r="CN98" s="513">
        <v>0.13</v>
      </c>
      <c r="CO98" s="513">
        <v>0.15</v>
      </c>
      <c r="CP98" s="486">
        <f>IF(ISERROR(CP79/CP13),"",(CP79/CP13))</f>
        <v>0.14800299821042198</v>
      </c>
      <c r="CQ98" s="514">
        <v>0.155</v>
      </c>
      <c r="CR98" s="514">
        <v>0.16300000000000001</v>
      </c>
      <c r="CS98" s="514">
        <v>0.17199999999999999</v>
      </c>
    </row>
    <row r="99" spans="2:97">
      <c r="B99" s="433" t="s">
        <v>91</v>
      </c>
      <c r="C99" s="486"/>
      <c r="D99" s="486"/>
      <c r="E99" s="486"/>
      <c r="F99" s="486"/>
      <c r="G99" s="486"/>
      <c r="H99" s="486"/>
      <c r="I99" s="486"/>
      <c r="J99" s="487"/>
      <c r="K99" s="487"/>
      <c r="L99" s="487"/>
      <c r="M99" s="487"/>
      <c r="N99" s="486"/>
      <c r="O99" s="487"/>
      <c r="P99" s="487"/>
      <c r="Q99" s="487"/>
      <c r="R99" s="487"/>
      <c r="S99" s="486"/>
      <c r="T99" s="487">
        <f t="shared" ref="T99:AY99" si="98">IF(ISERROR(T80/T19),"",T80/T19)</f>
        <v>5.6241426611796951E-2</v>
      </c>
      <c r="U99" s="487">
        <f t="shared" si="98"/>
        <v>0.13034188034188035</v>
      </c>
      <c r="V99" s="487">
        <f t="shared" si="98"/>
        <v>9.853249475890985E-2</v>
      </c>
      <c r="W99" s="487">
        <f t="shared" si="98"/>
        <v>0.10355987055016184</v>
      </c>
      <c r="X99" s="486">
        <f t="shared" si="98"/>
        <v>9.2931937172774856E-2</v>
      </c>
      <c r="Y99" s="487">
        <f t="shared" si="98"/>
        <v>9.2105263157894732E-2</v>
      </c>
      <c r="Z99" s="487">
        <f t="shared" si="98"/>
        <v>8.673469387755102E-2</v>
      </c>
      <c r="AA99" s="487">
        <f t="shared" si="98"/>
        <v>8.5217391304347828E-2</v>
      </c>
      <c r="AB99" s="487">
        <f t="shared" si="98"/>
        <v>0.10289389067524118</v>
      </c>
      <c r="AC99" s="486">
        <f t="shared" si="98"/>
        <v>9.1929218817436348E-2</v>
      </c>
      <c r="AD99" s="487">
        <f t="shared" si="98"/>
        <v>0.11958146487294469</v>
      </c>
      <c r="AE99" s="487">
        <f t="shared" si="98"/>
        <v>0.11940298507462686</v>
      </c>
      <c r="AF99" s="487">
        <f t="shared" si="98"/>
        <v>0.10191082802547771</v>
      </c>
      <c r="AG99" s="487">
        <f t="shared" si="98"/>
        <v>8.2551594746716722E-2</v>
      </c>
      <c r="AH99" s="486">
        <f t="shared" si="98"/>
        <v>0.1072</v>
      </c>
      <c r="AI99" s="487">
        <f t="shared" si="98"/>
        <v>0.1399046104928458</v>
      </c>
      <c r="AJ99" s="487">
        <f t="shared" si="98"/>
        <v>0.15590551181102363</v>
      </c>
      <c r="AK99" s="487">
        <f t="shared" si="98"/>
        <v>0.12703583061889251</v>
      </c>
      <c r="AL99" s="487">
        <f t="shared" si="98"/>
        <v>0.15</v>
      </c>
      <c r="AM99" s="486">
        <f t="shared" si="98"/>
        <v>0.14336775218427322</v>
      </c>
      <c r="AN99" s="487">
        <f t="shared" si="98"/>
        <v>0.18210862619808307</v>
      </c>
      <c r="AO99" s="487">
        <f t="shared" si="98"/>
        <v>0.16090225563909774</v>
      </c>
      <c r="AP99" s="487">
        <f t="shared" si="98"/>
        <v>0.17024320457796852</v>
      </c>
      <c r="AQ99" s="510">
        <f t="shared" si="98"/>
        <v>0.16548797736916557</v>
      </c>
      <c r="AR99" s="511">
        <f t="shared" si="98"/>
        <v>0.16944753429736747</v>
      </c>
      <c r="AS99" s="510">
        <f t="shared" si="98"/>
        <v>0.16534391534391535</v>
      </c>
      <c r="AT99" s="510">
        <f t="shared" si="98"/>
        <v>0.15434500648508429</v>
      </c>
      <c r="AU99" s="510">
        <f t="shared" si="98"/>
        <v>0.1806020066889632</v>
      </c>
      <c r="AV99" s="510">
        <f t="shared" si="98"/>
        <v>0.14267185473411156</v>
      </c>
      <c r="AW99" s="512">
        <f t="shared" si="98"/>
        <v>0.16150234741784036</v>
      </c>
      <c r="AX99" s="510">
        <f t="shared" si="98"/>
        <v>0.14047619047619048</v>
      </c>
      <c r="AY99" s="510">
        <f t="shared" si="98"/>
        <v>0.14147521160822249</v>
      </c>
      <c r="AZ99" s="510">
        <f t="shared" ref="AZ99:CE99" si="99">IF(ISERROR(AZ80/AZ19),"",AZ80/AZ19)</f>
        <v>0.16090712742980562</v>
      </c>
      <c r="BA99" s="510">
        <f t="shared" si="99"/>
        <v>0.13555555555555554</v>
      </c>
      <c r="BB99" s="486">
        <f t="shared" si="99"/>
        <v>0.14486115087317492</v>
      </c>
      <c r="BC99" s="510">
        <f t="shared" si="99"/>
        <v>0.14517876489707476</v>
      </c>
      <c r="BD99" s="510">
        <f t="shared" si="99"/>
        <v>0.15345528455284552</v>
      </c>
      <c r="BE99" s="510">
        <f t="shared" si="99"/>
        <v>0.14929859719438879</v>
      </c>
      <c r="BF99" s="510">
        <f t="shared" si="99"/>
        <v>0.1510721247563353</v>
      </c>
      <c r="BG99" s="486">
        <f t="shared" si="99"/>
        <v>0.149834647672348</v>
      </c>
      <c r="BH99" s="510">
        <f t="shared" si="99"/>
        <v>0.15545023696682464</v>
      </c>
      <c r="BI99" s="510">
        <f t="shared" si="99"/>
        <v>0.16146788990825689</v>
      </c>
      <c r="BJ99" s="510">
        <f t="shared" si="99"/>
        <v>0.15265082266910418</v>
      </c>
      <c r="BK99" s="510">
        <f t="shared" si="99"/>
        <v>0.1448888888888889</v>
      </c>
      <c r="BL99" s="486">
        <f t="shared" si="99"/>
        <v>0.15352887259395051</v>
      </c>
      <c r="BM99" s="510">
        <f t="shared" si="99"/>
        <v>0.14066985645933014</v>
      </c>
      <c r="BN99" s="510">
        <f t="shared" si="99"/>
        <v>0.14090019569471623</v>
      </c>
      <c r="BO99" s="510">
        <f t="shared" si="99"/>
        <v>0.14003944773175542</v>
      </c>
      <c r="BP99" s="510">
        <f t="shared" si="99"/>
        <v>0.12147716229348882</v>
      </c>
      <c r="BQ99" s="486">
        <f t="shared" si="99"/>
        <v>0.13576642335766423</v>
      </c>
      <c r="BR99" s="510">
        <f t="shared" si="99"/>
        <v>0.12070657507360157</v>
      </c>
      <c r="BS99" s="510">
        <f t="shared" si="99"/>
        <v>0.12024665981500514</v>
      </c>
      <c r="BT99" s="510">
        <f t="shared" si="99"/>
        <v>0.12609970674486803</v>
      </c>
      <c r="BU99" s="510">
        <f t="shared" si="99"/>
        <v>0.14208826695371365</v>
      </c>
      <c r="BV99" s="486">
        <f t="shared" si="99"/>
        <v>0.12702839756592291</v>
      </c>
      <c r="BW99" s="510">
        <f t="shared" si="99"/>
        <v>0.14238773274917854</v>
      </c>
      <c r="BX99" s="510">
        <f t="shared" si="99"/>
        <v>0.12872340425531914</v>
      </c>
      <c r="BY99" s="510">
        <f t="shared" si="99"/>
        <v>0.13066954643628509</v>
      </c>
      <c r="BZ99" s="510">
        <f t="shared" si="99"/>
        <v>0.11651469098277609</v>
      </c>
      <c r="CA99" s="486">
        <f t="shared" si="99"/>
        <v>0.1293149229952204</v>
      </c>
      <c r="CB99" s="510">
        <f t="shared" si="99"/>
        <v>0.10366492146596859</v>
      </c>
      <c r="CC99" s="510">
        <f t="shared" si="99"/>
        <v>0.15634218289085547</v>
      </c>
      <c r="CD99" s="510">
        <f t="shared" si="99"/>
        <v>0.14391829155060351</v>
      </c>
      <c r="CE99" s="510">
        <f t="shared" si="99"/>
        <v>8.1722319859402467E-2</v>
      </c>
      <c r="CF99" s="486">
        <f t="shared" ref="CF99:CL99" si="100">IF(ISERROR(CF80/CF19),"",CF80/CF19)</f>
        <v>0.12085025077621207</v>
      </c>
      <c r="CG99" s="510">
        <f t="shared" si="100"/>
        <v>0.12101390024529846</v>
      </c>
      <c r="CH99" s="510">
        <f t="shared" si="100"/>
        <v>0.13040000000000002</v>
      </c>
      <c r="CI99" s="510">
        <f t="shared" si="100"/>
        <v>0.16305220883534138</v>
      </c>
      <c r="CJ99" s="510">
        <f t="shared" si="100"/>
        <v>0.16940789473684212</v>
      </c>
      <c r="CK99" s="486">
        <f t="shared" si="100"/>
        <v>0.1459262261856506</v>
      </c>
      <c r="CL99" s="510">
        <f t="shared" si="100"/>
        <v>6.3106796116504854E-2</v>
      </c>
      <c r="CM99" s="513">
        <v>0.04</v>
      </c>
      <c r="CN99" s="513">
        <v>0.06</v>
      </c>
      <c r="CO99" s="513">
        <v>0.08</v>
      </c>
      <c r="CP99" s="486">
        <f>IF(ISERROR(CP80/CP19),"",CP80/CP19)</f>
        <v>6.2724675185147238E-2</v>
      </c>
      <c r="CQ99" s="514">
        <v>0.1</v>
      </c>
      <c r="CR99" s="514">
        <v>0.11600000000000001</v>
      </c>
      <c r="CS99" s="514">
        <v>0.127</v>
      </c>
    </row>
    <row r="100" spans="2:97" hidden="1">
      <c r="B100" s="503" t="s">
        <v>102</v>
      </c>
      <c r="C100" s="515">
        <f t="shared" ref="C100:X100" si="101">IF(ISERROR(C81/C22),"",(C81/C22))</f>
        <v>0.14374957294157842</v>
      </c>
      <c r="D100" s="515">
        <f t="shared" si="101"/>
        <v>0.13332537598472188</v>
      </c>
      <c r="E100" s="515">
        <f t="shared" si="101"/>
        <v>0.11222974088133356</v>
      </c>
      <c r="F100" s="515">
        <f t="shared" si="101"/>
        <v>0.12081128747795414</v>
      </c>
      <c r="G100" s="515">
        <f t="shared" si="101"/>
        <v>0.11485930557841038</v>
      </c>
      <c r="H100" s="515">
        <f t="shared" si="101"/>
        <v>0.12359128474830954</v>
      </c>
      <c r="I100" s="515">
        <f t="shared" si="101"/>
        <v>0.11422708618331054</v>
      </c>
      <c r="J100" s="516">
        <f t="shared" si="101"/>
        <v>0.13208649912331971</v>
      </c>
      <c r="K100" s="516">
        <f t="shared" si="101"/>
        <v>0.16028285209192694</v>
      </c>
      <c r="L100" s="516">
        <f t="shared" si="101"/>
        <v>0.11848635235732012</v>
      </c>
      <c r="M100" s="516">
        <f t="shared" si="101"/>
        <v>0.11105002748763049</v>
      </c>
      <c r="N100" s="515">
        <f t="shared" si="101"/>
        <v>0.13028220500073109</v>
      </c>
      <c r="O100" s="516">
        <f t="shared" si="101"/>
        <v>0.14358712314767502</v>
      </c>
      <c r="P100" s="516">
        <f t="shared" si="101"/>
        <v>0.14707259953161592</v>
      </c>
      <c r="Q100" s="516">
        <f t="shared" si="101"/>
        <v>0.12633832976445397</v>
      </c>
      <c r="R100" s="516">
        <f t="shared" si="101"/>
        <v>0.10942408376963354</v>
      </c>
      <c r="S100" s="515">
        <f t="shared" si="101"/>
        <v>0.13214739517153748</v>
      </c>
      <c r="T100" s="516">
        <f t="shared" si="101"/>
        <v>0.13932898415657036</v>
      </c>
      <c r="U100" s="516">
        <f t="shared" si="101"/>
        <v>0.14625392552714223</v>
      </c>
      <c r="V100" s="516">
        <f t="shared" si="101"/>
        <v>0.12413108242303872</v>
      </c>
      <c r="W100" s="516">
        <f t="shared" si="101"/>
        <v>8.4170253467240524E-2</v>
      </c>
      <c r="X100" s="515">
        <f t="shared" si="101"/>
        <v>0.12393867924528301</v>
      </c>
      <c r="Y100" s="516"/>
      <c r="Z100" s="516"/>
      <c r="AA100" s="516"/>
      <c r="AB100" s="516"/>
      <c r="AC100" s="515"/>
      <c r="AD100" s="516"/>
      <c r="AE100" s="516"/>
      <c r="AF100" s="516"/>
      <c r="AG100" s="516"/>
      <c r="AH100" s="515"/>
      <c r="AI100" s="516"/>
      <c r="AJ100" s="516"/>
      <c r="AK100" s="516"/>
      <c r="AL100" s="516"/>
      <c r="AM100" s="515"/>
      <c r="AN100" s="516"/>
      <c r="AO100" s="516"/>
      <c r="AP100" s="516"/>
      <c r="AQ100" s="517"/>
      <c r="AR100" s="518"/>
      <c r="AS100" s="517"/>
      <c r="AT100" s="517"/>
      <c r="AU100" s="517"/>
      <c r="AV100" s="517"/>
      <c r="AW100" s="518"/>
      <c r="AX100" s="517"/>
      <c r="AY100" s="517"/>
      <c r="AZ100" s="517"/>
      <c r="BA100" s="517"/>
      <c r="BB100" s="515"/>
      <c r="BC100" s="517"/>
      <c r="BD100" s="517"/>
      <c r="BE100" s="517"/>
      <c r="BF100" s="517"/>
      <c r="BG100" s="515"/>
      <c r="BH100" s="517"/>
      <c r="BI100" s="517"/>
      <c r="BJ100" s="517"/>
      <c r="BK100" s="517"/>
      <c r="BL100" s="515"/>
      <c r="BM100" s="517"/>
      <c r="BN100" s="517"/>
      <c r="BO100" s="517"/>
      <c r="BP100" s="517"/>
      <c r="BQ100" s="515"/>
      <c r="BR100" s="517"/>
      <c r="BS100" s="517"/>
      <c r="BT100" s="517"/>
      <c r="BU100" s="517"/>
      <c r="BV100" s="515"/>
      <c r="BW100" s="517"/>
      <c r="BX100" s="517"/>
      <c r="BY100" s="517"/>
      <c r="BZ100" s="517"/>
      <c r="CA100" s="515"/>
      <c r="CB100" s="517"/>
      <c r="CC100" s="517"/>
      <c r="CD100" s="517"/>
      <c r="CE100" s="517"/>
      <c r="CF100" s="515"/>
      <c r="CG100" s="517"/>
      <c r="CH100" s="517"/>
      <c r="CI100" s="517"/>
      <c r="CJ100" s="517"/>
      <c r="CK100" s="515"/>
      <c r="CL100" s="517"/>
      <c r="CM100" s="517"/>
      <c r="CN100" s="517"/>
      <c r="CO100" s="517"/>
      <c r="CP100" s="515"/>
      <c r="CQ100" s="515"/>
      <c r="CR100" s="515"/>
      <c r="CS100" s="515"/>
    </row>
    <row r="101" spans="2:97" hidden="1">
      <c r="B101" s="433" t="s">
        <v>103</v>
      </c>
      <c r="C101" s="486">
        <f t="shared" ref="C101:X101" si="102">IF(ISERROR(C82/C23),"",(C82/C23))</f>
        <v>0.23750146972369196</v>
      </c>
      <c r="D101" s="486">
        <f t="shared" si="102"/>
        <v>0.2554678291039299</v>
      </c>
      <c r="E101" s="486">
        <f t="shared" si="102"/>
        <v>0.10184345723783622</v>
      </c>
      <c r="F101" s="486">
        <f t="shared" si="102"/>
        <v>0.12861915367483298</v>
      </c>
      <c r="G101" s="486">
        <f t="shared" si="102"/>
        <v>5.3829479768786125E-2</v>
      </c>
      <c r="H101" s="486">
        <f t="shared" si="102"/>
        <v>8.9949518127581465E-2</v>
      </c>
      <c r="I101" s="486">
        <f t="shared" si="102"/>
        <v>6.958762886597937E-2</v>
      </c>
      <c r="J101" s="487">
        <f t="shared" si="102"/>
        <v>0.10256410256410256</v>
      </c>
      <c r="K101" s="487">
        <f t="shared" si="102"/>
        <v>0.15312131919905769</v>
      </c>
      <c r="L101" s="487">
        <f t="shared" si="102"/>
        <v>0.11729857819905212</v>
      </c>
      <c r="M101" s="487">
        <f t="shared" si="102"/>
        <v>0.12105263157894745</v>
      </c>
      <c r="N101" s="486">
        <f t="shared" si="102"/>
        <v>0.12429555416405763</v>
      </c>
      <c r="O101" s="487">
        <f t="shared" si="102"/>
        <v>0.15734720416124837</v>
      </c>
      <c r="P101" s="487">
        <f t="shared" si="102"/>
        <v>0.15025906735751293</v>
      </c>
      <c r="Q101" s="487">
        <f t="shared" si="102"/>
        <v>0.13256484149855904</v>
      </c>
      <c r="R101" s="487">
        <f t="shared" si="102"/>
        <v>0.14918759231905476</v>
      </c>
      <c r="S101" s="486">
        <f t="shared" si="102"/>
        <v>0.14766483516483517</v>
      </c>
      <c r="T101" s="487">
        <f t="shared" si="102"/>
        <v>0.11516034985422742</v>
      </c>
      <c r="U101" s="487">
        <f t="shared" si="102"/>
        <v>0.10542168674698794</v>
      </c>
      <c r="V101" s="487">
        <f t="shared" si="102"/>
        <v>0.12690355329949238</v>
      </c>
      <c r="W101" s="487">
        <f t="shared" si="102"/>
        <v>8.7591240875912454E-2</v>
      </c>
      <c r="X101" s="486">
        <f t="shared" si="102"/>
        <v>0.11054421768707484</v>
      </c>
      <c r="Y101" s="487"/>
      <c r="Z101" s="487"/>
      <c r="AA101" s="487"/>
      <c r="AB101" s="487"/>
      <c r="AC101" s="486"/>
      <c r="AD101" s="487"/>
      <c r="AE101" s="487"/>
      <c r="AF101" s="487"/>
      <c r="AG101" s="487"/>
      <c r="AH101" s="486"/>
      <c r="AI101" s="487"/>
      <c r="AJ101" s="487"/>
      <c r="AK101" s="487"/>
      <c r="AL101" s="487"/>
      <c r="AM101" s="486"/>
      <c r="AN101" s="487"/>
      <c r="AO101" s="487"/>
      <c r="AP101" s="487"/>
      <c r="AQ101" s="510"/>
      <c r="AR101" s="511"/>
      <c r="AS101" s="510"/>
      <c r="AT101" s="510"/>
      <c r="AU101" s="510"/>
      <c r="AV101" s="510"/>
      <c r="AW101" s="511"/>
      <c r="AX101" s="510"/>
      <c r="AY101" s="510"/>
      <c r="AZ101" s="510"/>
      <c r="BA101" s="510"/>
      <c r="BB101" s="486"/>
      <c r="BC101" s="510"/>
      <c r="BD101" s="510"/>
      <c r="BE101" s="510"/>
      <c r="BF101" s="510"/>
      <c r="BG101" s="486"/>
      <c r="BH101" s="510"/>
      <c r="BI101" s="510"/>
      <c r="BJ101" s="510"/>
      <c r="BK101" s="510"/>
      <c r="BL101" s="486"/>
      <c r="BM101" s="510"/>
      <c r="BN101" s="510"/>
      <c r="BO101" s="510"/>
      <c r="BP101" s="510"/>
      <c r="BQ101" s="486"/>
      <c r="BR101" s="510"/>
      <c r="BS101" s="510"/>
      <c r="BT101" s="510"/>
      <c r="BU101" s="510"/>
      <c r="BV101" s="486"/>
      <c r="BW101" s="510"/>
      <c r="BX101" s="510"/>
      <c r="BY101" s="510"/>
      <c r="BZ101" s="510"/>
      <c r="CA101" s="486"/>
      <c r="CB101" s="510"/>
      <c r="CC101" s="510"/>
      <c r="CD101" s="510"/>
      <c r="CE101" s="510"/>
      <c r="CF101" s="486"/>
      <c r="CG101" s="510"/>
      <c r="CH101" s="510"/>
      <c r="CI101" s="510"/>
      <c r="CJ101" s="510"/>
      <c r="CK101" s="486"/>
      <c r="CL101" s="510"/>
      <c r="CM101" s="510"/>
      <c r="CN101" s="510"/>
      <c r="CO101" s="510"/>
      <c r="CP101" s="486"/>
      <c r="CQ101" s="486"/>
      <c r="CR101" s="486"/>
      <c r="CS101" s="486"/>
    </row>
    <row r="102" spans="2:97" hidden="1">
      <c r="B102" s="433" t="s">
        <v>104</v>
      </c>
      <c r="C102" s="486">
        <f t="shared" ref="C102:X102" si="103">IF(ISERROR(C83/C24),"",(C83/C24))</f>
        <v>8.1047409040793827E-2</v>
      </c>
      <c r="D102" s="486">
        <f t="shared" si="103"/>
        <v>7.5963842558542313E-2</v>
      </c>
      <c r="E102" s="486">
        <f t="shared" si="103"/>
        <v>0.10433162552398696</v>
      </c>
      <c r="F102" s="486">
        <f t="shared" si="103"/>
        <v>4.633204633204633E-2</v>
      </c>
      <c r="G102" s="486">
        <f t="shared" si="103"/>
        <v>1.9215372297838269E-2</v>
      </c>
      <c r="H102" s="486">
        <f t="shared" si="103"/>
        <v>3.9800995024875628E-3</v>
      </c>
      <c r="I102" s="486">
        <f t="shared" si="103"/>
        <v>2.5220680958385876E-2</v>
      </c>
      <c r="J102" s="487">
        <f t="shared" si="103"/>
        <v>2.8409090909090908E-2</v>
      </c>
      <c r="K102" s="487">
        <f t="shared" si="103"/>
        <v>4.5454545454545456E-2</v>
      </c>
      <c r="L102" s="487">
        <f t="shared" si="103"/>
        <v>5.7142857142857141E-2</v>
      </c>
      <c r="M102" s="487">
        <f t="shared" si="103"/>
        <v>8.1081081081081086E-2</v>
      </c>
      <c r="N102" s="486">
        <f t="shared" si="103"/>
        <v>5.3370786516853931E-2</v>
      </c>
      <c r="O102" s="487">
        <f t="shared" si="103"/>
        <v>6.1111111111111116E-2</v>
      </c>
      <c r="P102" s="487">
        <f t="shared" si="103"/>
        <v>0.10679611650485438</v>
      </c>
      <c r="Q102" s="487">
        <f t="shared" si="103"/>
        <v>7.8431372549019621E-2</v>
      </c>
      <c r="R102" s="487">
        <f t="shared" si="103"/>
        <v>0.12809917355371897</v>
      </c>
      <c r="S102" s="486">
        <f t="shared" si="103"/>
        <v>9.6153846153846145E-2</v>
      </c>
      <c r="T102" s="487">
        <f t="shared" si="103"/>
        <v>0.1092436974789916</v>
      </c>
      <c r="U102" s="487">
        <f t="shared" si="103"/>
        <v>0.1348314606741573</v>
      </c>
      <c r="V102" s="487">
        <f t="shared" si="103"/>
        <v>0.12587412587412586</v>
      </c>
      <c r="W102" s="487">
        <f t="shared" si="103"/>
        <v>0.11688311688311682</v>
      </c>
      <c r="X102" s="486">
        <f t="shared" si="103"/>
        <v>0.12192902638762511</v>
      </c>
      <c r="Y102" s="487"/>
      <c r="Z102" s="487"/>
      <c r="AA102" s="487"/>
      <c r="AB102" s="487"/>
      <c r="AC102" s="486"/>
      <c r="AD102" s="487"/>
      <c r="AE102" s="487"/>
      <c r="AF102" s="487"/>
      <c r="AG102" s="487"/>
      <c r="AH102" s="486"/>
      <c r="AI102" s="487"/>
      <c r="AJ102" s="487"/>
      <c r="AK102" s="487"/>
      <c r="AL102" s="487"/>
      <c r="AM102" s="486"/>
      <c r="AN102" s="487"/>
      <c r="AO102" s="487"/>
      <c r="AP102" s="487"/>
      <c r="AQ102" s="510"/>
      <c r="AR102" s="511"/>
      <c r="AS102" s="510"/>
      <c r="AT102" s="510"/>
      <c r="AU102" s="510"/>
      <c r="AV102" s="510"/>
      <c r="AW102" s="511"/>
      <c r="AX102" s="510"/>
      <c r="AY102" s="510"/>
      <c r="AZ102" s="510"/>
      <c r="BA102" s="510"/>
      <c r="BB102" s="486"/>
      <c r="BC102" s="510"/>
      <c r="BD102" s="510"/>
      <c r="BE102" s="510"/>
      <c r="BF102" s="510"/>
      <c r="BG102" s="486"/>
      <c r="BH102" s="510"/>
      <c r="BI102" s="510"/>
      <c r="BJ102" s="510"/>
      <c r="BK102" s="510"/>
      <c r="BL102" s="486"/>
      <c r="BM102" s="510"/>
      <c r="BN102" s="510"/>
      <c r="BO102" s="510"/>
      <c r="BP102" s="510"/>
      <c r="BQ102" s="486"/>
      <c r="BR102" s="510"/>
      <c r="BS102" s="510"/>
      <c r="BT102" s="510"/>
      <c r="BU102" s="510"/>
      <c r="BV102" s="486"/>
      <c r="BW102" s="510"/>
      <c r="BX102" s="510"/>
      <c r="BY102" s="510"/>
      <c r="BZ102" s="510"/>
      <c r="CA102" s="486"/>
      <c r="CB102" s="510"/>
      <c r="CC102" s="510"/>
      <c r="CD102" s="510"/>
      <c r="CE102" s="510"/>
      <c r="CF102" s="486"/>
      <c r="CG102" s="510"/>
      <c r="CH102" s="510"/>
      <c r="CI102" s="510"/>
      <c r="CJ102" s="510"/>
      <c r="CK102" s="486"/>
      <c r="CL102" s="510"/>
      <c r="CM102" s="510"/>
      <c r="CN102" s="510"/>
      <c r="CO102" s="510"/>
      <c r="CP102" s="486"/>
      <c r="CQ102" s="486"/>
      <c r="CR102" s="486"/>
      <c r="CS102" s="486"/>
    </row>
    <row r="103" spans="2:97" ht="12.75" customHeight="1">
      <c r="B103" s="467" t="s">
        <v>272</v>
      </c>
      <c r="C103" s="490">
        <f t="shared" ref="C103:AB103" si="104">C84/C26</f>
        <v>0.1486305902444231</v>
      </c>
      <c r="D103" s="490">
        <f t="shared" si="104"/>
        <v>0.14743940557039018</v>
      </c>
      <c r="E103" s="490">
        <f t="shared" si="104"/>
        <v>0.10777247069040381</v>
      </c>
      <c r="F103" s="490">
        <f t="shared" si="104"/>
        <v>0.1143317230273752</v>
      </c>
      <c r="G103" s="490">
        <f t="shared" si="104"/>
        <v>8.6288884485833175E-2</v>
      </c>
      <c r="H103" s="490">
        <f t="shared" si="104"/>
        <v>0.10084626234132583</v>
      </c>
      <c r="I103" s="490">
        <f t="shared" si="104"/>
        <v>9.4770877466830203E-2</v>
      </c>
      <c r="J103" s="519">
        <f t="shared" si="104"/>
        <v>0.11681887366818874</v>
      </c>
      <c r="K103" s="519">
        <f t="shared" si="104"/>
        <v>0.15062454077883911</v>
      </c>
      <c r="L103" s="519">
        <f t="shared" si="104"/>
        <v>0.11402508551881413</v>
      </c>
      <c r="M103" s="519">
        <f t="shared" si="104"/>
        <v>0.11179450072358899</v>
      </c>
      <c r="N103" s="490">
        <f t="shared" si="104"/>
        <v>0.12340623545835275</v>
      </c>
      <c r="O103" s="519">
        <f t="shared" si="104"/>
        <v>0.14211975223675155</v>
      </c>
      <c r="P103" s="519">
        <f t="shared" si="104"/>
        <v>0.14519755862512046</v>
      </c>
      <c r="Q103" s="519">
        <f t="shared" si="104"/>
        <v>0.12436731742588573</v>
      </c>
      <c r="R103" s="519">
        <f t="shared" si="104"/>
        <v>0.1205372923294451</v>
      </c>
      <c r="S103" s="490">
        <f t="shared" si="104"/>
        <v>0.13345961770277251</v>
      </c>
      <c r="T103" s="519">
        <f t="shared" si="104"/>
        <v>0.13159609120521173</v>
      </c>
      <c r="U103" s="519">
        <f t="shared" si="104"/>
        <v>0.13670886075949368</v>
      </c>
      <c r="V103" s="519">
        <f t="shared" si="104"/>
        <v>0.12487028709789</v>
      </c>
      <c r="W103" s="519">
        <f t="shared" si="104"/>
        <v>8.8256227758007108E-2</v>
      </c>
      <c r="X103" s="490">
        <f t="shared" si="104"/>
        <v>0.12111306680077108</v>
      </c>
      <c r="Y103" s="519">
        <f t="shared" si="104"/>
        <v>0.14791224345364473</v>
      </c>
      <c r="Z103" s="519">
        <f t="shared" si="104"/>
        <v>0.14941338854382333</v>
      </c>
      <c r="AA103" s="519">
        <f t="shared" si="104"/>
        <v>0.13802917111348273</v>
      </c>
      <c r="AB103" s="519">
        <f t="shared" si="104"/>
        <v>0.12657430730478594</v>
      </c>
      <c r="AC103" s="490">
        <f t="shared" ref="AC103:BH103" si="105">(AC79+AC80)/(AC13+AC19)</f>
        <v>0.1358893673401789</v>
      </c>
      <c r="AD103" s="519">
        <f t="shared" si="105"/>
        <v>0.14727374929735809</v>
      </c>
      <c r="AE103" s="519">
        <f t="shared" si="105"/>
        <v>0.12881447475020255</v>
      </c>
      <c r="AF103" s="519">
        <f t="shared" si="105"/>
        <v>0.13358778625954199</v>
      </c>
      <c r="AG103" s="519">
        <f t="shared" si="105"/>
        <v>0.13391362571141618</v>
      </c>
      <c r="AH103" s="490">
        <f t="shared" si="105"/>
        <v>0.13593086275084226</v>
      </c>
      <c r="AI103" s="519">
        <f t="shared" si="105"/>
        <v>0.17003792667509482</v>
      </c>
      <c r="AJ103" s="519">
        <f t="shared" si="105"/>
        <v>0.14169897779344379</v>
      </c>
      <c r="AK103" s="519">
        <f t="shared" si="105"/>
        <v>0.108580106302202</v>
      </c>
      <c r="AL103" s="519">
        <f t="shared" si="105"/>
        <v>9.1510474090407926E-2</v>
      </c>
      <c r="AM103" s="490">
        <f t="shared" si="105"/>
        <v>0.12988728425501936</v>
      </c>
      <c r="AN103" s="519">
        <f t="shared" si="105"/>
        <v>0.1544685546156675</v>
      </c>
      <c r="AO103" s="519">
        <f t="shared" si="105"/>
        <v>0.16882297254654466</v>
      </c>
      <c r="AP103" s="519">
        <f t="shared" si="105"/>
        <v>0.15182385803483403</v>
      </c>
      <c r="AQ103" s="520">
        <f t="shared" si="105"/>
        <v>0.13633520950594119</v>
      </c>
      <c r="AR103" s="521">
        <f t="shared" si="105"/>
        <v>0.15277434248495342</v>
      </c>
      <c r="AS103" s="520">
        <f t="shared" si="105"/>
        <v>0.18016194331983806</v>
      </c>
      <c r="AT103" s="520">
        <f t="shared" si="105"/>
        <v>0.16421968461120173</v>
      </c>
      <c r="AU103" s="520">
        <f t="shared" si="105"/>
        <v>0.16716662121625306</v>
      </c>
      <c r="AV103" s="520">
        <f t="shared" si="105"/>
        <v>0.16897959183673469</v>
      </c>
      <c r="AW103" s="521">
        <f t="shared" si="105"/>
        <v>0.1699820417184694</v>
      </c>
      <c r="AX103" s="520">
        <f t="shared" si="105"/>
        <v>0.18649363133862051</v>
      </c>
      <c r="AY103" s="520">
        <f t="shared" si="105"/>
        <v>0.22350953415399472</v>
      </c>
      <c r="AZ103" s="520">
        <f t="shared" si="105"/>
        <v>0.1768757687576876</v>
      </c>
      <c r="BA103" s="520">
        <f t="shared" si="105"/>
        <v>0.1644588852786803</v>
      </c>
      <c r="BB103" s="490">
        <f t="shared" si="105"/>
        <v>0.18808796579108122</v>
      </c>
      <c r="BC103" s="520">
        <f t="shared" si="105"/>
        <v>0.18741355463347167</v>
      </c>
      <c r="BD103" s="520">
        <f t="shared" si="105"/>
        <v>0.19564724552255722</v>
      </c>
      <c r="BE103" s="520">
        <f t="shared" si="105"/>
        <v>0.19464493597206056</v>
      </c>
      <c r="BF103" s="520">
        <f t="shared" si="105"/>
        <v>0.18935978358881875</v>
      </c>
      <c r="BG103" s="490">
        <f t="shared" si="105"/>
        <v>0.19176201372997712</v>
      </c>
      <c r="BH103" s="520">
        <f t="shared" si="105"/>
        <v>0.19217155944201542</v>
      </c>
      <c r="BI103" s="520">
        <f t="shared" ref="BI103:CS103" si="106">(BI79+BI80)/(BI13+BI19)</f>
        <v>0.19926350245499183</v>
      </c>
      <c r="BJ103" s="520">
        <f t="shared" si="106"/>
        <v>0.19436739918924686</v>
      </c>
      <c r="BK103" s="520">
        <f t="shared" si="106"/>
        <v>0.19539284245166599</v>
      </c>
      <c r="BL103" s="490">
        <f t="shared" si="106"/>
        <v>0.19532224532224532</v>
      </c>
      <c r="BM103" s="520">
        <f t="shared" si="106"/>
        <v>0.21105017265894782</v>
      </c>
      <c r="BN103" s="520">
        <f t="shared" si="106"/>
        <v>0.21307506053268768</v>
      </c>
      <c r="BO103" s="520">
        <f t="shared" si="106"/>
        <v>0.19001506348181624</v>
      </c>
      <c r="BP103" s="520">
        <f t="shared" si="106"/>
        <v>0.19323076923076923</v>
      </c>
      <c r="BQ103" s="490">
        <f t="shared" si="106"/>
        <v>0.20205144064738931</v>
      </c>
      <c r="BR103" s="520">
        <f t="shared" si="106"/>
        <v>0.19988367584335015</v>
      </c>
      <c r="BS103" s="520">
        <f t="shared" si="106"/>
        <v>0.20923361034164359</v>
      </c>
      <c r="BT103" s="520">
        <f t="shared" si="106"/>
        <v>0.19682601122508228</v>
      </c>
      <c r="BU103" s="520">
        <f t="shared" si="106"/>
        <v>0.20140562248995983</v>
      </c>
      <c r="BV103" s="490">
        <f t="shared" si="106"/>
        <v>0.20193050193050191</v>
      </c>
      <c r="BW103" s="520">
        <f t="shared" si="106"/>
        <v>0.19136922766686831</v>
      </c>
      <c r="BX103" s="520">
        <f t="shared" si="106"/>
        <v>0.20576619273301736</v>
      </c>
      <c r="BY103" s="520">
        <f t="shared" si="106"/>
        <v>0.20102382358732035</v>
      </c>
      <c r="BZ103" s="520">
        <f t="shared" si="106"/>
        <v>0.2028078163536331</v>
      </c>
      <c r="CA103" s="490">
        <f t="shared" si="106"/>
        <v>0.20031414126540029</v>
      </c>
      <c r="CB103" s="520">
        <f t="shared" si="106"/>
        <v>0.18040407652422674</v>
      </c>
      <c r="CC103" s="520">
        <f t="shared" si="106"/>
        <v>0.1919690031701303</v>
      </c>
      <c r="CD103" s="520">
        <f t="shared" si="106"/>
        <v>0.19365250134480902</v>
      </c>
      <c r="CE103" s="520">
        <f t="shared" si="106"/>
        <v>0.18393782383419688</v>
      </c>
      <c r="CF103" s="490">
        <f t="shared" si="106"/>
        <v>0.18747239155402418</v>
      </c>
      <c r="CG103" s="520">
        <f t="shared" si="106"/>
        <v>0.20232040686586142</v>
      </c>
      <c r="CH103" s="520">
        <f t="shared" si="106"/>
        <v>0.20317208564631245</v>
      </c>
      <c r="CI103" s="520">
        <f t="shared" si="106"/>
        <v>0.20208123531386371</v>
      </c>
      <c r="CJ103" s="520">
        <f t="shared" si="106"/>
        <v>0.18394934976043806</v>
      </c>
      <c r="CK103" s="490">
        <f t="shared" si="106"/>
        <v>0.19808188860199186</v>
      </c>
      <c r="CL103" s="520">
        <f t="shared" si="106"/>
        <v>0.17305315203955501</v>
      </c>
      <c r="CM103" s="520">
        <f t="shared" si="106"/>
        <v>7.3226113011032004E-2</v>
      </c>
      <c r="CN103" s="520">
        <f t="shared" si="106"/>
        <v>0.11782759208924568</v>
      </c>
      <c r="CO103" s="520">
        <f t="shared" si="106"/>
        <v>0.13730492443534925</v>
      </c>
      <c r="CP103" s="490">
        <f t="shared" si="106"/>
        <v>0.13285520503206372</v>
      </c>
      <c r="CQ103" s="490">
        <f t="shared" si="106"/>
        <v>0.14496510004118585</v>
      </c>
      <c r="CR103" s="490">
        <f t="shared" si="106"/>
        <v>0.15433633561077786</v>
      </c>
      <c r="CS103" s="490">
        <f t="shared" si="106"/>
        <v>0.16359414039274311</v>
      </c>
    </row>
    <row r="104" spans="2:97">
      <c r="B104" s="463" t="s">
        <v>174</v>
      </c>
      <c r="C104" s="522">
        <f t="shared" ref="C104:AH104" si="107">IF(ISERROR(C86/C26),"",(C86/C26))</f>
        <v>8.1606361404632372E-2</v>
      </c>
      <c r="D104" s="522">
        <f t="shared" si="107"/>
        <v>0.10746948699960714</v>
      </c>
      <c r="E104" s="522">
        <f t="shared" si="107"/>
        <v>5.9834997828918796E-2</v>
      </c>
      <c r="F104" s="522">
        <f t="shared" si="107"/>
        <v>7.1421805437150709E-2</v>
      </c>
      <c r="G104" s="522">
        <f t="shared" si="107"/>
        <v>-0.31325539924707746</v>
      </c>
      <c r="H104" s="522">
        <f t="shared" si="107"/>
        <v>7.0756934649741435E-2</v>
      </c>
      <c r="I104" s="522">
        <f t="shared" si="107"/>
        <v>6.444419667744454E-2</v>
      </c>
      <c r="J104" s="523">
        <f t="shared" si="107"/>
        <v>9.0182648401826493E-2</v>
      </c>
      <c r="K104" s="523">
        <f t="shared" si="107"/>
        <v>9.5150624540778841E-2</v>
      </c>
      <c r="L104" s="523">
        <f t="shared" si="107"/>
        <v>7.0695553021664762E-2</v>
      </c>
      <c r="M104" s="523">
        <f t="shared" si="107"/>
        <v>7.4529667149059314E-2</v>
      </c>
      <c r="N104" s="522">
        <f t="shared" si="107"/>
        <v>8.2643089809213616E-2</v>
      </c>
      <c r="O104" s="523">
        <f t="shared" si="107"/>
        <v>0.11321403991741226</v>
      </c>
      <c r="P104" s="523">
        <f t="shared" si="107"/>
        <v>0.11853517507227757</v>
      </c>
      <c r="Q104" s="523">
        <f t="shared" si="107"/>
        <v>3.1453362255965289E-2</v>
      </c>
      <c r="R104" s="523">
        <f t="shared" si="107"/>
        <v>9.0844821491693262E-2</v>
      </c>
      <c r="S104" s="522">
        <f t="shared" si="107"/>
        <v>8.9719304287928361E-2</v>
      </c>
      <c r="T104" s="523">
        <f t="shared" si="107"/>
        <v>9.7068403908794773E-2</v>
      </c>
      <c r="U104" s="523">
        <f t="shared" si="107"/>
        <v>0.10854430379746836</v>
      </c>
      <c r="V104" s="523">
        <f t="shared" si="107"/>
        <v>8.8896575579384296E-2</v>
      </c>
      <c r="W104" s="523">
        <f t="shared" si="107"/>
        <v>5.9074733096085387E-2</v>
      </c>
      <c r="X104" s="522">
        <f t="shared" si="107"/>
        <v>8.9179448495515873E-2</v>
      </c>
      <c r="Y104" s="523">
        <f t="shared" si="107"/>
        <v>0.10580325548478416</v>
      </c>
      <c r="Z104" s="523">
        <f t="shared" si="107"/>
        <v>0.11732229123533471</v>
      </c>
      <c r="AA104" s="523">
        <f t="shared" si="107"/>
        <v>0.10743507648523655</v>
      </c>
      <c r="AB104" s="523">
        <f t="shared" si="107"/>
        <v>6.5491183879093293E-2</v>
      </c>
      <c r="AC104" s="522">
        <f t="shared" si="107"/>
        <v>9.8112885321492649E-2</v>
      </c>
      <c r="AD104" s="523">
        <f t="shared" si="107"/>
        <v>0.10566037735849058</v>
      </c>
      <c r="AE104" s="523">
        <f t="shared" si="107"/>
        <v>8.1502086230876222E-2</v>
      </c>
      <c r="AF104" s="523">
        <f t="shared" si="107"/>
        <v>0.10832830416415207</v>
      </c>
      <c r="AG104" s="523">
        <f t="shared" si="107"/>
        <v>0.10120898100172716</v>
      </c>
      <c r="AH104" s="522">
        <f t="shared" si="107"/>
        <v>9.8799909427126589E-2</v>
      </c>
      <c r="AI104" s="523">
        <f t="shared" ref="AI104:BN104" si="108">IF(ISERROR(AI86/AI26),"",(AI86/AI26))</f>
        <v>0.12984054669703873</v>
      </c>
      <c r="AJ104" s="523">
        <f t="shared" si="108"/>
        <v>0.10710421925712225</v>
      </c>
      <c r="AK104" s="523">
        <f t="shared" si="108"/>
        <v>7.6234928043562827E-2</v>
      </c>
      <c r="AL104" s="523">
        <f t="shared" si="108"/>
        <v>5.4388597149287309E-2</v>
      </c>
      <c r="AM104" s="522">
        <f t="shared" si="108"/>
        <v>9.3566723811242425E-2</v>
      </c>
      <c r="AN104" s="523">
        <f t="shared" si="108"/>
        <v>9.0494296577946748E-2</v>
      </c>
      <c r="AO104" s="523">
        <f t="shared" si="108"/>
        <v>0.13274336283185842</v>
      </c>
      <c r="AP104" s="523">
        <f t="shared" si="108"/>
        <v>0.11714770797962648</v>
      </c>
      <c r="AQ104" s="524">
        <f t="shared" si="108"/>
        <v>9.9678456591639847E-2</v>
      </c>
      <c r="AR104" s="525">
        <f t="shared" si="108"/>
        <v>0.11059986366734832</v>
      </c>
      <c r="AS104" s="524">
        <f t="shared" si="108"/>
        <v>0.14234016887816647</v>
      </c>
      <c r="AT104" s="524">
        <f t="shared" si="108"/>
        <v>0.1396663839411931</v>
      </c>
      <c r="AU104" s="524">
        <f t="shared" si="108"/>
        <v>0.13075611142694712</v>
      </c>
      <c r="AV104" s="524">
        <f t="shared" si="108"/>
        <v>0.13903743315508021</v>
      </c>
      <c r="AW104" s="525">
        <f t="shared" si="108"/>
        <v>0.13789141051422008</v>
      </c>
      <c r="AX104" s="524">
        <f t="shared" si="108"/>
        <v>0.15146213446638337</v>
      </c>
      <c r="AY104" s="524">
        <f t="shared" si="108"/>
        <v>0.18512024048096196</v>
      </c>
      <c r="AZ104" s="524">
        <f t="shared" si="108"/>
        <v>0.15321756894790603</v>
      </c>
      <c r="BA104" s="524">
        <f t="shared" si="108"/>
        <v>0.14020139426800929</v>
      </c>
      <c r="BB104" s="522">
        <f t="shared" si="108"/>
        <v>0.15764795336459256</v>
      </c>
      <c r="BC104" s="524">
        <f t="shared" si="108"/>
        <v>0.15126050420168072</v>
      </c>
      <c r="BD104" s="524">
        <f t="shared" si="108"/>
        <v>0.17013724562233787</v>
      </c>
      <c r="BE104" s="524">
        <f t="shared" si="108"/>
        <v>0.16735386854232359</v>
      </c>
      <c r="BF104" s="524">
        <f t="shared" si="108"/>
        <v>0.15698219306466729</v>
      </c>
      <c r="BG104" s="522">
        <f t="shared" si="108"/>
        <v>0.16142295316410438</v>
      </c>
      <c r="BH104" s="524">
        <f t="shared" si="108"/>
        <v>0.16157678145982241</v>
      </c>
      <c r="BI104" s="524">
        <f t="shared" si="108"/>
        <v>0.15975324399064031</v>
      </c>
      <c r="BJ104" s="524">
        <f t="shared" si="108"/>
        <v>0.17481743748616951</v>
      </c>
      <c r="BK104" s="524">
        <f t="shared" si="108"/>
        <v>0.16341670199236963</v>
      </c>
      <c r="BL104" s="522">
        <f t="shared" si="108"/>
        <v>0.1648073295607653</v>
      </c>
      <c r="BM104" s="524">
        <f t="shared" si="108"/>
        <v>0.17507418397626115</v>
      </c>
      <c r="BN104" s="524">
        <f t="shared" si="108"/>
        <v>0.19045616985495062</v>
      </c>
      <c r="BO104" s="524">
        <f t="shared" ref="BO104:CS104" si="109">IF(ISERROR(BO86/BO26),"",(BO86/BO26))</f>
        <v>0.1737967914438503</v>
      </c>
      <c r="BP104" s="524">
        <f t="shared" si="109"/>
        <v>0.17466121746612176</v>
      </c>
      <c r="BQ104" s="522">
        <f t="shared" si="109"/>
        <v>0.17859445519019987</v>
      </c>
      <c r="BR104" s="524">
        <f t="shared" si="109"/>
        <v>0.16857544705645972</v>
      </c>
      <c r="BS104" s="524">
        <f t="shared" si="109"/>
        <v>0.19154228855721392</v>
      </c>
      <c r="BT104" s="524">
        <f t="shared" si="109"/>
        <v>0.17802197802197806</v>
      </c>
      <c r="BU104" s="524">
        <f t="shared" si="109"/>
        <v>0.17993795243019647</v>
      </c>
      <c r="BV104" s="522">
        <f t="shared" si="109"/>
        <v>0.17966372299555952</v>
      </c>
      <c r="BW104" s="524">
        <f t="shared" si="109"/>
        <v>0.16416040100250628</v>
      </c>
      <c r="BX104" s="524">
        <f t="shared" si="109"/>
        <v>0.18257683696315896</v>
      </c>
      <c r="BY104" s="524">
        <f t="shared" si="109"/>
        <v>0.18128179043743642</v>
      </c>
      <c r="BZ104" s="524">
        <f t="shared" si="109"/>
        <v>0.18213797146765681</v>
      </c>
      <c r="CA104" s="522">
        <f t="shared" si="109"/>
        <v>0.17767192013378605</v>
      </c>
      <c r="CB104" s="524">
        <f t="shared" si="109"/>
        <v>0.15256433993704874</v>
      </c>
      <c r="CC104" s="524">
        <f t="shared" si="109"/>
        <v>0.17625570776255703</v>
      </c>
      <c r="CD104" s="524">
        <f t="shared" si="109"/>
        <v>0.17853839037927843</v>
      </c>
      <c r="CE104" s="524">
        <f t="shared" si="109"/>
        <v>0.17076648841354722</v>
      </c>
      <c r="CF104" s="522">
        <f t="shared" si="109"/>
        <v>0.16956740212872867</v>
      </c>
      <c r="CG104" s="524">
        <f t="shared" si="109"/>
        <v>0.16855222167568454</v>
      </c>
      <c r="CH104" s="524">
        <f t="shared" si="109"/>
        <v>0.18899835796387521</v>
      </c>
      <c r="CI104" s="524">
        <f t="shared" si="109"/>
        <v>0.1919650655021834</v>
      </c>
      <c r="CJ104" s="524">
        <f t="shared" si="109"/>
        <v>0.1726032252348042</v>
      </c>
      <c r="CK104" s="522">
        <f t="shared" si="109"/>
        <v>0.18049836566625627</v>
      </c>
      <c r="CL104" s="524">
        <f t="shared" si="109"/>
        <v>0.12144177449168207</v>
      </c>
      <c r="CM104" s="524">
        <f t="shared" si="109"/>
        <v>4.8196791401221004E-2</v>
      </c>
      <c r="CN104" s="524">
        <f t="shared" si="109"/>
        <v>9.5746081033791119E-2</v>
      </c>
      <c r="CO104" s="524">
        <f t="shared" si="109"/>
        <v>0.12052120470280424</v>
      </c>
      <c r="CP104" s="522">
        <f t="shared" si="109"/>
        <v>0.10189023093279052</v>
      </c>
      <c r="CQ104" s="522">
        <f t="shared" si="109"/>
        <v>0.12039521454154538</v>
      </c>
      <c r="CR104" s="522">
        <f t="shared" si="109"/>
        <v>0.13177940290759671</v>
      </c>
      <c r="CS104" s="522">
        <f t="shared" si="109"/>
        <v>0.14316052101866289</v>
      </c>
    </row>
    <row r="105" spans="2:97" hidden="1" outlineLevel="1">
      <c r="C105" s="475"/>
      <c r="D105" s="475"/>
      <c r="E105" s="475"/>
      <c r="F105" s="475"/>
      <c r="G105" s="475"/>
      <c r="H105" s="475"/>
      <c r="I105" s="475"/>
      <c r="J105" s="476"/>
      <c r="K105" s="476"/>
      <c r="L105" s="476"/>
      <c r="M105" s="476"/>
      <c r="N105" s="475"/>
      <c r="O105" s="476"/>
      <c r="P105" s="476"/>
      <c r="Q105" s="476"/>
      <c r="R105" s="476"/>
      <c r="S105" s="475"/>
      <c r="T105" s="476"/>
      <c r="U105" s="476"/>
      <c r="V105" s="476"/>
      <c r="W105" s="476"/>
      <c r="X105" s="475"/>
      <c r="Y105" s="476"/>
      <c r="Z105" s="476"/>
      <c r="AA105" s="476"/>
      <c r="AB105" s="476"/>
      <c r="AC105" s="475"/>
      <c r="AD105" s="476"/>
      <c r="AE105" s="476"/>
      <c r="AF105" s="476"/>
      <c r="AG105" s="476"/>
      <c r="AH105" s="475"/>
      <c r="AI105" s="476"/>
      <c r="AJ105" s="476"/>
      <c r="AK105" s="476"/>
      <c r="AL105" s="476"/>
      <c r="AM105" s="475"/>
      <c r="AN105" s="476"/>
      <c r="AO105" s="476"/>
      <c r="AP105" s="476"/>
      <c r="AQ105" s="508"/>
      <c r="AR105" s="509"/>
      <c r="AS105" s="508"/>
      <c r="AT105" s="508"/>
      <c r="AU105" s="508"/>
      <c r="AV105" s="508"/>
      <c r="AW105" s="509"/>
      <c r="AX105" s="508"/>
      <c r="AY105" s="508"/>
      <c r="AZ105" s="508"/>
      <c r="BA105" s="508"/>
      <c r="BB105" s="475"/>
      <c r="BC105" s="508"/>
      <c r="BD105" s="508"/>
      <c r="BE105" s="508"/>
      <c r="BF105" s="508"/>
      <c r="BG105" s="475"/>
      <c r="BH105" s="508"/>
      <c r="BI105" s="508"/>
      <c r="BJ105" s="508"/>
      <c r="BK105" s="508"/>
      <c r="BL105" s="475"/>
      <c r="BM105" s="508"/>
      <c r="BN105" s="508"/>
      <c r="BO105" s="508"/>
      <c r="BP105" s="508"/>
      <c r="BQ105" s="475"/>
      <c r="BR105" s="508"/>
      <c r="BS105" s="508"/>
      <c r="BT105" s="508"/>
      <c r="BU105" s="508"/>
      <c r="BV105" s="475"/>
      <c r="BW105" s="508"/>
      <c r="BX105" s="508"/>
      <c r="BY105" s="508"/>
      <c r="BZ105" s="508"/>
      <c r="CA105" s="475"/>
      <c r="CB105" s="508"/>
      <c r="CC105" s="508"/>
      <c r="CD105" s="508"/>
      <c r="CE105" s="508"/>
      <c r="CF105" s="475"/>
      <c r="CG105" s="508"/>
      <c r="CH105" s="508"/>
      <c r="CI105" s="508"/>
      <c r="CJ105" s="508"/>
      <c r="CK105" s="475"/>
      <c r="CL105" s="508"/>
      <c r="CM105" s="508"/>
      <c r="CN105" s="508"/>
      <c r="CO105" s="508"/>
      <c r="CP105" s="475"/>
      <c r="CQ105" s="475"/>
      <c r="CR105" s="475"/>
      <c r="CS105" s="475"/>
    </row>
    <row r="106" spans="2:97" hidden="1" outlineLevel="1">
      <c r="B106" s="481" t="s">
        <v>236</v>
      </c>
      <c r="C106" s="475"/>
      <c r="D106" s="475"/>
      <c r="E106" s="475"/>
      <c r="F106" s="475"/>
      <c r="G106" s="475"/>
      <c r="H106" s="475"/>
      <c r="I106" s="475"/>
      <c r="J106" s="476"/>
      <c r="K106" s="476"/>
      <c r="L106" s="476"/>
      <c r="M106" s="476"/>
      <c r="N106" s="475"/>
      <c r="O106" s="476"/>
      <c r="P106" s="476"/>
      <c r="Q106" s="476"/>
      <c r="R106" s="476"/>
      <c r="S106" s="475"/>
      <c r="T106" s="476"/>
      <c r="U106" s="476"/>
      <c r="V106" s="476"/>
      <c r="W106" s="476"/>
      <c r="X106" s="475"/>
      <c r="Y106" s="476"/>
      <c r="Z106" s="476"/>
      <c r="AA106" s="476"/>
      <c r="AB106" s="476"/>
      <c r="AC106" s="475"/>
      <c r="AD106" s="476"/>
      <c r="AE106" s="476"/>
      <c r="AF106" s="476"/>
      <c r="AG106" s="476"/>
      <c r="AH106" s="475"/>
      <c r="AI106" s="476"/>
      <c r="AJ106" s="476"/>
      <c r="AK106" s="476"/>
      <c r="AL106" s="476"/>
      <c r="AM106" s="475"/>
      <c r="AN106" s="476"/>
      <c r="AO106" s="476"/>
      <c r="AP106" s="476"/>
      <c r="AQ106" s="476"/>
      <c r="AR106" s="475"/>
      <c r="AS106" s="476"/>
      <c r="AT106" s="476"/>
      <c r="AU106" s="476"/>
      <c r="AV106" s="476"/>
      <c r="AW106" s="475"/>
      <c r="AX106" s="476"/>
      <c r="AY106" s="476"/>
      <c r="AZ106" s="476"/>
      <c r="BA106" s="476"/>
      <c r="BB106" s="475"/>
      <c r="BC106" s="476"/>
      <c r="BD106" s="476"/>
      <c r="BE106" s="476"/>
      <c r="BF106" s="476"/>
      <c r="BG106" s="475"/>
      <c r="BH106" s="476"/>
      <c r="BI106" s="476"/>
      <c r="BJ106" s="476"/>
      <c r="BK106" s="476"/>
      <c r="BL106" s="475"/>
      <c r="BM106" s="476"/>
      <c r="BN106" s="476"/>
      <c r="BO106" s="476"/>
      <c r="BP106" s="476"/>
      <c r="BQ106" s="475"/>
      <c r="BR106" s="476"/>
      <c r="BS106" s="476"/>
      <c r="BT106" s="476"/>
      <c r="BU106" s="476"/>
      <c r="BV106" s="475"/>
      <c r="BW106" s="476"/>
      <c r="BX106" s="476"/>
      <c r="BY106" s="476"/>
      <c r="BZ106" s="476"/>
      <c r="CA106" s="475"/>
      <c r="CB106" s="476"/>
      <c r="CC106" s="476"/>
      <c r="CD106" s="476"/>
      <c r="CE106" s="476"/>
      <c r="CF106" s="475"/>
      <c r="CG106" s="476"/>
      <c r="CH106" s="476"/>
      <c r="CI106" s="476"/>
      <c r="CJ106" s="476"/>
      <c r="CK106" s="475"/>
      <c r="CL106" s="476"/>
      <c r="CM106" s="476"/>
      <c r="CN106" s="476"/>
      <c r="CO106" s="476"/>
      <c r="CP106" s="475"/>
      <c r="CQ106" s="475"/>
      <c r="CR106" s="475"/>
      <c r="CS106" s="475"/>
    </row>
    <row r="107" spans="2:97" hidden="1" outlineLevel="1">
      <c r="B107" s="433" t="s">
        <v>90</v>
      </c>
      <c r="C107" s="475"/>
      <c r="D107" s="475"/>
      <c r="E107" s="475"/>
      <c r="F107" s="475"/>
      <c r="G107" s="475"/>
      <c r="H107" s="475"/>
      <c r="I107" s="475"/>
      <c r="J107" s="476"/>
      <c r="K107" s="476"/>
      <c r="L107" s="476"/>
      <c r="M107" s="476"/>
      <c r="N107" s="475"/>
      <c r="O107" s="476"/>
      <c r="P107" s="476"/>
      <c r="Q107" s="476"/>
      <c r="R107" s="476"/>
      <c r="S107" s="475"/>
      <c r="T107" s="476">
        <f t="shared" ref="T107:AY107" si="110">IF(ISERROR((T79-O79)/(T13-O13)),"",((T79-O79)/(T13-O13)))</f>
        <v>0.17899291896144764</v>
      </c>
      <c r="U107" s="476">
        <f t="shared" si="110"/>
        <v>0.14920774647887325</v>
      </c>
      <c r="V107" s="476">
        <f t="shared" si="110"/>
        <v>0.14467253176930597</v>
      </c>
      <c r="W107" s="476">
        <f t="shared" si="110"/>
        <v>0.132082844861274</v>
      </c>
      <c r="X107" s="475">
        <f t="shared" si="110"/>
        <v>0.15160845100329123</v>
      </c>
      <c r="Y107" s="476">
        <f t="shared" si="110"/>
        <v>0.6056338028168996</v>
      </c>
      <c r="Z107" s="476">
        <f t="shared" si="110"/>
        <v>0.32824427480916007</v>
      </c>
      <c r="AA107" s="476">
        <f t="shared" si="110"/>
        <v>0.15925925925925916</v>
      </c>
      <c r="AB107" s="476">
        <f t="shared" si="110"/>
        <v>0</v>
      </c>
      <c r="AC107" s="475">
        <f t="shared" si="110"/>
        <v>0</v>
      </c>
      <c r="AD107" s="476">
        <f t="shared" si="110"/>
        <v>0.15337423312883441</v>
      </c>
      <c r="AE107" s="476">
        <f t="shared" si="110"/>
        <v>2.3809523809523808E-2</v>
      </c>
      <c r="AF107" s="476">
        <f t="shared" si="110"/>
        <v>0.11255411255411257</v>
      </c>
      <c r="AG107" s="476">
        <f t="shared" si="110"/>
        <v>-9.6774193548388177E-2</v>
      </c>
      <c r="AH107" s="475">
        <f t="shared" si="110"/>
        <v>0.11469534050179202</v>
      </c>
      <c r="AI107" s="476">
        <f t="shared" si="110"/>
        <v>-1.6949152542372933E-2</v>
      </c>
      <c r="AJ107" s="476">
        <f t="shared" si="110"/>
        <v>0.11311672683513838</v>
      </c>
      <c r="AK107" s="476">
        <f t="shared" si="110"/>
        <v>0.2414248021108179</v>
      </c>
      <c r="AL107" s="476">
        <f t="shared" si="110"/>
        <v>0.54423592493297501</v>
      </c>
      <c r="AM107" s="475">
        <f t="shared" si="110"/>
        <v>0.20466321243523322</v>
      </c>
      <c r="AN107" s="476">
        <f t="shared" si="110"/>
        <v>0.32579185520361997</v>
      </c>
      <c r="AO107" s="476">
        <f t="shared" si="110"/>
        <v>0.41390728476821159</v>
      </c>
      <c r="AP107" s="476">
        <f t="shared" si="110"/>
        <v>0.41666666666666646</v>
      </c>
      <c r="AQ107" s="476">
        <f t="shared" si="110"/>
        <v>0.40487804878048728</v>
      </c>
      <c r="AR107" s="475">
        <f t="shared" si="110"/>
        <v>0.47474747474747497</v>
      </c>
      <c r="AS107" s="476">
        <f t="shared" si="110"/>
        <v>0.31527093596059119</v>
      </c>
      <c r="AT107" s="476">
        <f t="shared" si="110"/>
        <v>0.14143920595533513</v>
      </c>
      <c r="AU107" s="476">
        <f t="shared" si="110"/>
        <v>0.25352112676056349</v>
      </c>
      <c r="AV107" s="476">
        <f t="shared" si="110"/>
        <v>0.46489104116222835</v>
      </c>
      <c r="AW107" s="475">
        <f t="shared" si="110"/>
        <v>0.29659643435980571</v>
      </c>
      <c r="AX107" s="476">
        <f t="shared" si="110"/>
        <v>0.2584814216478189</v>
      </c>
      <c r="AY107" s="476">
        <f t="shared" si="110"/>
        <v>0.79217603911980383</v>
      </c>
      <c r="AZ107" s="476">
        <f t="shared" ref="AZ107:CE107" si="111">IF(ISERROR((AZ79-AU79)/(AZ13-AU13)),"",((AZ79-AU79)/(AZ13-AU13)))</f>
        <v>0.32249322493224947</v>
      </c>
      <c r="BA107" s="476">
        <f t="shared" si="111"/>
        <v>0.1269035532994921</v>
      </c>
      <c r="BB107" s="475">
        <f t="shared" si="111"/>
        <v>0.3939774153074026</v>
      </c>
      <c r="BC107" s="476">
        <f t="shared" si="111"/>
        <v>0.2234042553191504</v>
      </c>
      <c r="BD107" s="476">
        <f t="shared" si="111"/>
        <v>-0.87387387387387683</v>
      </c>
      <c r="BE107" s="476">
        <f t="shared" si="111"/>
        <v>0.74050632911392367</v>
      </c>
      <c r="BF107" s="476">
        <f t="shared" si="111"/>
        <v>0.48220064724919126</v>
      </c>
      <c r="BG107" s="475">
        <f t="shared" si="111"/>
        <v>0.28273809523809507</v>
      </c>
      <c r="BH107" s="476">
        <f t="shared" si="111"/>
        <v>0.24024024024024015</v>
      </c>
      <c r="BI107" s="476">
        <f t="shared" si="111"/>
        <v>0.23180592991913718</v>
      </c>
      <c r="BJ107" s="476">
        <f t="shared" si="111"/>
        <v>0.19256756756756752</v>
      </c>
      <c r="BK107" s="476">
        <f t="shared" si="111"/>
        <v>0.31192660550458734</v>
      </c>
      <c r="BL107" s="475">
        <f t="shared" si="111"/>
        <v>0.24491333835719661</v>
      </c>
      <c r="BM107" s="476">
        <f t="shared" si="111"/>
        <v>1.0230769230769274</v>
      </c>
      <c r="BN107" s="476">
        <f t="shared" si="111"/>
        <v>0.83823529411764963</v>
      </c>
      <c r="BO107" s="476">
        <f t="shared" si="111"/>
        <v>-7.5000000000003911E-2</v>
      </c>
      <c r="BP107" s="476">
        <f t="shared" si="111"/>
        <v>0.27522935779816426</v>
      </c>
      <c r="BQ107" s="475">
        <f t="shared" si="111"/>
        <v>0.66024096385542475</v>
      </c>
      <c r="BR107" s="476">
        <f t="shared" si="111"/>
        <v>6.1302681992336891E-2</v>
      </c>
      <c r="BS107" s="476">
        <f t="shared" si="111"/>
        <v>0.20472440944881867</v>
      </c>
      <c r="BT107" s="476">
        <f t="shared" si="111"/>
        <v>0.28767123287671226</v>
      </c>
      <c r="BU107" s="476">
        <f t="shared" si="111"/>
        <v>0.26341463414634103</v>
      </c>
      <c r="BV107" s="475">
        <f t="shared" si="111"/>
        <v>0.21616161616161594</v>
      </c>
      <c r="BW107" s="476">
        <f t="shared" si="111"/>
        <v>0.95698924731183177</v>
      </c>
      <c r="BX107" s="476">
        <f t="shared" si="111"/>
        <v>0.29874213836477975</v>
      </c>
      <c r="BY107" s="476">
        <f t="shared" si="111"/>
        <v>1.333333333333286</v>
      </c>
      <c r="BZ107" s="476">
        <f t="shared" si="111"/>
        <v>0.35622317596566644</v>
      </c>
      <c r="CA107" s="475">
        <f t="shared" si="111"/>
        <v>0.52662721893490705</v>
      </c>
      <c r="CB107" s="476">
        <f t="shared" si="111"/>
        <v>0.15371621621621614</v>
      </c>
      <c r="CC107" s="476">
        <f t="shared" si="111"/>
        <v>1.8621973929236483E-2</v>
      </c>
      <c r="CD107" s="476">
        <f t="shared" si="111"/>
        <v>7.2046109510086484E-2</v>
      </c>
      <c r="CE107" s="476">
        <f t="shared" si="111"/>
        <v>4.8913043478260775E-2</v>
      </c>
      <c r="CF107" s="475">
        <f t="shared" ref="CF107:CP107" si="112">IF(ISERROR((CF79-CA79)/(CF13-CA13)),"",((CF79-CA79)/(CF13-CA13)))</f>
        <v>7.8091106290672507E-2</v>
      </c>
      <c r="CG107" s="476">
        <f t="shared" si="112"/>
        <v>0.49883990719257582</v>
      </c>
      <c r="CH107" s="476">
        <f t="shared" si="112"/>
        <v>0.47461928934010189</v>
      </c>
      <c r="CI107" s="476">
        <f t="shared" si="112"/>
        <v>0.35680751173708875</v>
      </c>
      <c r="CJ107" s="476">
        <f t="shared" si="112"/>
        <v>4.291666666666706</v>
      </c>
      <c r="CK107" s="475">
        <f t="shared" si="112"/>
        <v>0.36982248520710054</v>
      </c>
      <c r="CL107" s="476">
        <f t="shared" si="112"/>
        <v>0.48165137614678938</v>
      </c>
      <c r="CM107" s="476">
        <f t="shared" si="112"/>
        <v>0.37882043814546745</v>
      </c>
      <c r="CN107" s="476">
        <f t="shared" si="112"/>
        <v>0.36499635622811444</v>
      </c>
      <c r="CO107" s="476">
        <f t="shared" si="112"/>
        <v>0.31748374075893138</v>
      </c>
      <c r="CP107" s="475">
        <f t="shared" si="112"/>
        <v>0.37120744765511909</v>
      </c>
      <c r="CQ107" s="475">
        <f>IF(ISERROR((CQ79-CP79)/(CQ13-CP13)),"",((CQ79-CP79)/(CQ13-CP13)))</f>
        <v>0.24281363723272117</v>
      </c>
      <c r="CR107" s="475">
        <f>IF(ISERROR((CR79-CQ79)/(CR13-CQ13)),"",((CR79-CQ79)/(CR13-CQ13)))</f>
        <v>0.25663432850354878</v>
      </c>
      <c r="CS107" s="475">
        <f>IF(ISERROR((CS79-CR79)/(CS13-CR13)),"",((CS79-CR79)/(CS13-CR13)))</f>
        <v>0.26316903380155449</v>
      </c>
    </row>
    <row r="108" spans="2:97" hidden="1" outlineLevel="1">
      <c r="B108" s="433" t="s">
        <v>91</v>
      </c>
      <c r="C108" s="475"/>
      <c r="D108" s="475"/>
      <c r="E108" s="475"/>
      <c r="F108" s="475"/>
      <c r="G108" s="475"/>
      <c r="H108" s="475"/>
      <c r="I108" s="475"/>
      <c r="J108" s="476"/>
      <c r="K108" s="476"/>
      <c r="L108" s="476"/>
      <c r="M108" s="476"/>
      <c r="N108" s="475"/>
      <c r="O108" s="476"/>
      <c r="P108" s="476"/>
      <c r="Q108" s="476"/>
      <c r="R108" s="476"/>
      <c r="S108" s="475"/>
      <c r="T108" s="476">
        <f t="shared" ref="T108:AY108" si="113">IF(ISERROR((T80-O80)/(T19-O19)),"",((T80-O80)/(T19-O19)))</f>
        <v>5.6241426611796951E-2</v>
      </c>
      <c r="U108" s="476">
        <f t="shared" si="113"/>
        <v>0.13034188034188035</v>
      </c>
      <c r="V108" s="476">
        <f t="shared" si="113"/>
        <v>9.853249475890985E-2</v>
      </c>
      <c r="W108" s="476">
        <f t="shared" si="113"/>
        <v>0.10355987055016184</v>
      </c>
      <c r="X108" s="475">
        <f t="shared" si="113"/>
        <v>9.2931937172774856E-2</v>
      </c>
      <c r="Y108" s="476">
        <f t="shared" si="113"/>
        <v>-4.0609137055837685E-2</v>
      </c>
      <c r="Z108" s="476">
        <f t="shared" si="113"/>
        <v>-8.3333333333333329E-2</v>
      </c>
      <c r="AA108" s="476">
        <f t="shared" si="113"/>
        <v>2.0408163265306145E-2</v>
      </c>
      <c r="AB108" s="476">
        <f t="shared" si="113"/>
        <v>0</v>
      </c>
      <c r="AC108" s="475">
        <f t="shared" si="113"/>
        <v>1.4210854715202005E-15</v>
      </c>
      <c r="AD108" s="476">
        <f t="shared" si="113"/>
        <v>0.22627737226277364</v>
      </c>
      <c r="AE108" s="476">
        <f t="shared" si="113"/>
        <v>0.35365853658536578</v>
      </c>
      <c r="AF108" s="476">
        <f t="shared" si="113"/>
        <v>0.28301886792452846</v>
      </c>
      <c r="AG108" s="476">
        <f t="shared" si="113"/>
        <v>0.22471910112359589</v>
      </c>
      <c r="AH108" s="475">
        <f t="shared" si="113"/>
        <v>0.30054644808743153</v>
      </c>
      <c r="AI108" s="476">
        <f t="shared" si="113"/>
        <v>-0.19999999999999982</v>
      </c>
      <c r="AJ108" s="476">
        <f t="shared" si="113"/>
        <v>-0.54285714285714293</v>
      </c>
      <c r="AK108" s="476">
        <f t="shared" si="113"/>
        <v>-1.0000000000000007</v>
      </c>
      <c r="AL108" s="476">
        <f t="shared" si="113"/>
        <v>0.48598130841121523</v>
      </c>
      <c r="AM108" s="475">
        <f t="shared" si="113"/>
        <v>5.1666666666666341</v>
      </c>
      <c r="AN108" s="476">
        <f t="shared" si="113"/>
        <v>-8.6666666666667478</v>
      </c>
      <c r="AO108" s="476">
        <f t="shared" si="113"/>
        <v>0.26666666666666633</v>
      </c>
      <c r="AP108" s="476">
        <f t="shared" si="113"/>
        <v>0.48235294117647026</v>
      </c>
      <c r="AQ108" s="476">
        <f t="shared" si="113"/>
        <v>0.31343283582089654</v>
      </c>
      <c r="AR108" s="475">
        <f t="shared" si="113"/>
        <v>0.53631284916201194</v>
      </c>
      <c r="AS108" s="476">
        <f t="shared" si="113"/>
        <v>8.4615384615384634E-2</v>
      </c>
      <c r="AT108" s="476">
        <f t="shared" si="113"/>
        <v>0.11320754716981132</v>
      </c>
      <c r="AU108" s="476">
        <f t="shared" si="113"/>
        <v>0.21717171717171715</v>
      </c>
      <c r="AV108" s="476">
        <f t="shared" si="113"/>
        <v>-0.10937500000000035</v>
      </c>
      <c r="AW108" s="475">
        <f t="shared" si="113"/>
        <v>0.11847389558232913</v>
      </c>
      <c r="AX108" s="476">
        <f t="shared" si="113"/>
        <v>-8.333333333333319E-2</v>
      </c>
      <c r="AY108" s="476">
        <f t="shared" si="113"/>
        <v>-3.5714285714285941E-2</v>
      </c>
      <c r="AZ108" s="476">
        <f t="shared" ref="AZ108:CE108" si="114">IF(ISERROR((AZ80-AU80)/(AZ19-AU19)),"",((AZ80-AU80)/(AZ19-AU19)))</f>
        <v>-0.44827586206896647</v>
      </c>
      <c r="BA108" s="476">
        <f t="shared" si="114"/>
        <v>9.302325581395339E-2</v>
      </c>
      <c r="BB108" s="475">
        <f t="shared" si="114"/>
        <v>-3.3557046979865821E-2</v>
      </c>
      <c r="BC108" s="476">
        <f t="shared" si="114"/>
        <v>0.19277108433734941</v>
      </c>
      <c r="BD108" s="476">
        <f t="shared" si="114"/>
        <v>0.21656050955414011</v>
      </c>
      <c r="BE108" s="476">
        <f t="shared" si="114"/>
        <v>0</v>
      </c>
      <c r="BF108" s="476">
        <f t="shared" si="114"/>
        <v>0.26190476190476208</v>
      </c>
      <c r="BG108" s="475">
        <f t="shared" si="114"/>
        <v>0.18949771689497696</v>
      </c>
      <c r="BH108" s="476">
        <f t="shared" si="114"/>
        <v>0.2272727272727271</v>
      </c>
      <c r="BI108" s="476">
        <f t="shared" si="114"/>
        <v>0.23584905660377387</v>
      </c>
      <c r="BJ108" s="476">
        <f t="shared" si="114"/>
        <v>0.18749999999999972</v>
      </c>
      <c r="BK108" s="476">
        <f t="shared" si="114"/>
        <v>8.0808080808080829E-2</v>
      </c>
      <c r="BL108" s="475">
        <f t="shared" si="114"/>
        <v>0.18706697459584318</v>
      </c>
      <c r="BM108" s="476">
        <f t="shared" si="114"/>
        <v>1.6999999999999993</v>
      </c>
      <c r="BN108" s="476">
        <f t="shared" si="114"/>
        <v>0.47058823529411797</v>
      </c>
      <c r="BO108" s="476">
        <f t="shared" si="114"/>
        <v>0.3125</v>
      </c>
      <c r="BP108" s="476">
        <f t="shared" si="114"/>
        <v>0.39583333333333365</v>
      </c>
      <c r="BQ108" s="475">
        <f t="shared" si="114"/>
        <v>0.44094488188976427</v>
      </c>
      <c r="BR108" s="476">
        <f t="shared" si="114"/>
        <v>0.92307692307692457</v>
      </c>
      <c r="BS108" s="476">
        <f t="shared" si="114"/>
        <v>0.55102040816326492</v>
      </c>
      <c r="BT108" s="476">
        <f t="shared" si="114"/>
        <v>-1.4444444444444569</v>
      </c>
      <c r="BU108" s="476">
        <f t="shared" si="114"/>
        <v>-6.9999999999999923E-2</v>
      </c>
      <c r="BV108" s="475">
        <f t="shared" si="114"/>
        <v>0.34337349397590333</v>
      </c>
      <c r="BW108" s="476">
        <f t="shared" si="114"/>
        <v>-6.6037735849056478E-2</v>
      </c>
      <c r="BX108" s="476">
        <f t="shared" si="114"/>
        <v>-0.12121212121212142</v>
      </c>
      <c r="BY108" s="476">
        <f t="shared" si="114"/>
        <v>8.2474226804123765E-2</v>
      </c>
      <c r="BZ108" s="476">
        <f t="shared" si="114"/>
        <v>-0.2931034482758621</v>
      </c>
      <c r="CA108" s="475">
        <f t="shared" si="114"/>
        <v>7.8651685393257897E-2</v>
      </c>
      <c r="CB108" s="476">
        <f t="shared" si="114"/>
        <v>-0.73809523809523747</v>
      </c>
      <c r="CC108" s="476">
        <f t="shared" si="114"/>
        <v>0.49350649350649339</v>
      </c>
      <c r="CD108" s="476">
        <f t="shared" si="114"/>
        <v>0.22516556291390719</v>
      </c>
      <c r="CE108" s="476">
        <f t="shared" si="114"/>
        <v>-0.14569536423841059</v>
      </c>
      <c r="CF108" s="475">
        <f t="shared" ref="CF108:CP108" si="115">IF(ISERROR((CF80-CA80)/(CF19-CA19)),"",((CF80-CA80)/(CF19-CA19)))</f>
        <v>4.5130641330166046E-2</v>
      </c>
      <c r="CG108" s="476">
        <f t="shared" si="115"/>
        <v>0.18283582089552242</v>
      </c>
      <c r="CH108" s="476">
        <f t="shared" si="115"/>
        <v>1.7167381974248944E-2</v>
      </c>
      <c r="CI108" s="476">
        <f t="shared" si="115"/>
        <v>0.28571428571428581</v>
      </c>
      <c r="CJ108" s="476">
        <f t="shared" si="115"/>
        <v>1.4487179487179493</v>
      </c>
      <c r="CK108" s="475">
        <f t="shared" si="115"/>
        <v>0.28647925033467214</v>
      </c>
      <c r="CL108" s="476">
        <f t="shared" si="115"/>
        <v>0.43005181347150268</v>
      </c>
      <c r="CM108" s="476">
        <f t="shared" si="115"/>
        <v>0.1999923430213181</v>
      </c>
      <c r="CN108" s="476">
        <f t="shared" si="115"/>
        <v>0.27356232274576897</v>
      </c>
      <c r="CO108" s="476">
        <f t="shared" si="115"/>
        <v>0.33766293649480766</v>
      </c>
      <c r="CP108" s="475">
        <f t="shared" si="115"/>
        <v>0.27631375118249735</v>
      </c>
      <c r="CQ108" s="475">
        <f>IF(ISERROR((CQ80-CP80)/(CQ19-CP19)),"",((CQ80-CP80)/(CQ19-CP19)))</f>
        <v>0.42258108670263322</v>
      </c>
      <c r="CR108" s="475">
        <f>IF(ISERROR((CR80-CQ80)/(CR19-CQ19)),"",((CR80-CQ80)/(CR19-CQ19)))</f>
        <v>0.27736384809368447</v>
      </c>
      <c r="CS108" s="475">
        <f>IF(ISERROR((CS80-CR80)/(CS19-CR19)),"",((CS80-CR80)/(CS19-CR19)))</f>
        <v>0.22119822471453049</v>
      </c>
    </row>
    <row r="109" spans="2:97" hidden="1" outlineLevel="1">
      <c r="B109" s="503" t="s">
        <v>102</v>
      </c>
      <c r="C109" s="504"/>
      <c r="D109" s="504">
        <f t="shared" ref="D109:I111" si="116">IF(ISERROR((D81-C81)/(D22-C22)),"",(D81-C81)/(D22-C22))</f>
        <v>4.3696022560366692E-2</v>
      </c>
      <c r="E109" s="504">
        <f t="shared" si="116"/>
        <v>0.40194182918628069</v>
      </c>
      <c r="F109" s="504">
        <f t="shared" si="116"/>
        <v>-1.2853470437018002E-2</v>
      </c>
      <c r="G109" s="504">
        <f t="shared" si="116"/>
        <v>3.1941031941031837E-2</v>
      </c>
      <c r="H109" s="504">
        <f t="shared" si="116"/>
        <v>5.312084993359889E-2</v>
      </c>
      <c r="I109" s="504">
        <f t="shared" si="116"/>
        <v>1.9083969465648862E-2</v>
      </c>
      <c r="J109" s="505"/>
      <c r="K109" s="505"/>
      <c r="L109" s="505"/>
      <c r="M109" s="505"/>
      <c r="N109" s="504">
        <f t="shared" ref="N109:X111" si="117">IF(ISERROR((N81-I81)/(N22-I22)),"",(N81-I81)/(N22-I22))</f>
        <v>0.22502522704339042</v>
      </c>
      <c r="O109" s="505">
        <f t="shared" si="117"/>
        <v>0.22357723577235777</v>
      </c>
      <c r="P109" s="505">
        <f t="shared" si="117"/>
        <v>9.5890410958904063E-2</v>
      </c>
      <c r="Q109" s="505">
        <f t="shared" si="117"/>
        <v>0.17578124999999983</v>
      </c>
      <c r="R109" s="505">
        <f t="shared" si="117"/>
        <v>7.6923076923079078E-2</v>
      </c>
      <c r="S109" s="504">
        <f t="shared" si="117"/>
        <v>0.14451988360814746</v>
      </c>
      <c r="T109" s="505">
        <f t="shared" si="117"/>
        <v>9.5238095238095052E-2</v>
      </c>
      <c r="U109" s="505">
        <f t="shared" si="117"/>
        <v>0.12765957446808532</v>
      </c>
      <c r="V109" s="505">
        <f t="shared" si="117"/>
        <v>9.5890410958904049E-2</v>
      </c>
      <c r="W109" s="505">
        <f t="shared" si="117"/>
        <v>-0.18232044198895067</v>
      </c>
      <c r="X109" s="504">
        <f t="shared" si="117"/>
        <v>1.8032786885245809E-2</v>
      </c>
      <c r="Y109" s="505"/>
      <c r="Z109" s="505"/>
      <c r="AA109" s="505"/>
      <c r="AB109" s="505"/>
      <c r="AC109" s="504"/>
      <c r="AD109" s="505" t="str">
        <f t="shared" ref="AD109:AK111" si="118">IF(ISERROR(AD91/Y91-1),"",(AD91/Y91-1))</f>
        <v/>
      </c>
      <c r="AE109" s="505" t="str">
        <f t="shared" si="118"/>
        <v/>
      </c>
      <c r="AF109" s="505" t="str">
        <f t="shared" si="118"/>
        <v/>
      </c>
      <c r="AG109" s="505" t="str">
        <f t="shared" si="118"/>
        <v/>
      </c>
      <c r="AH109" s="504" t="str">
        <f t="shared" si="118"/>
        <v/>
      </c>
      <c r="AI109" s="505" t="str">
        <f t="shared" si="118"/>
        <v/>
      </c>
      <c r="AJ109" s="505" t="str">
        <f t="shared" si="118"/>
        <v/>
      </c>
      <c r="AK109" s="505" t="str">
        <f t="shared" si="118"/>
        <v/>
      </c>
      <c r="AL109" s="505"/>
      <c r="AM109" s="504"/>
      <c r="AN109" s="505"/>
      <c r="AO109" s="505"/>
      <c r="AP109" s="505"/>
      <c r="AQ109" s="505"/>
      <c r="AR109" s="504"/>
      <c r="AS109" s="505"/>
      <c r="AT109" s="505"/>
      <c r="AU109" s="505"/>
      <c r="AV109" s="505"/>
      <c r="AW109" s="504"/>
      <c r="AX109" s="505"/>
      <c r="AY109" s="505"/>
      <c r="AZ109" s="505"/>
      <c r="BA109" s="505"/>
      <c r="BB109" s="504" t="str">
        <f>IF(ISERROR(BB91/AW91-1),"",(BB91/AW91-1))</f>
        <v/>
      </c>
      <c r="BC109" s="505"/>
      <c r="BD109" s="505"/>
      <c r="BE109" s="505"/>
      <c r="BF109" s="505"/>
      <c r="BG109" s="504" t="str">
        <f>IF(ISERROR(BG91/BB91-1),"",(BG91/BB91-1))</f>
        <v/>
      </c>
      <c r="BH109" s="505"/>
      <c r="BI109" s="505"/>
      <c r="BJ109" s="505"/>
      <c r="BK109" s="505"/>
      <c r="BL109" s="504" t="str">
        <f>IF(ISERROR(BL91/BG91-1),"",(BL91/BG91-1))</f>
        <v/>
      </c>
      <c r="BM109" s="505"/>
      <c r="BN109" s="505"/>
      <c r="BO109" s="505"/>
      <c r="BP109" s="505"/>
      <c r="BQ109" s="504" t="str">
        <f>IF(ISERROR(BQ91/BL91-1),"",(BQ91/BL91-1))</f>
        <v/>
      </c>
      <c r="BR109" s="505"/>
      <c r="BS109" s="505"/>
      <c r="BT109" s="505"/>
      <c r="BU109" s="505"/>
      <c r="BV109" s="504" t="str">
        <f>IF(ISERROR(BV91/BQ91-1),"",(BV91/BQ91-1))</f>
        <v/>
      </c>
      <c r="BW109" s="505"/>
      <c r="BX109" s="505"/>
      <c r="BY109" s="505"/>
      <c r="BZ109" s="505"/>
      <c r="CA109" s="504" t="str">
        <f>IF(ISERROR(CA91/BV91-1),"",(CA91/BV91-1))</f>
        <v/>
      </c>
      <c r="CB109" s="505"/>
      <c r="CC109" s="505"/>
      <c r="CD109" s="505"/>
      <c r="CE109" s="505"/>
      <c r="CF109" s="504" t="str">
        <f>IF(ISERROR(CF91/CA91-1),"",(CF91/CA91-1))</f>
        <v/>
      </c>
      <c r="CG109" s="505"/>
      <c r="CH109" s="505"/>
      <c r="CI109" s="505"/>
      <c r="CJ109" s="505"/>
      <c r="CK109" s="504" t="str">
        <f>IF(ISERROR(CK91/CF91-1),"",(CK91/CF91-1))</f>
        <v/>
      </c>
      <c r="CL109" s="505"/>
      <c r="CM109" s="505"/>
      <c r="CN109" s="505"/>
      <c r="CO109" s="505"/>
      <c r="CP109" s="504" t="str">
        <f>IF(ISERROR(CP91/CK91-1),"",(CP91/CK91-1))</f>
        <v/>
      </c>
      <c r="CQ109" s="504" t="str">
        <f t="shared" ref="CQ109:CS111" si="119">IF(ISERROR(CQ91/CP91-1),"",(CQ91/CP91-1))</f>
        <v/>
      </c>
      <c r="CR109" s="504" t="str">
        <f t="shared" si="119"/>
        <v/>
      </c>
      <c r="CS109" s="504" t="str">
        <f t="shared" si="119"/>
        <v/>
      </c>
    </row>
    <row r="110" spans="2:97" hidden="1" outlineLevel="1">
      <c r="B110" s="433" t="s">
        <v>103</v>
      </c>
      <c r="C110" s="475"/>
      <c r="D110" s="475">
        <f t="shared" si="116"/>
        <v>0.31132230649730419</v>
      </c>
      <c r="E110" s="475">
        <f t="shared" si="116"/>
        <v>-0.2237168308431918</v>
      </c>
      <c r="F110" s="475">
        <f t="shared" si="116"/>
        <v>0.44169611307420475</v>
      </c>
      <c r="G110" s="475">
        <f t="shared" si="116"/>
        <v>0.379854368932039</v>
      </c>
      <c r="H110" s="475">
        <f t="shared" si="116"/>
        <v>-7.979626485568761E-2</v>
      </c>
      <c r="I110" s="475">
        <f t="shared" si="116"/>
        <v>-0.22818791946308731</v>
      </c>
      <c r="J110" s="476"/>
      <c r="K110" s="476"/>
      <c r="L110" s="476"/>
      <c r="M110" s="476"/>
      <c r="N110" s="475">
        <f t="shared" si="117"/>
        <v>0.271362586605081</v>
      </c>
      <c r="O110" s="476">
        <f t="shared" si="117"/>
        <v>1.6071428571428505</v>
      </c>
      <c r="P110" s="476">
        <f t="shared" si="117"/>
        <v>0.1818181818181818</v>
      </c>
      <c r="Q110" s="476">
        <f t="shared" si="117"/>
        <v>4.6666666666666738E-2</v>
      </c>
      <c r="R110" s="476">
        <f t="shared" si="117"/>
        <v>-0.10843373493975872</v>
      </c>
      <c r="S110" s="475">
        <f t="shared" si="117"/>
        <v>-0.11702127659574463</v>
      </c>
      <c r="T110" s="476">
        <f t="shared" si="117"/>
        <v>0.50602409638554136</v>
      </c>
      <c r="U110" s="476">
        <f t="shared" si="117"/>
        <v>0.42592592592592599</v>
      </c>
      <c r="V110" s="476">
        <f t="shared" si="117"/>
        <v>0.16504854368932026</v>
      </c>
      <c r="W110" s="476">
        <f t="shared" si="117"/>
        <v>0.24436090225563942</v>
      </c>
      <c r="X110" s="475">
        <f t="shared" si="117"/>
        <v>0.30357142857142855</v>
      </c>
      <c r="Y110" s="476"/>
      <c r="Z110" s="476"/>
      <c r="AA110" s="476"/>
      <c r="AB110" s="476"/>
      <c r="AC110" s="475"/>
      <c r="AD110" s="476" t="str">
        <f t="shared" si="118"/>
        <v/>
      </c>
      <c r="AE110" s="476" t="str">
        <f t="shared" si="118"/>
        <v/>
      </c>
      <c r="AF110" s="476" t="str">
        <f t="shared" si="118"/>
        <v/>
      </c>
      <c r="AG110" s="476" t="str">
        <f t="shared" si="118"/>
        <v/>
      </c>
      <c r="AH110" s="475" t="str">
        <f t="shared" si="118"/>
        <v/>
      </c>
      <c r="AI110" s="476" t="str">
        <f t="shared" si="118"/>
        <v/>
      </c>
      <c r="AJ110" s="476" t="str">
        <f t="shared" si="118"/>
        <v/>
      </c>
      <c r="AK110" s="476" t="str">
        <f t="shared" si="118"/>
        <v/>
      </c>
      <c r="AL110" s="476" t="str">
        <f t="shared" ref="AL110:AW111" si="120">IF(ISERROR(AL92/AG92-1),"",(AL92/AG92-1))</f>
        <v/>
      </c>
      <c r="AM110" s="475" t="str">
        <f t="shared" si="120"/>
        <v/>
      </c>
      <c r="AN110" s="476" t="str">
        <f t="shared" si="120"/>
        <v/>
      </c>
      <c r="AO110" s="476" t="str">
        <f t="shared" si="120"/>
        <v/>
      </c>
      <c r="AP110" s="476" t="str">
        <f t="shared" si="120"/>
        <v/>
      </c>
      <c r="AQ110" s="476" t="str">
        <f t="shared" si="120"/>
        <v/>
      </c>
      <c r="AR110" s="475" t="str">
        <f t="shared" si="120"/>
        <v/>
      </c>
      <c r="AS110" s="476" t="str">
        <f t="shared" si="120"/>
        <v/>
      </c>
      <c r="AT110" s="476" t="str">
        <f t="shared" si="120"/>
        <v/>
      </c>
      <c r="AU110" s="476" t="str">
        <f t="shared" si="120"/>
        <v/>
      </c>
      <c r="AV110" s="476" t="str">
        <f t="shared" si="120"/>
        <v/>
      </c>
      <c r="AW110" s="475" t="str">
        <f t="shared" si="120"/>
        <v/>
      </c>
      <c r="AX110" s="476"/>
      <c r="AY110" s="476"/>
      <c r="AZ110" s="476"/>
      <c r="BA110" s="476"/>
      <c r="BB110" s="475" t="str">
        <f>IF(ISERROR(BB92/AW92-1),"",(BB92/AW92-1))</f>
        <v/>
      </c>
      <c r="BC110" s="476"/>
      <c r="BD110" s="476"/>
      <c r="BE110" s="476"/>
      <c r="BF110" s="476"/>
      <c r="BG110" s="475" t="str">
        <f>IF(ISERROR(BG92/BB92-1),"",(BG92/BB92-1))</f>
        <v/>
      </c>
      <c r="BH110" s="476"/>
      <c r="BI110" s="476"/>
      <c r="BJ110" s="476"/>
      <c r="BK110" s="476"/>
      <c r="BL110" s="475" t="str">
        <f>IF(ISERROR(BL92/BG92-1),"",(BL92/BG92-1))</f>
        <v/>
      </c>
      <c r="BM110" s="476"/>
      <c r="BN110" s="476"/>
      <c r="BO110" s="476"/>
      <c r="BP110" s="476"/>
      <c r="BQ110" s="475" t="str">
        <f>IF(ISERROR(BQ92/BL92-1),"",(BQ92/BL92-1))</f>
        <v/>
      </c>
      <c r="BR110" s="476"/>
      <c r="BS110" s="476"/>
      <c r="BT110" s="476"/>
      <c r="BU110" s="476"/>
      <c r="BV110" s="475" t="str">
        <f>IF(ISERROR(BV92/BQ92-1),"",(BV92/BQ92-1))</f>
        <v/>
      </c>
      <c r="BW110" s="476"/>
      <c r="BX110" s="476"/>
      <c r="BY110" s="476"/>
      <c r="BZ110" s="476"/>
      <c r="CA110" s="475" t="str">
        <f>IF(ISERROR(CA92/BV92-1),"",(CA92/BV92-1))</f>
        <v/>
      </c>
      <c r="CB110" s="476"/>
      <c r="CC110" s="476"/>
      <c r="CD110" s="476"/>
      <c r="CE110" s="476"/>
      <c r="CF110" s="475" t="str">
        <f>IF(ISERROR(CF92/CA92-1),"",(CF92/CA92-1))</f>
        <v/>
      </c>
      <c r="CG110" s="476"/>
      <c r="CH110" s="476"/>
      <c r="CI110" s="476"/>
      <c r="CJ110" s="476"/>
      <c r="CK110" s="475" t="str">
        <f>IF(ISERROR(CK92/CF92-1),"",(CK92/CF92-1))</f>
        <v/>
      </c>
      <c r="CL110" s="476"/>
      <c r="CM110" s="476"/>
      <c r="CN110" s="476"/>
      <c r="CO110" s="476"/>
      <c r="CP110" s="475" t="str">
        <f>IF(ISERROR(CP92/CK92-1),"",(CP92/CK92-1))</f>
        <v/>
      </c>
      <c r="CQ110" s="475" t="str">
        <f t="shared" si="119"/>
        <v/>
      </c>
      <c r="CR110" s="475" t="str">
        <f t="shared" si="119"/>
        <v/>
      </c>
      <c r="CS110" s="475" t="str">
        <f t="shared" si="119"/>
        <v/>
      </c>
    </row>
    <row r="111" spans="2:97" hidden="1" outlineLevel="1">
      <c r="B111" s="433" t="s">
        <v>104</v>
      </c>
      <c r="C111" s="475"/>
      <c r="D111" s="475">
        <f t="shared" si="116"/>
        <v>4.4539103765547809E-2</v>
      </c>
      <c r="E111" s="475">
        <f t="shared" si="116"/>
        <v>1.6159292035398292</v>
      </c>
      <c r="F111" s="475">
        <f t="shared" si="116"/>
        <v>0.19248826291079812</v>
      </c>
      <c r="G111" s="475">
        <f t="shared" si="116"/>
        <v>0.78260869565217495</v>
      </c>
      <c r="H111" s="475">
        <f t="shared" si="116"/>
        <v>8.1967213114754078E-2</v>
      </c>
      <c r="I111" s="475">
        <f t="shared" si="116"/>
        <v>-7.5471698113207544E-2</v>
      </c>
      <c r="J111" s="476"/>
      <c r="K111" s="476"/>
      <c r="L111" s="476"/>
      <c r="M111" s="476"/>
      <c r="N111" s="475">
        <f t="shared" si="117"/>
        <v>-0.22222222222222235</v>
      </c>
      <c r="O111" s="476">
        <f t="shared" si="117"/>
        <v>1.5000000000000056</v>
      </c>
      <c r="P111" s="476">
        <f t="shared" si="117"/>
        <v>0.46666666666666673</v>
      </c>
      <c r="Q111" s="476">
        <f t="shared" si="117"/>
        <v>0.20689655172413807</v>
      </c>
      <c r="R111" s="476">
        <f t="shared" si="117"/>
        <v>0.28070175438596473</v>
      </c>
      <c r="S111" s="475">
        <f t="shared" si="117"/>
        <v>0.35000000000000003</v>
      </c>
      <c r="T111" s="476">
        <f t="shared" si="117"/>
        <v>0.25862068965517238</v>
      </c>
      <c r="U111" s="476">
        <f t="shared" si="117"/>
        <v>0.22950819672131154</v>
      </c>
      <c r="V111" s="476">
        <f t="shared" si="117"/>
        <v>0.24390243902439016</v>
      </c>
      <c r="W111" s="476">
        <f t="shared" si="117"/>
        <v>7.5757575757575663E-2</v>
      </c>
      <c r="X111" s="475">
        <f t="shared" si="117"/>
        <v>0.20224719101123595</v>
      </c>
      <c r="Y111" s="476"/>
      <c r="Z111" s="476"/>
      <c r="AA111" s="476"/>
      <c r="AB111" s="476"/>
      <c r="AC111" s="475"/>
      <c r="AD111" s="476" t="str">
        <f t="shared" si="118"/>
        <v/>
      </c>
      <c r="AE111" s="476" t="str">
        <f t="shared" si="118"/>
        <v/>
      </c>
      <c r="AF111" s="476" t="str">
        <f t="shared" si="118"/>
        <v/>
      </c>
      <c r="AG111" s="476" t="str">
        <f t="shared" si="118"/>
        <v/>
      </c>
      <c r="AH111" s="475" t="str">
        <f t="shared" si="118"/>
        <v/>
      </c>
      <c r="AI111" s="476" t="str">
        <f t="shared" si="118"/>
        <v/>
      </c>
      <c r="AJ111" s="476" t="str">
        <f t="shared" si="118"/>
        <v/>
      </c>
      <c r="AK111" s="476" t="str">
        <f t="shared" si="118"/>
        <v/>
      </c>
      <c r="AL111" s="476" t="str">
        <f t="shared" si="120"/>
        <v/>
      </c>
      <c r="AM111" s="475" t="str">
        <f t="shared" si="120"/>
        <v/>
      </c>
      <c r="AN111" s="476" t="str">
        <f t="shared" si="120"/>
        <v/>
      </c>
      <c r="AO111" s="476" t="str">
        <f t="shared" si="120"/>
        <v/>
      </c>
      <c r="AP111" s="476" t="str">
        <f t="shared" si="120"/>
        <v/>
      </c>
      <c r="AQ111" s="476" t="str">
        <f t="shared" si="120"/>
        <v/>
      </c>
      <c r="AR111" s="475" t="str">
        <f t="shared" si="120"/>
        <v/>
      </c>
      <c r="AS111" s="476" t="str">
        <f t="shared" si="120"/>
        <v/>
      </c>
      <c r="AT111" s="476" t="str">
        <f t="shared" si="120"/>
        <v/>
      </c>
      <c r="AU111" s="476" t="str">
        <f t="shared" si="120"/>
        <v/>
      </c>
      <c r="AV111" s="476" t="str">
        <f t="shared" si="120"/>
        <v/>
      </c>
      <c r="AW111" s="475" t="str">
        <f t="shared" si="120"/>
        <v/>
      </c>
      <c r="AX111" s="476"/>
      <c r="AY111" s="476"/>
      <c r="AZ111" s="476"/>
      <c r="BA111" s="476"/>
      <c r="BB111" s="475" t="str">
        <f>IF(ISERROR(BB93/AW93-1),"",(BB93/AW93-1))</f>
        <v/>
      </c>
      <c r="BC111" s="476"/>
      <c r="BD111" s="476"/>
      <c r="BE111" s="476"/>
      <c r="BF111" s="476"/>
      <c r="BG111" s="475" t="str">
        <f>IF(ISERROR(BG93/BB93-1),"",(BG93/BB93-1))</f>
        <v/>
      </c>
      <c r="BH111" s="476"/>
      <c r="BI111" s="476"/>
      <c r="BJ111" s="476"/>
      <c r="BK111" s="476"/>
      <c r="BL111" s="475" t="str">
        <f>IF(ISERROR(BL93/BG93-1),"",(BL93/BG93-1))</f>
        <v/>
      </c>
      <c r="BM111" s="476"/>
      <c r="BN111" s="476"/>
      <c r="BO111" s="476"/>
      <c r="BP111" s="476"/>
      <c r="BQ111" s="475" t="str">
        <f>IF(ISERROR(BQ93/BL93-1),"",(BQ93/BL93-1))</f>
        <v/>
      </c>
      <c r="BR111" s="476"/>
      <c r="BS111" s="476"/>
      <c r="BT111" s="476"/>
      <c r="BU111" s="476"/>
      <c r="BV111" s="475" t="str">
        <f>IF(ISERROR(BV93/BQ93-1),"",(BV93/BQ93-1))</f>
        <v/>
      </c>
      <c r="BW111" s="476"/>
      <c r="BX111" s="476"/>
      <c r="BY111" s="476"/>
      <c r="BZ111" s="476"/>
      <c r="CA111" s="475" t="str">
        <f>IF(ISERROR(CA93/BV93-1),"",(CA93/BV93-1))</f>
        <v/>
      </c>
      <c r="CB111" s="476"/>
      <c r="CC111" s="476"/>
      <c r="CD111" s="476"/>
      <c r="CE111" s="476"/>
      <c r="CF111" s="475" t="str">
        <f>IF(ISERROR(CF93/CA93-1),"",(CF93/CA93-1))</f>
        <v/>
      </c>
      <c r="CG111" s="476"/>
      <c r="CH111" s="476"/>
      <c r="CI111" s="476"/>
      <c r="CJ111" s="476"/>
      <c r="CK111" s="475" t="str">
        <f>IF(ISERROR(CK93/CF93-1),"",(CK93/CF93-1))</f>
        <v/>
      </c>
      <c r="CL111" s="476"/>
      <c r="CM111" s="476"/>
      <c r="CN111" s="476"/>
      <c r="CO111" s="476"/>
      <c r="CP111" s="475" t="str">
        <f>IF(ISERROR(CP93/CK93-1),"",(CP93/CK93-1))</f>
        <v/>
      </c>
      <c r="CQ111" s="475" t="str">
        <f t="shared" si="119"/>
        <v/>
      </c>
      <c r="CR111" s="475" t="str">
        <f t="shared" si="119"/>
        <v/>
      </c>
      <c r="CS111" s="475" t="str">
        <f t="shared" si="119"/>
        <v/>
      </c>
    </row>
    <row r="112" spans="2:97" hidden="1" outlineLevel="1">
      <c r="B112" s="467" t="s">
        <v>272</v>
      </c>
      <c r="C112" s="491"/>
      <c r="D112" s="491">
        <f t="shared" ref="D112:I112" si="121">IF(ISERROR((D84-C84)/(D26-C26)),"",(D84-C84)/(D26-C26))</f>
        <v>0.1401041118939951</v>
      </c>
      <c r="E112" s="491">
        <f t="shared" si="121"/>
        <v>-0.58389906494171762</v>
      </c>
      <c r="F112" s="491">
        <f t="shared" si="121"/>
        <v>3.5490605427974872E-2</v>
      </c>
      <c r="G112" s="491">
        <f t="shared" si="121"/>
        <v>0.72570194384449127</v>
      </c>
      <c r="H112" s="491">
        <f t="shared" si="121"/>
        <v>8.1967213114753912E-3</v>
      </c>
      <c r="I112" s="491">
        <f t="shared" si="121"/>
        <v>-1.7353579175705271E-2</v>
      </c>
      <c r="J112" s="492"/>
      <c r="K112" s="492"/>
      <c r="L112" s="492"/>
      <c r="M112" s="492"/>
      <c r="N112" s="491">
        <f t="shared" ref="N112:AS112" si="122">IF(ISERROR((N84-I84)/(N26-I26)),"",(N84-I84)/(N26-I26))</f>
        <v>0.26801801801801795</v>
      </c>
      <c r="O112" s="492">
        <f t="shared" si="122"/>
        <v>0.38129496402877688</v>
      </c>
      <c r="P112" s="492">
        <f t="shared" si="122"/>
        <v>0.10741687979539644</v>
      </c>
      <c r="Q112" s="492">
        <f t="shared" si="122"/>
        <v>0.32592592592592584</v>
      </c>
      <c r="R112" s="492">
        <f t="shared" si="122"/>
        <v>0.49230769230769922</v>
      </c>
      <c r="S112" s="491">
        <f t="shared" si="122"/>
        <v>0.25776754890678888</v>
      </c>
      <c r="T112" s="492">
        <f t="shared" si="122"/>
        <v>-5.4878048780488228E-2</v>
      </c>
      <c r="U112" s="492">
        <f t="shared" si="122"/>
        <v>-0.42553191489361802</v>
      </c>
      <c r="V112" s="492">
        <f t="shared" si="122"/>
        <v>0.13600000000000023</v>
      </c>
      <c r="W112" s="492">
        <f t="shared" si="122"/>
        <v>4.8947368421054742</v>
      </c>
      <c r="X112" s="491">
        <f t="shared" si="122"/>
        <v>-0.33123028391167147</v>
      </c>
      <c r="Y112" s="492">
        <f t="shared" si="122"/>
        <v>-5.7377049180327731E-2</v>
      </c>
      <c r="Z112" s="492">
        <f t="shared" si="122"/>
        <v>-3.8167938931298268E-3</v>
      </c>
      <c r="AA112" s="492">
        <f t="shared" si="122"/>
        <v>-0.33749999999999947</v>
      </c>
      <c r="AB112" s="492">
        <f t="shared" si="122"/>
        <v>0.42076502732240512</v>
      </c>
      <c r="AC112" s="491">
        <f t="shared" si="122"/>
        <v>-0.89090909090908277</v>
      </c>
      <c r="AD112" s="492">
        <f t="shared" si="122"/>
        <v>0.17124394184168021</v>
      </c>
      <c r="AE112" s="492">
        <f t="shared" si="122"/>
        <v>6.31276901004304E-2</v>
      </c>
      <c r="AF112" s="492">
        <f t="shared" si="122"/>
        <v>0.13320079522862827</v>
      </c>
      <c r="AG112" s="492">
        <f t="shared" si="122"/>
        <v>7.1174377224193092E-3</v>
      </c>
      <c r="AH112" s="491">
        <f t="shared" si="122"/>
        <v>0.13979193758127423</v>
      </c>
      <c r="AI112" s="492">
        <f t="shared" si="122"/>
        <v>-3.7634408602150511E-2</v>
      </c>
      <c r="AJ112" s="492">
        <f t="shared" si="122"/>
        <v>9.1240875912408773E-2</v>
      </c>
      <c r="AK112" s="492">
        <f t="shared" si="122"/>
        <v>0.22745625841184364</v>
      </c>
      <c r="AL112" s="492">
        <f t="shared" si="122"/>
        <v>0.65938864628820826</v>
      </c>
      <c r="AM112" s="491">
        <f t="shared" si="122"/>
        <v>0.17590027700831043</v>
      </c>
      <c r="AN112" s="492">
        <f t="shared" si="122"/>
        <v>0.26636568848758518</v>
      </c>
      <c r="AO112" s="492">
        <f t="shared" si="122"/>
        <v>0.47841726618705105</v>
      </c>
      <c r="AP112" s="492">
        <f t="shared" si="122"/>
        <v>0.47058823529411709</v>
      </c>
      <c r="AQ112" s="492">
        <f t="shared" si="122"/>
        <v>0.42117117117117131</v>
      </c>
      <c r="AR112" s="491">
        <f t="shared" si="122"/>
        <v>0.57886676875957177</v>
      </c>
      <c r="AS112" s="492">
        <f t="shared" si="122"/>
        <v>0.2959183673469391</v>
      </c>
      <c r="AT112" s="492">
        <f t="shared" ref="AT112:BY112" si="123">IF(ISERROR((AT84-AO84)/(AT26-AO26)),"",(AT84-AO84)/(AT26-AO26))</f>
        <v>0.14197530864197522</v>
      </c>
      <c r="AU112" s="492">
        <f t="shared" si="123"/>
        <v>0.26352530541012215</v>
      </c>
      <c r="AV112" s="492">
        <f t="shared" si="123"/>
        <v>0.41760722347629803</v>
      </c>
      <c r="AW112" s="491">
        <f t="shared" si="123"/>
        <v>0.27787934186471691</v>
      </c>
      <c r="AX112" s="492">
        <f t="shared" si="123"/>
        <v>0.22335766423357642</v>
      </c>
      <c r="AY112" s="492">
        <f t="shared" si="123"/>
        <v>0.70769230769230795</v>
      </c>
      <c r="AZ112" s="492">
        <f t="shared" si="123"/>
        <v>0.26633165829145744</v>
      </c>
      <c r="BA112" s="492">
        <f t="shared" si="123"/>
        <v>0.11562499999999987</v>
      </c>
      <c r="BB112" s="491">
        <f t="shared" si="123"/>
        <v>0.33261571582346566</v>
      </c>
      <c r="BC112" s="492">
        <f t="shared" si="123"/>
        <v>0.22560975609756234</v>
      </c>
      <c r="BD112" s="492">
        <f t="shared" si="123"/>
        <v>-0.26923076923076933</v>
      </c>
      <c r="BE112" s="492">
        <f t="shared" si="123"/>
        <v>0.56521739130434823</v>
      </c>
      <c r="BF112" s="492">
        <f t="shared" si="123"/>
        <v>0.46075949367088614</v>
      </c>
      <c r="BG112" s="491">
        <f t="shared" si="123"/>
        <v>0.27300000000000013</v>
      </c>
      <c r="BH112" s="492">
        <f t="shared" si="123"/>
        <v>0.24336283185840715</v>
      </c>
      <c r="BI112" s="492">
        <f t="shared" si="123"/>
        <v>0.23368421052631597</v>
      </c>
      <c r="BJ112" s="492">
        <f t="shared" si="123"/>
        <v>0.18939393939393928</v>
      </c>
      <c r="BK112" s="492">
        <f t="shared" si="123"/>
        <v>0.24444444444444444</v>
      </c>
      <c r="BL112" s="491">
        <f t="shared" si="123"/>
        <v>0.22899041173152868</v>
      </c>
      <c r="BM112" s="492">
        <f t="shared" si="123"/>
        <v>1.1485148514851518</v>
      </c>
      <c r="BN112" s="492">
        <f t="shared" si="123"/>
        <v>1.4642857142857237</v>
      </c>
      <c r="BO112" s="492">
        <f t="shared" si="123"/>
        <v>0.90322580645159334</v>
      </c>
      <c r="BP112" s="492">
        <f t="shared" si="123"/>
        <v>0.11594202898550626</v>
      </c>
      <c r="BQ112" s="491">
        <f t="shared" si="123"/>
        <v>2.8421052631579835</v>
      </c>
      <c r="BR112" s="492">
        <f t="shared" si="123"/>
        <v>-3.0888030888031354E-2</v>
      </c>
      <c r="BS112" s="492">
        <f t="shared" si="123"/>
        <v>0.16417910447761158</v>
      </c>
      <c r="BT112" s="492">
        <f t="shared" si="123"/>
        <v>0.25918762088974873</v>
      </c>
      <c r="BU112" s="492">
        <f t="shared" si="123"/>
        <v>0.32795698924731115</v>
      </c>
      <c r="BV112" s="491">
        <f t="shared" si="123"/>
        <v>0.18448637316561811</v>
      </c>
      <c r="BW112" s="492">
        <f t="shared" si="123"/>
        <v>0.43386243386243512</v>
      </c>
      <c r="BX112" s="492">
        <f t="shared" si="123"/>
        <v>0.29073482428114977</v>
      </c>
      <c r="BY112" s="492">
        <f t="shared" si="123"/>
        <v>-4.444444444444378E-2</v>
      </c>
      <c r="BZ112" s="492">
        <f t="shared" ref="BZ112:CP112" si="124">IF(ISERROR((BZ84-BU84)/(BZ26-BU26)),"",(BZ84-BU84)/(BZ26-BU26))</f>
        <v>0.23404255319148928</v>
      </c>
      <c r="CA112" s="491">
        <f t="shared" si="124"/>
        <v>0.33225806451612694</v>
      </c>
      <c r="CB112" s="492">
        <f t="shared" si="124"/>
        <v>9.7879282218597222E-2</v>
      </c>
      <c r="CC112" s="492">
        <f t="shared" si="124"/>
        <v>8.5409252669039107E-2</v>
      </c>
      <c r="CD112" s="492">
        <f t="shared" si="124"/>
        <v>0.12040816326530623</v>
      </c>
      <c r="CE112" s="492">
        <f t="shared" si="124"/>
        <v>-8.1135902636918066E-3</v>
      </c>
      <c r="CF112" s="491">
        <f t="shared" si="124"/>
        <v>7.5532900834105479E-2</v>
      </c>
      <c r="CG112" s="492">
        <f t="shared" si="124"/>
        <v>0.37822349570200525</v>
      </c>
      <c r="CH112" s="492">
        <f t="shared" si="124"/>
        <v>0.31056910569105739</v>
      </c>
      <c r="CI112" s="492">
        <f t="shared" si="124"/>
        <v>0.38749999999999973</v>
      </c>
      <c r="CJ112" s="492">
        <f t="shared" si="124"/>
        <v>0.3030303030303072</v>
      </c>
      <c r="CK112" s="491">
        <f t="shared" si="124"/>
        <v>0.35354141656662669</v>
      </c>
      <c r="CL112" s="492">
        <f t="shared" si="124"/>
        <v>0.42525399129172725</v>
      </c>
      <c r="CM112" s="492">
        <f t="shared" si="124"/>
        <v>0.33964935603083773</v>
      </c>
      <c r="CN112" s="492">
        <f t="shared" si="124"/>
        <v>0.34724424003583432</v>
      </c>
      <c r="CO112" s="492">
        <f t="shared" si="124"/>
        <v>0.31915577483952234</v>
      </c>
      <c r="CP112" s="491">
        <f t="shared" si="124"/>
        <v>0.34572484075067583</v>
      </c>
      <c r="CQ112" s="491">
        <f>IF(ISERROR((CQ84-CP84)/(CQ26-CP26)),"",(CQ84-CP84)/(CQ26-CP26))</f>
        <v>0.27567921569537729</v>
      </c>
      <c r="CR112" s="491">
        <f>IF(ISERROR((CR84-CQ84)/(CR26-CQ26)),"",(CR84-CQ84)/(CR26-CQ26))</f>
        <v>0.26251971681410208</v>
      </c>
      <c r="CS112" s="491">
        <f>IF(ISERROR((CS84-CR84)/(CS26-CR26)),"",(CS84-CR84)/(CS26-CR26))</f>
        <v>0.25556574309822366</v>
      </c>
    </row>
    <row r="113" spans="2:97" hidden="1" outlineLevel="1">
      <c r="B113" s="463" t="s">
        <v>174</v>
      </c>
      <c r="C113" s="478"/>
      <c r="D113" s="478">
        <f t="shared" ref="D113:I113" si="125">IF(ISERROR((D86-C86)/(D26-C26)),"",(D86-C86)/(D26-C26))</f>
        <v>0.26673414659796052</v>
      </c>
      <c r="E113" s="478">
        <f t="shared" si="125"/>
        <v>-0.77076661970026983</v>
      </c>
      <c r="F113" s="478">
        <f t="shared" si="125"/>
        <v>-6.7849686847599344E-2</v>
      </c>
      <c r="G113" s="478">
        <f t="shared" si="125"/>
        <v>8.4578833693304407</v>
      </c>
      <c r="H113" s="478">
        <f t="shared" si="125"/>
        <v>-2.3732660781841104</v>
      </c>
      <c r="I113" s="478">
        <f t="shared" si="125"/>
        <v>-5.2060737527115347E-2</v>
      </c>
      <c r="J113" s="479"/>
      <c r="K113" s="479"/>
      <c r="L113" s="479"/>
      <c r="M113" s="479"/>
      <c r="N113" s="478">
        <f t="shared" ref="N113:AS113" si="126">IF(ISERROR((N86-I86)/(N26-I26)),"",(N86-I86)/(N26-I26))</f>
        <v>0.17454954954954957</v>
      </c>
      <c r="O113" s="479">
        <f t="shared" si="126"/>
        <v>0.33093525179856109</v>
      </c>
      <c r="P113" s="479">
        <f t="shared" si="126"/>
        <v>0.2813299232736573</v>
      </c>
      <c r="Q113" s="479">
        <f t="shared" si="126"/>
        <v>-0.7333333333333335</v>
      </c>
      <c r="R113" s="479">
        <f t="shared" si="126"/>
        <v>0.78461538461539493</v>
      </c>
      <c r="S113" s="478">
        <f t="shared" si="126"/>
        <v>0.17721518987341728</v>
      </c>
      <c r="T113" s="479">
        <f t="shared" si="126"/>
        <v>-0.18902439024390322</v>
      </c>
      <c r="U113" s="479">
        <f t="shared" si="126"/>
        <v>-0.55319148936170381</v>
      </c>
      <c r="V113" s="479">
        <f t="shared" si="126"/>
        <v>1.3600000000000003</v>
      </c>
      <c r="W113" s="479">
        <f t="shared" si="126"/>
        <v>4.7894736842107388</v>
      </c>
      <c r="X113" s="478">
        <f t="shared" si="126"/>
        <v>6.9400630914826483E-2</v>
      </c>
      <c r="Y113" s="479">
        <f t="shared" si="126"/>
        <v>-4.0983606557377572E-3</v>
      </c>
      <c r="Z113" s="479">
        <f t="shared" si="126"/>
        <v>1.1450381679389481E-2</v>
      </c>
      <c r="AA113" s="479">
        <f t="shared" si="126"/>
        <v>-0.56249999999999911</v>
      </c>
      <c r="AB113" s="479">
        <f t="shared" si="126"/>
        <v>0.1147540983606567</v>
      </c>
      <c r="AC113" s="478">
        <f t="shared" si="126"/>
        <v>-0.38636363636363369</v>
      </c>
      <c r="AD113" s="479">
        <f t="shared" si="126"/>
        <v>0.10500807754442654</v>
      </c>
      <c r="AE113" s="479">
        <f t="shared" si="126"/>
        <v>-6.7431850789096082E-2</v>
      </c>
      <c r="AF113" s="479">
        <f t="shared" si="126"/>
        <v>0.11332007952286285</v>
      </c>
      <c r="AG113" s="479">
        <f t="shared" si="126"/>
        <v>-0.30249110320284855</v>
      </c>
      <c r="AH113" s="478">
        <f t="shared" si="126"/>
        <v>0.10403120936280871</v>
      </c>
      <c r="AI113" s="479">
        <f t="shared" si="126"/>
        <v>-9.4086021505376372E-2</v>
      </c>
      <c r="AJ113" s="479">
        <f t="shared" si="126"/>
        <v>-4.8661800486617841E-3</v>
      </c>
      <c r="AK113" s="479">
        <f t="shared" si="126"/>
        <v>0.21938088829071309</v>
      </c>
      <c r="AL113" s="479">
        <f t="shared" si="126"/>
        <v>0.64628820960698552</v>
      </c>
      <c r="AM113" s="478">
        <f t="shared" si="126"/>
        <v>0.12557710064635291</v>
      </c>
      <c r="AN113" s="479">
        <f t="shared" si="126"/>
        <v>0.3634311512415358</v>
      </c>
      <c r="AO113" s="479">
        <f t="shared" si="126"/>
        <v>0.38848920863309405</v>
      </c>
      <c r="AP113" s="479">
        <f t="shared" si="126"/>
        <v>0.39839572192513328</v>
      </c>
      <c r="AQ113" s="479">
        <f t="shared" si="126"/>
        <v>0.37162162162162166</v>
      </c>
      <c r="AR113" s="478">
        <f t="shared" si="126"/>
        <v>0.39969372128637098</v>
      </c>
      <c r="AS113" s="479">
        <f t="shared" si="126"/>
        <v>0.34110787172011697</v>
      </c>
      <c r="AT113" s="479">
        <f t="shared" ref="AT113:BY113" si="127">IF(ISERROR((AT86-AO86)/(AT26-AO26)),"",(AT86-AO86)/(AT26-AO26))</f>
        <v>0.18312757201646079</v>
      </c>
      <c r="AU113" s="479">
        <f t="shared" si="127"/>
        <v>0.20069808027923208</v>
      </c>
      <c r="AV113" s="479">
        <f t="shared" si="127"/>
        <v>0.41534988713318305</v>
      </c>
      <c r="AW113" s="478">
        <f t="shared" si="127"/>
        <v>0.28427787934186499</v>
      </c>
      <c r="AX113" s="479">
        <f t="shared" si="127"/>
        <v>0.19562043795620421</v>
      </c>
      <c r="AY113" s="479">
        <f t="shared" si="127"/>
        <v>0.53846153846153866</v>
      </c>
      <c r="AZ113" s="479">
        <f t="shared" si="127"/>
        <v>0.35175879396984933</v>
      </c>
      <c r="BA113" s="479">
        <f t="shared" si="127"/>
        <v>0.15312499999999973</v>
      </c>
      <c r="BB113" s="478">
        <f t="shared" si="127"/>
        <v>0.30570505920344415</v>
      </c>
      <c r="BC113" s="479">
        <f t="shared" si="127"/>
        <v>0.14634146341463555</v>
      </c>
      <c r="BD113" s="479">
        <f t="shared" si="127"/>
        <v>-8.5470085470085957E-2</v>
      </c>
      <c r="BE113" s="479">
        <f t="shared" si="127"/>
        <v>0.43478260869565277</v>
      </c>
      <c r="BF113" s="479">
        <f t="shared" si="127"/>
        <v>0.3215189873417722</v>
      </c>
      <c r="BG113" s="478">
        <f t="shared" si="127"/>
        <v>0.22099999999999995</v>
      </c>
      <c r="BH113" s="479">
        <f t="shared" si="127"/>
        <v>0.25663716814159288</v>
      </c>
      <c r="BI113" s="479">
        <f t="shared" si="127"/>
        <v>6.7368421052631938E-2</v>
      </c>
      <c r="BJ113" s="479">
        <f t="shared" si="127"/>
        <v>0.25252525252525237</v>
      </c>
      <c r="BK113" s="479">
        <f t="shared" si="127"/>
        <v>0.22444444444444431</v>
      </c>
      <c r="BL113" s="478">
        <f t="shared" si="127"/>
        <v>0.19684151156232399</v>
      </c>
      <c r="BM113" s="479">
        <f t="shared" si="127"/>
        <v>0.79207920792079478</v>
      </c>
      <c r="BN113" s="479">
        <f t="shared" si="127"/>
        <v>2.7678571428571597</v>
      </c>
      <c r="BO113" s="479">
        <f t="shared" si="127"/>
        <v>0.32258064516128665</v>
      </c>
      <c r="BP113" s="479">
        <f t="shared" si="127"/>
        <v>-0.59420289855072295</v>
      </c>
      <c r="BQ113" s="478">
        <f t="shared" si="127"/>
        <v>4.66666666666681</v>
      </c>
      <c r="BR113" s="479">
        <f t="shared" si="127"/>
        <v>5.0193050193049579E-2</v>
      </c>
      <c r="BS113" s="479">
        <f t="shared" si="127"/>
        <v>0.20255863539445584</v>
      </c>
      <c r="BT113" s="479">
        <f t="shared" si="127"/>
        <v>0.21470019342359789</v>
      </c>
      <c r="BU113" s="479">
        <f t="shared" si="127"/>
        <v>0.31182795698924676</v>
      </c>
      <c r="BV113" s="478">
        <f t="shared" si="127"/>
        <v>0.19357092941998577</v>
      </c>
      <c r="BW113" s="479">
        <f t="shared" si="127"/>
        <v>0.28042328042328069</v>
      </c>
      <c r="BX113" s="479">
        <f t="shared" si="127"/>
        <v>0.33226837060702819</v>
      </c>
      <c r="BY113" s="479">
        <f t="shared" si="127"/>
        <v>1.5789838572446771E-15</v>
      </c>
      <c r="BZ113" s="479">
        <f t="shared" ref="BZ113:CP113" si="128">IF(ISERROR((BZ86-BU86)/(BZ26-BU26)),"",(BZ86-BU86)/(BZ26-BU26))</f>
        <v>0.21985815602836853</v>
      </c>
      <c r="CA113" s="478">
        <f t="shared" si="128"/>
        <v>0.30645161290322354</v>
      </c>
      <c r="CB113" s="479">
        <f t="shared" si="128"/>
        <v>6.1990212071778197E-2</v>
      </c>
      <c r="CC113" s="479">
        <f t="shared" si="128"/>
        <v>0.12099644128113865</v>
      </c>
      <c r="CD113" s="479">
        <f t="shared" si="128"/>
        <v>0.15102040816326542</v>
      </c>
      <c r="CE113" s="479">
        <f t="shared" si="128"/>
        <v>5.2738336713995873E-2</v>
      </c>
      <c r="CF113" s="478">
        <f t="shared" si="128"/>
        <v>9.5458758109360345E-2</v>
      </c>
      <c r="CG113" s="479">
        <f t="shared" si="128"/>
        <v>0.29226361031518583</v>
      </c>
      <c r="CH113" s="479">
        <f t="shared" si="128"/>
        <v>0.30243902439024439</v>
      </c>
      <c r="CI113" s="479">
        <f t="shared" si="128"/>
        <v>0.41874999999999973</v>
      </c>
      <c r="CJ113" s="479">
        <f t="shared" si="128"/>
        <v>0.48484848484849413</v>
      </c>
      <c r="CK113" s="478">
        <f t="shared" si="128"/>
        <v>0.32412965186074411</v>
      </c>
      <c r="CL113" s="479">
        <f t="shared" si="128"/>
        <v>0.53846153846153855</v>
      </c>
      <c r="CM113" s="479">
        <f t="shared" si="128"/>
        <v>0.32665955951600018</v>
      </c>
      <c r="CN113" s="479">
        <f t="shared" si="128"/>
        <v>0.3449819706176448</v>
      </c>
      <c r="CO113" s="479">
        <f t="shared" si="128"/>
        <v>0.31848220634097396</v>
      </c>
      <c r="CP113" s="478">
        <f t="shared" si="128"/>
        <v>0.35001258022762521</v>
      </c>
      <c r="CQ113" s="478">
        <f>IF(ISERROR((CQ86-CP86)/(CQ26-CP26)),"",(CQ86-CP86)/(CQ26-CP26))</f>
        <v>0.31734105487909092</v>
      </c>
      <c r="CR113" s="478">
        <f>IF(ISERROR((CR86-CQ86)/(CR26-CQ26)),"",(CR86-CQ86)/(CR26-CQ26))</f>
        <v>0.25630672188563691</v>
      </c>
      <c r="CS113" s="478">
        <f>IF(ISERROR((CS86-CR86)/(CS26-CR26)),"",(CS86-CR86)/(CS26-CR26))</f>
        <v>0.25065066354567028</v>
      </c>
    </row>
    <row r="114" spans="2:97" hidden="1" outlineLevel="1">
      <c r="B114" s="526"/>
      <c r="C114" s="527"/>
      <c r="D114" s="527"/>
      <c r="E114" s="527"/>
      <c r="F114" s="527"/>
      <c r="G114" s="527"/>
      <c r="H114" s="527"/>
      <c r="I114" s="527"/>
      <c r="J114" s="528"/>
      <c r="K114" s="528"/>
      <c r="L114" s="528"/>
      <c r="M114" s="528"/>
      <c r="N114" s="527"/>
      <c r="O114" s="528"/>
      <c r="P114" s="528"/>
      <c r="Q114" s="528"/>
      <c r="R114" s="528"/>
      <c r="S114" s="527"/>
      <c r="T114" s="528"/>
      <c r="U114" s="528"/>
      <c r="V114" s="528"/>
      <c r="W114" s="528"/>
      <c r="X114" s="527"/>
      <c r="Y114" s="528"/>
      <c r="Z114" s="528"/>
      <c r="AA114" s="528"/>
      <c r="AB114" s="528"/>
      <c r="AC114" s="527"/>
      <c r="AD114" s="528"/>
      <c r="AE114" s="528"/>
      <c r="AF114" s="528"/>
      <c r="AG114" s="528"/>
      <c r="AH114" s="527"/>
      <c r="AI114" s="528"/>
      <c r="AJ114" s="528"/>
      <c r="AK114" s="528"/>
      <c r="AL114" s="528"/>
      <c r="AM114" s="527"/>
      <c r="AN114" s="528"/>
      <c r="AO114" s="528"/>
      <c r="AP114" s="528"/>
      <c r="AQ114" s="528"/>
      <c r="AR114" s="527"/>
      <c r="AS114" s="528"/>
      <c r="AT114" s="528"/>
      <c r="AU114" s="528"/>
      <c r="AV114" s="528"/>
      <c r="AW114" s="527"/>
      <c r="AX114" s="528"/>
      <c r="AY114" s="528"/>
      <c r="AZ114" s="528"/>
      <c r="BA114" s="528"/>
      <c r="BB114" s="527"/>
      <c r="BC114" s="528"/>
      <c r="BD114" s="528"/>
      <c r="BE114" s="528"/>
      <c r="BF114" s="528"/>
      <c r="BG114" s="527"/>
      <c r="BH114" s="528"/>
      <c r="BI114" s="528"/>
      <c r="BJ114" s="528"/>
      <c r="BK114" s="528"/>
      <c r="BL114" s="527"/>
      <c r="BM114" s="528"/>
      <c r="BN114" s="528"/>
      <c r="BO114" s="528"/>
      <c r="BP114" s="528"/>
      <c r="BQ114" s="527"/>
      <c r="BR114" s="528"/>
      <c r="BS114" s="528"/>
      <c r="BT114" s="528"/>
      <c r="BU114" s="528"/>
      <c r="BV114" s="527"/>
      <c r="BW114" s="528"/>
      <c r="BX114" s="528"/>
      <c r="BY114" s="528"/>
      <c r="BZ114" s="528"/>
      <c r="CA114" s="527"/>
      <c r="CB114" s="528"/>
      <c r="CC114" s="528"/>
      <c r="CD114" s="528"/>
      <c r="CE114" s="528"/>
      <c r="CF114" s="527"/>
      <c r="CG114" s="528"/>
      <c r="CH114" s="528"/>
      <c r="CI114" s="528"/>
      <c r="CJ114" s="528"/>
      <c r="CK114" s="527"/>
      <c r="CL114" s="528"/>
      <c r="CM114" s="528"/>
      <c r="CN114" s="528"/>
      <c r="CO114" s="528"/>
      <c r="CP114" s="527"/>
      <c r="CQ114" s="527"/>
      <c r="CR114" s="527"/>
      <c r="CS114" s="527"/>
    </row>
    <row r="115" spans="2:97" hidden="1" outlineLevel="1">
      <c r="B115" s="481" t="s">
        <v>124</v>
      </c>
      <c r="C115" s="475"/>
      <c r="D115" s="475"/>
      <c r="E115" s="475"/>
      <c r="F115" s="475"/>
      <c r="G115" s="475"/>
      <c r="H115" s="475"/>
      <c r="I115" s="475"/>
      <c r="J115" s="476"/>
      <c r="K115" s="476"/>
      <c r="L115" s="476"/>
      <c r="M115" s="476"/>
      <c r="N115" s="475"/>
      <c r="O115" s="476"/>
      <c r="P115" s="476"/>
      <c r="Q115" s="476"/>
      <c r="R115" s="476"/>
      <c r="S115" s="475"/>
      <c r="T115" s="476"/>
      <c r="U115" s="476"/>
      <c r="V115" s="476"/>
      <c r="W115" s="476"/>
      <c r="X115" s="475"/>
      <c r="Y115" s="476"/>
      <c r="Z115" s="476"/>
      <c r="AA115" s="476"/>
      <c r="AB115" s="476"/>
      <c r="AC115" s="475"/>
      <c r="AD115" s="476"/>
      <c r="AE115" s="476"/>
      <c r="AF115" s="476"/>
      <c r="AG115" s="476"/>
      <c r="AH115" s="475"/>
      <c r="AI115" s="476"/>
      <c r="AJ115" s="476"/>
      <c r="AK115" s="476"/>
      <c r="AL115" s="476"/>
      <c r="AM115" s="475"/>
      <c r="AN115" s="476"/>
      <c r="AO115" s="476"/>
      <c r="AP115" s="476"/>
      <c r="AQ115" s="476"/>
      <c r="AR115" s="475"/>
      <c r="AS115" s="476"/>
      <c r="AT115" s="476"/>
      <c r="AU115" s="476"/>
      <c r="AV115" s="476"/>
      <c r="AW115" s="475"/>
      <c r="AX115" s="476"/>
      <c r="AY115" s="476"/>
      <c r="AZ115" s="476"/>
      <c r="BA115" s="476"/>
      <c r="BB115" s="475"/>
      <c r="BC115" s="476"/>
      <c r="BD115" s="476"/>
      <c r="BE115" s="476"/>
      <c r="BF115" s="476"/>
      <c r="BG115" s="475"/>
      <c r="BH115" s="476"/>
      <c r="BI115" s="476"/>
      <c r="BJ115" s="476"/>
      <c r="BK115" s="476"/>
      <c r="BL115" s="475"/>
      <c r="BM115" s="476"/>
      <c r="BN115" s="476"/>
      <c r="BO115" s="476"/>
      <c r="BP115" s="476"/>
      <c r="BQ115" s="475"/>
      <c r="BR115" s="476"/>
      <c r="BS115" s="476"/>
      <c r="BT115" s="476"/>
      <c r="BU115" s="476"/>
      <c r="BV115" s="475"/>
      <c r="BW115" s="476"/>
      <c r="BX115" s="476"/>
      <c r="BY115" s="476"/>
      <c r="BZ115" s="476"/>
      <c r="CA115" s="475"/>
      <c r="CB115" s="476"/>
      <c r="CC115" s="476"/>
      <c r="CD115" s="476"/>
      <c r="CE115" s="476"/>
      <c r="CF115" s="475"/>
      <c r="CG115" s="476"/>
      <c r="CH115" s="476"/>
      <c r="CI115" s="476"/>
      <c r="CJ115" s="476"/>
      <c r="CK115" s="475"/>
      <c r="CL115" s="476"/>
      <c r="CM115" s="476"/>
      <c r="CN115" s="476"/>
      <c r="CO115" s="476"/>
      <c r="CP115" s="475"/>
      <c r="CQ115" s="475"/>
      <c r="CR115" s="475"/>
      <c r="CS115" s="475"/>
    </row>
    <row r="116" spans="2:97" hidden="1" outlineLevel="1">
      <c r="B116" s="433" t="s">
        <v>90</v>
      </c>
      <c r="C116" s="475"/>
      <c r="D116" s="475" t="str">
        <f t="shared" ref="D116:I120" si="129">IF(ISERROR(D79/C79-1),"",(D79/C79-1))</f>
        <v/>
      </c>
      <c r="E116" s="475" t="str">
        <f t="shared" si="129"/>
        <v/>
      </c>
      <c r="F116" s="475" t="str">
        <f t="shared" si="129"/>
        <v/>
      </c>
      <c r="G116" s="475" t="str">
        <f t="shared" si="129"/>
        <v/>
      </c>
      <c r="H116" s="475" t="str">
        <f t="shared" si="129"/>
        <v/>
      </c>
      <c r="I116" s="475" t="str">
        <f t="shared" si="129"/>
        <v/>
      </c>
      <c r="J116" s="476"/>
      <c r="K116" s="476"/>
      <c r="L116" s="476"/>
      <c r="M116" s="476"/>
      <c r="N116" s="475" t="str">
        <f t="shared" ref="N116:W117" si="130">IF(ISERROR(N79/I79-1),"",(N79/I79-1))</f>
        <v/>
      </c>
      <c r="O116" s="476" t="str">
        <f t="shared" si="130"/>
        <v/>
      </c>
      <c r="P116" s="476" t="str">
        <f t="shared" si="130"/>
        <v/>
      </c>
      <c r="Q116" s="476" t="str">
        <f t="shared" si="130"/>
        <v/>
      </c>
      <c r="R116" s="476" t="str">
        <f t="shared" si="130"/>
        <v/>
      </c>
      <c r="S116" s="475" t="str">
        <f t="shared" si="130"/>
        <v/>
      </c>
      <c r="T116" s="476" t="str">
        <f t="shared" si="130"/>
        <v/>
      </c>
      <c r="U116" s="476" t="str">
        <f t="shared" si="130"/>
        <v/>
      </c>
      <c r="V116" s="476" t="str">
        <f t="shared" si="130"/>
        <v/>
      </c>
      <c r="W116" s="476" t="str">
        <f t="shared" si="130"/>
        <v/>
      </c>
      <c r="X116" s="475" t="str">
        <f t="shared" ref="X116:AG117" si="131">IF(ISERROR(X79/S79-1),"",(X79/S79-1))</f>
        <v/>
      </c>
      <c r="Y116" s="476">
        <f t="shared" si="131"/>
        <v>-0.18901098901098901</v>
      </c>
      <c r="Z116" s="476">
        <f t="shared" si="131"/>
        <v>0.12684365781710927</v>
      </c>
      <c r="AA116" s="476">
        <f t="shared" si="131"/>
        <v>0.14527027027027017</v>
      </c>
      <c r="AB116" s="476">
        <f t="shared" si="131"/>
        <v>0</v>
      </c>
      <c r="AC116" s="475">
        <f t="shared" si="131"/>
        <v>0</v>
      </c>
      <c r="AD116" s="476">
        <f t="shared" si="131"/>
        <v>0.20325203252032531</v>
      </c>
      <c r="AE116" s="476">
        <f t="shared" si="131"/>
        <v>3.9267015706806241E-2</v>
      </c>
      <c r="AF116" s="476">
        <f t="shared" si="131"/>
        <v>0.15339233038348099</v>
      </c>
      <c r="AG116" s="476">
        <f t="shared" si="131"/>
        <v>5.3254437869822757E-2</v>
      </c>
      <c r="AH116" s="475">
        <f t="shared" ref="AH116:AQ117" si="132">IF(ISERROR(AH79/AC79-1),"",(AH79/AC79-1))</f>
        <v>0.11204481792717091</v>
      </c>
      <c r="AI116" s="476">
        <f t="shared" si="132"/>
        <v>1.3513513513513598E-2</v>
      </c>
      <c r="AJ116" s="476">
        <f t="shared" si="132"/>
        <v>-0.23677581863979857</v>
      </c>
      <c r="AK116" s="476">
        <f t="shared" si="132"/>
        <v>-0.46803069053708435</v>
      </c>
      <c r="AL116" s="476">
        <f t="shared" si="132"/>
        <v>-0.57022471910112382</v>
      </c>
      <c r="AM116" s="475">
        <f t="shared" si="132"/>
        <v>-0.29848866498740567</v>
      </c>
      <c r="AN116" s="476">
        <f t="shared" si="132"/>
        <v>-0.31999999999999995</v>
      </c>
      <c r="AO116" s="476">
        <f t="shared" si="132"/>
        <v>0.41254125412541232</v>
      </c>
      <c r="AP116" s="476">
        <f t="shared" si="132"/>
        <v>0.64903846153846145</v>
      </c>
      <c r="AQ116" s="476">
        <f t="shared" si="132"/>
        <v>1.0849673202614372</v>
      </c>
      <c r="AR116" s="475">
        <f t="shared" ref="AR116:BA117" si="133">IF(ISERROR(AR79/AM79-1),"",(AR79/AM79-1))</f>
        <v>0.2531418312387792</v>
      </c>
      <c r="AS116" s="476">
        <f t="shared" si="133"/>
        <v>0.62745098039215663</v>
      </c>
      <c r="AT116" s="476">
        <f t="shared" si="133"/>
        <v>0.1331775700934581</v>
      </c>
      <c r="AU116" s="476">
        <f t="shared" si="133"/>
        <v>0.31486880466472322</v>
      </c>
      <c r="AV116" s="476">
        <f t="shared" si="133"/>
        <v>0.60188087774294718</v>
      </c>
      <c r="AW116" s="475">
        <f t="shared" si="133"/>
        <v>0.3932664756446993</v>
      </c>
      <c r="AX116" s="476">
        <f t="shared" si="133"/>
        <v>0.32128514056224899</v>
      </c>
      <c r="AY116" s="476">
        <f t="shared" si="133"/>
        <v>0.66804123711340213</v>
      </c>
      <c r="AZ116" s="476">
        <f t="shared" si="133"/>
        <v>0.26385809312638586</v>
      </c>
      <c r="BA116" s="476">
        <f t="shared" si="133"/>
        <v>4.8923679060665304E-2</v>
      </c>
      <c r="BB116" s="475">
        <f t="shared" ref="BB116:BK117" si="134">IF(ISERROR(BB79/AW79-1),"",(BB79/AW79-1))</f>
        <v>0.32287917737789207</v>
      </c>
      <c r="BC116" s="476">
        <f t="shared" si="134"/>
        <v>3.1914893617021489E-2</v>
      </c>
      <c r="BD116" s="476">
        <f t="shared" si="134"/>
        <v>-0.11990111248454882</v>
      </c>
      <c r="BE116" s="476">
        <f t="shared" si="134"/>
        <v>0.20526315789473681</v>
      </c>
      <c r="BF116" s="476">
        <f t="shared" si="134"/>
        <v>0.27798507462686572</v>
      </c>
      <c r="BG116" s="475">
        <f t="shared" si="134"/>
        <v>7.3843762145355596E-2</v>
      </c>
      <c r="BH116" s="476">
        <f t="shared" si="134"/>
        <v>0.11782032400589104</v>
      </c>
      <c r="BI116" s="476">
        <f t="shared" si="134"/>
        <v>0.1207865168539326</v>
      </c>
      <c r="BJ116" s="476">
        <f t="shared" si="134"/>
        <v>8.2969432314410563E-2</v>
      </c>
      <c r="BK116" s="476">
        <f t="shared" si="134"/>
        <v>0.14890510948905122</v>
      </c>
      <c r="BL116" s="475">
        <f t="shared" ref="BL116:BU117" si="135">IF(ISERROR(BL79/BG79-1),"",(BL79/BG79-1))</f>
        <v>0.11762576909156719</v>
      </c>
      <c r="BM116" s="476">
        <f t="shared" si="135"/>
        <v>0.17523056653491431</v>
      </c>
      <c r="BN116" s="476">
        <f t="shared" si="135"/>
        <v>0.14285714285714302</v>
      </c>
      <c r="BO116" s="476">
        <f t="shared" si="135"/>
        <v>-4.0322580645162365E-3</v>
      </c>
      <c r="BP116" s="476">
        <f t="shared" si="135"/>
        <v>3.8119440914866631E-2</v>
      </c>
      <c r="BQ116" s="475">
        <f t="shared" si="135"/>
        <v>8.87305699481864E-2</v>
      </c>
      <c r="BR116" s="476">
        <f t="shared" si="135"/>
        <v>1.7937219730941534E-2</v>
      </c>
      <c r="BS116" s="476">
        <f t="shared" si="135"/>
        <v>0.11403508771929816</v>
      </c>
      <c r="BT116" s="476">
        <f t="shared" si="135"/>
        <v>0.19838056680161942</v>
      </c>
      <c r="BU116" s="476">
        <f t="shared" si="135"/>
        <v>6.6095471236230052E-2</v>
      </c>
      <c r="BV116" s="475">
        <f t="shared" ref="BV116:CE117" si="136">IF(ISERROR(BV79/BQ79-1),"",(BV79/BQ79-1))</f>
        <v>9.5478881618084266E-2</v>
      </c>
      <c r="BW116" s="476">
        <f t="shared" si="136"/>
        <v>-9.8017621145374378E-2</v>
      </c>
      <c r="BX116" s="476">
        <f t="shared" si="136"/>
        <v>-9.3503937007874072E-2</v>
      </c>
      <c r="BY116" s="476">
        <f t="shared" si="136"/>
        <v>1.3513513513513598E-2</v>
      </c>
      <c r="BZ116" s="476">
        <f t="shared" si="136"/>
        <v>9.5292766934558015E-2</v>
      </c>
      <c r="CA116" s="475">
        <f t="shared" si="136"/>
        <v>-2.4165082812924177E-2</v>
      </c>
      <c r="CB116" s="476">
        <f t="shared" si="136"/>
        <v>0.11111111111111094</v>
      </c>
      <c r="CC116" s="476">
        <f t="shared" si="136"/>
        <v>1.0857763300760048E-2</v>
      </c>
      <c r="CD116" s="476">
        <f t="shared" si="136"/>
        <v>2.7777777777777679E-2</v>
      </c>
      <c r="CE116" s="476">
        <f t="shared" si="136"/>
        <v>1.8867924528301883E-2</v>
      </c>
      <c r="CF116" s="475">
        <f t="shared" ref="CF116:CO117" si="137">IF(ISERROR(CF79/CA79-1),"",(CF79/CA79-1))</f>
        <v>4.0066777963272182E-2</v>
      </c>
      <c r="CG116" s="476">
        <f t="shared" si="137"/>
        <v>0.23626373626373631</v>
      </c>
      <c r="CH116" s="476">
        <f t="shared" si="137"/>
        <v>0.20085929108485501</v>
      </c>
      <c r="CI116" s="476">
        <f t="shared" si="137"/>
        <v>8.2162162162162211E-2</v>
      </c>
      <c r="CJ116" s="476">
        <f t="shared" si="137"/>
        <v>-0.1059670781893004</v>
      </c>
      <c r="CK116" s="475">
        <f t="shared" si="137"/>
        <v>0.10032102728731918</v>
      </c>
      <c r="CL116" s="476">
        <f t="shared" si="137"/>
        <v>-0.18666666666666665</v>
      </c>
      <c r="CM116" s="476">
        <f t="shared" si="137"/>
        <v>-0.80916323434704829</v>
      </c>
      <c r="CN116" s="476">
        <f t="shared" si="137"/>
        <v>-0.60252059740259734</v>
      </c>
      <c r="CO116" s="476">
        <f t="shared" si="137"/>
        <v>-0.38130323360184126</v>
      </c>
      <c r="CP116" s="475">
        <f t="shared" ref="CP116:CP117" si="138">IF(ISERROR(CP79/CK79-1),"",(CP79/CK79-1))</f>
        <v>-0.4982057194262095</v>
      </c>
      <c r="CQ116" s="475">
        <f t="shared" ref="CQ116:CS120" si="139">IF(ISERROR(CQ79/CP79-1),"",(CQ79/CP79-1))</f>
        <v>0.1307231728296574</v>
      </c>
      <c r="CR116" s="475">
        <f t="shared" si="139"/>
        <v>0.14146139533612878</v>
      </c>
      <c r="CS116" s="475">
        <f t="shared" si="139"/>
        <v>0.1593831254036755</v>
      </c>
    </row>
    <row r="117" spans="2:97" hidden="1" outlineLevel="1">
      <c r="B117" s="433" t="s">
        <v>91</v>
      </c>
      <c r="C117" s="475"/>
      <c r="D117" s="475" t="str">
        <f t="shared" si="129"/>
        <v/>
      </c>
      <c r="E117" s="475" t="str">
        <f t="shared" si="129"/>
        <v/>
      </c>
      <c r="F117" s="475" t="str">
        <f t="shared" si="129"/>
        <v/>
      </c>
      <c r="G117" s="475" t="str">
        <f t="shared" si="129"/>
        <v/>
      </c>
      <c r="H117" s="475" t="str">
        <f t="shared" si="129"/>
        <v/>
      </c>
      <c r="I117" s="475" t="str">
        <f t="shared" si="129"/>
        <v/>
      </c>
      <c r="J117" s="476"/>
      <c r="K117" s="476"/>
      <c r="L117" s="476"/>
      <c r="M117" s="476"/>
      <c r="N117" s="475" t="str">
        <f t="shared" si="130"/>
        <v/>
      </c>
      <c r="O117" s="476" t="str">
        <f t="shared" si="130"/>
        <v/>
      </c>
      <c r="P117" s="476" t="str">
        <f t="shared" si="130"/>
        <v/>
      </c>
      <c r="Q117" s="476" t="str">
        <f t="shared" si="130"/>
        <v/>
      </c>
      <c r="R117" s="476" t="str">
        <f t="shared" si="130"/>
        <v/>
      </c>
      <c r="S117" s="475" t="str">
        <f t="shared" si="130"/>
        <v/>
      </c>
      <c r="T117" s="476" t="str">
        <f t="shared" si="130"/>
        <v/>
      </c>
      <c r="U117" s="476" t="str">
        <f t="shared" si="130"/>
        <v/>
      </c>
      <c r="V117" s="476" t="str">
        <f t="shared" si="130"/>
        <v/>
      </c>
      <c r="W117" s="476" t="str">
        <f t="shared" si="130"/>
        <v/>
      </c>
      <c r="X117" s="475" t="str">
        <f t="shared" si="131"/>
        <v/>
      </c>
      <c r="Y117" s="476">
        <f t="shared" si="131"/>
        <v>0.19512195121951281</v>
      </c>
      <c r="Z117" s="476">
        <f t="shared" si="131"/>
        <v>-0.16393442622950816</v>
      </c>
      <c r="AA117" s="476">
        <f t="shared" si="131"/>
        <v>4.2553191489361764E-2</v>
      </c>
      <c r="AB117" s="476">
        <f t="shared" si="131"/>
        <v>0</v>
      </c>
      <c r="AC117" s="475">
        <f t="shared" si="131"/>
        <v>2.2204460492503131E-16</v>
      </c>
      <c r="AD117" s="476">
        <f t="shared" si="131"/>
        <v>0.63265306122448961</v>
      </c>
      <c r="AE117" s="476">
        <f t="shared" si="131"/>
        <v>0.56862745098039236</v>
      </c>
      <c r="AF117" s="476">
        <f t="shared" si="131"/>
        <v>0.30612244897959173</v>
      </c>
      <c r="AG117" s="476">
        <f t="shared" si="131"/>
        <v>-0.31249999999999967</v>
      </c>
      <c r="AH117" s="475">
        <f t="shared" si="132"/>
        <v>0.25821596244131451</v>
      </c>
      <c r="AI117" s="476">
        <f t="shared" si="132"/>
        <v>0.10000000000000009</v>
      </c>
      <c r="AJ117" s="476">
        <f t="shared" si="132"/>
        <v>0.23750000000000004</v>
      </c>
      <c r="AK117" s="476">
        <f t="shared" si="132"/>
        <v>0.21875</v>
      </c>
      <c r="AL117" s="476">
        <f t="shared" si="132"/>
        <v>1.1818181818181808</v>
      </c>
      <c r="AM117" s="475">
        <f t="shared" si="132"/>
        <v>0.34701492537313428</v>
      </c>
      <c r="AN117" s="476">
        <f t="shared" si="132"/>
        <v>0.29545454545454541</v>
      </c>
      <c r="AO117" s="476">
        <f t="shared" si="132"/>
        <v>8.0808080808080662E-2</v>
      </c>
      <c r="AP117" s="476">
        <f t="shared" si="132"/>
        <v>0.52564102564102577</v>
      </c>
      <c r="AQ117" s="476">
        <f t="shared" si="132"/>
        <v>0.21875000000000044</v>
      </c>
      <c r="AR117" s="475">
        <f t="shared" si="133"/>
        <v>0.26592797783933531</v>
      </c>
      <c r="AS117" s="476">
        <f t="shared" si="133"/>
        <v>9.6491228070175294E-2</v>
      </c>
      <c r="AT117" s="476">
        <f t="shared" si="133"/>
        <v>0.11214953271028039</v>
      </c>
      <c r="AU117" s="476">
        <f t="shared" si="133"/>
        <v>0.36134453781512588</v>
      </c>
      <c r="AV117" s="476">
        <f t="shared" si="133"/>
        <v>-5.9829059829060061E-2</v>
      </c>
      <c r="AW117" s="475">
        <f t="shared" si="133"/>
        <v>0.1291028446389495</v>
      </c>
      <c r="AX117" s="476">
        <f t="shared" si="133"/>
        <v>-5.5999999999999939E-2</v>
      </c>
      <c r="AY117" s="476">
        <f t="shared" si="133"/>
        <v>-1.6806722689075682E-2</v>
      </c>
      <c r="AZ117" s="476">
        <f t="shared" si="133"/>
        <v>-8.0246913580246826E-2</v>
      </c>
      <c r="BA117" s="476">
        <f t="shared" si="133"/>
        <v>0.10909090909090913</v>
      </c>
      <c r="BB117" s="475">
        <f t="shared" si="134"/>
        <v>-1.9379844961240345E-2</v>
      </c>
      <c r="BC117" s="476">
        <f t="shared" si="134"/>
        <v>0.13559322033898291</v>
      </c>
      <c r="BD117" s="476">
        <f t="shared" si="134"/>
        <v>0.29059829059829068</v>
      </c>
      <c r="BE117" s="476">
        <f t="shared" si="134"/>
        <v>0</v>
      </c>
      <c r="BF117" s="476">
        <f t="shared" si="134"/>
        <v>0.27049180327868849</v>
      </c>
      <c r="BG117" s="475">
        <f t="shared" si="134"/>
        <v>0.16403162055335985</v>
      </c>
      <c r="BH117" s="476">
        <f t="shared" si="134"/>
        <v>0.22388059701492513</v>
      </c>
      <c r="BI117" s="476">
        <f t="shared" si="134"/>
        <v>0.16556291390728495</v>
      </c>
      <c r="BJ117" s="476">
        <f t="shared" si="134"/>
        <v>0.1208053691275166</v>
      </c>
      <c r="BK117" s="476">
        <f t="shared" si="134"/>
        <v>5.1612903225806583E-2</v>
      </c>
      <c r="BL117" s="475">
        <f t="shared" si="135"/>
        <v>0.13752122241086595</v>
      </c>
      <c r="BM117" s="476">
        <f t="shared" si="135"/>
        <v>-0.10365853658536583</v>
      </c>
      <c r="BN117" s="476">
        <f t="shared" si="135"/>
        <v>-0.18181818181818188</v>
      </c>
      <c r="BO117" s="476">
        <f t="shared" si="135"/>
        <v>-0.14970059880239517</v>
      </c>
      <c r="BP117" s="476">
        <f t="shared" si="135"/>
        <v>-0.23312883435582821</v>
      </c>
      <c r="BQ117" s="475">
        <f t="shared" si="135"/>
        <v>-0.16716417910447767</v>
      </c>
      <c r="BR117" s="476">
        <f t="shared" si="135"/>
        <v>-0.16326530612244894</v>
      </c>
      <c r="BS117" s="476">
        <f t="shared" si="135"/>
        <v>-0.18750000000000011</v>
      </c>
      <c r="BT117" s="476">
        <f t="shared" si="135"/>
        <v>-9.1549295774647765E-2</v>
      </c>
      <c r="BU117" s="476">
        <f t="shared" si="135"/>
        <v>5.600000000000005E-2</v>
      </c>
      <c r="BV117" s="475">
        <f t="shared" si="136"/>
        <v>-0.10215053763440862</v>
      </c>
      <c r="BW117" s="476">
        <f t="shared" si="136"/>
        <v>5.6910569105691033E-2</v>
      </c>
      <c r="BX117" s="476">
        <f t="shared" si="136"/>
        <v>3.4188034188034289E-2</v>
      </c>
      <c r="BY117" s="476">
        <f t="shared" si="136"/>
        <v>-6.2015503875968991E-2</v>
      </c>
      <c r="BZ117" s="476">
        <f t="shared" si="136"/>
        <v>-0.12878787878787878</v>
      </c>
      <c r="CA117" s="475">
        <f t="shared" si="136"/>
        <v>-2.7944111776446956E-2</v>
      </c>
      <c r="CB117" s="476">
        <f t="shared" si="136"/>
        <v>-0.23846153846153839</v>
      </c>
      <c r="CC117" s="476">
        <f t="shared" si="136"/>
        <v>0.31404958677685957</v>
      </c>
      <c r="CD117" s="476">
        <f t="shared" si="136"/>
        <v>0.28099173553719003</v>
      </c>
      <c r="CE117" s="476">
        <f t="shared" si="136"/>
        <v>-0.19130434782608685</v>
      </c>
      <c r="CF117" s="475">
        <f t="shared" si="137"/>
        <v>3.9014373716632189E-2</v>
      </c>
      <c r="CG117" s="476">
        <f t="shared" si="137"/>
        <v>0.49494949494949503</v>
      </c>
      <c r="CH117" s="476">
        <f t="shared" si="137"/>
        <v>2.515723270440251E-2</v>
      </c>
      <c r="CI117" s="476">
        <f t="shared" si="137"/>
        <v>0.30967741935483883</v>
      </c>
      <c r="CJ117" s="476">
        <f t="shared" si="137"/>
        <v>1.21505376344086</v>
      </c>
      <c r="CK117" s="475">
        <f t="shared" si="137"/>
        <v>0.42292490118577097</v>
      </c>
      <c r="CL117" s="476">
        <f t="shared" si="137"/>
        <v>-0.56081081081081086</v>
      </c>
      <c r="CM117" s="476">
        <f t="shared" si="137"/>
        <v>-0.86657271165644167</v>
      </c>
      <c r="CN117" s="476">
        <f t="shared" si="137"/>
        <v>-0.80958465024630544</v>
      </c>
      <c r="CO117" s="476">
        <f t="shared" si="137"/>
        <v>-0.69162974757281548</v>
      </c>
      <c r="CP117" s="475">
        <f t="shared" si="138"/>
        <v>-0.73760106111111112</v>
      </c>
      <c r="CQ117" s="475">
        <f t="shared" si="139"/>
        <v>0.77849202959810371</v>
      </c>
      <c r="CR117" s="475">
        <f t="shared" si="139"/>
        <v>0.2750195673892486</v>
      </c>
      <c r="CS117" s="475">
        <f t="shared" si="139"/>
        <v>0.22267610442231622</v>
      </c>
    </row>
    <row r="118" spans="2:97" hidden="1" outlineLevel="1">
      <c r="B118" s="503" t="s">
        <v>102</v>
      </c>
      <c r="C118" s="504"/>
      <c r="D118" s="504">
        <f t="shared" si="129"/>
        <v>3.5353115233330623E-2</v>
      </c>
      <c r="E118" s="504">
        <f t="shared" si="129"/>
        <v>-0.2195211532722724</v>
      </c>
      <c r="F118" s="504">
        <f t="shared" si="129"/>
        <v>7.3529411764705621E-3</v>
      </c>
      <c r="G118" s="504">
        <f t="shared" si="129"/>
        <v>1.8978102189781021E-2</v>
      </c>
      <c r="H118" s="504">
        <f t="shared" si="129"/>
        <v>-5.7306590257879653E-2</v>
      </c>
      <c r="I118" s="504">
        <f t="shared" si="129"/>
        <v>1.5197568389057725E-2</v>
      </c>
      <c r="J118" s="505"/>
      <c r="K118" s="505"/>
      <c r="L118" s="505"/>
      <c r="M118" s="505"/>
      <c r="N118" s="504">
        <f t="shared" ref="N118:X120" si="140">IF(ISERROR(N81/I81-1),"",(N81/I81-1))</f>
        <v>0.33383233532934131</v>
      </c>
      <c r="O118" s="505">
        <f t="shared" si="140"/>
        <v>0.24336283185840712</v>
      </c>
      <c r="P118" s="505">
        <f t="shared" si="140"/>
        <v>0.15441176470588225</v>
      </c>
      <c r="Q118" s="505">
        <f t="shared" si="140"/>
        <v>0.23560209424083767</v>
      </c>
      <c r="R118" s="505">
        <f t="shared" si="140"/>
        <v>3.4653465346535572E-2</v>
      </c>
      <c r="S118" s="504">
        <f t="shared" si="140"/>
        <v>0.16722783389450058</v>
      </c>
      <c r="T118" s="505">
        <f t="shared" si="140"/>
        <v>6.4056939501779153E-2</v>
      </c>
      <c r="U118" s="505">
        <f t="shared" si="140"/>
        <v>3.8216560509554132E-2</v>
      </c>
      <c r="V118" s="505">
        <f t="shared" si="140"/>
        <v>5.9322033898304927E-2</v>
      </c>
      <c r="W118" s="505">
        <f t="shared" si="140"/>
        <v>-0.15789473684210575</v>
      </c>
      <c r="X118" s="504">
        <f t="shared" si="140"/>
        <v>1.0576923076923039E-2</v>
      </c>
      <c r="Y118" s="505"/>
      <c r="Z118" s="505"/>
      <c r="AA118" s="505"/>
      <c r="AB118" s="505"/>
      <c r="AC118" s="504"/>
      <c r="AD118" s="505" t="str">
        <f t="shared" ref="AD118:AM120" si="141">IF(ISERROR(AD81/Y81-1),"",(AD81/Y81-1))</f>
        <v/>
      </c>
      <c r="AE118" s="505" t="str">
        <f t="shared" si="141"/>
        <v/>
      </c>
      <c r="AF118" s="505" t="str">
        <f t="shared" si="141"/>
        <v/>
      </c>
      <c r="AG118" s="505" t="str">
        <f t="shared" si="141"/>
        <v/>
      </c>
      <c r="AH118" s="504" t="str">
        <f t="shared" si="141"/>
        <v/>
      </c>
      <c r="AI118" s="505" t="str">
        <f t="shared" si="141"/>
        <v/>
      </c>
      <c r="AJ118" s="505" t="str">
        <f t="shared" si="141"/>
        <v/>
      </c>
      <c r="AK118" s="505" t="str">
        <f t="shared" si="141"/>
        <v/>
      </c>
      <c r="AL118" s="505" t="str">
        <f t="shared" si="141"/>
        <v/>
      </c>
      <c r="AM118" s="504" t="str">
        <f t="shared" si="141"/>
        <v/>
      </c>
      <c r="AN118" s="505" t="str">
        <f t="shared" ref="AN118:AW120" si="142">IF(ISERROR(AN81/AI81-1),"",(AN81/AI81-1))</f>
        <v/>
      </c>
      <c r="AO118" s="505" t="str">
        <f t="shared" si="142"/>
        <v/>
      </c>
      <c r="AP118" s="505" t="str">
        <f t="shared" si="142"/>
        <v/>
      </c>
      <c r="AQ118" s="505" t="str">
        <f t="shared" si="142"/>
        <v/>
      </c>
      <c r="AR118" s="504" t="str">
        <f t="shared" si="142"/>
        <v/>
      </c>
      <c r="AS118" s="505" t="str">
        <f t="shared" si="142"/>
        <v/>
      </c>
      <c r="AT118" s="505" t="str">
        <f t="shared" si="142"/>
        <v/>
      </c>
      <c r="AU118" s="505" t="str">
        <f t="shared" si="142"/>
        <v/>
      </c>
      <c r="AV118" s="505" t="str">
        <f t="shared" si="142"/>
        <v/>
      </c>
      <c r="AW118" s="504" t="str">
        <f t="shared" si="142"/>
        <v/>
      </c>
      <c r="AX118" s="505" t="str">
        <f t="shared" ref="AX118:BC120" si="143">IF(ISERROR(AX81/AS81-1),"",(AX81/AS81-1))</f>
        <v/>
      </c>
      <c r="AY118" s="505" t="str">
        <f t="shared" si="143"/>
        <v/>
      </c>
      <c r="AZ118" s="505" t="str">
        <f t="shared" si="143"/>
        <v/>
      </c>
      <c r="BA118" s="505" t="str">
        <f t="shared" si="143"/>
        <v/>
      </c>
      <c r="BB118" s="504" t="str">
        <f t="shared" si="143"/>
        <v/>
      </c>
      <c r="BC118" s="505" t="str">
        <f t="shared" si="143"/>
        <v/>
      </c>
      <c r="BD118" s="505"/>
      <c r="BE118" s="505"/>
      <c r="BF118" s="505"/>
      <c r="BG118" s="504" t="str">
        <f>IF(ISERROR(BG81/BB81-1),"",(BG81/BB81-1))</f>
        <v/>
      </c>
      <c r="BH118" s="505"/>
      <c r="BI118" s="505"/>
      <c r="BJ118" s="505"/>
      <c r="BK118" s="505"/>
      <c r="BL118" s="504" t="str">
        <f>IF(ISERROR(BL81/BG81-1),"",(BL81/BG81-1))</f>
        <v/>
      </c>
      <c r="BM118" s="505"/>
      <c r="BN118" s="505"/>
      <c r="BO118" s="505"/>
      <c r="BP118" s="505"/>
      <c r="BQ118" s="504" t="str">
        <f>IF(ISERROR(BQ81/BL81-1),"",(BQ81/BL81-1))</f>
        <v/>
      </c>
      <c r="BR118" s="505"/>
      <c r="BS118" s="505"/>
      <c r="BT118" s="505"/>
      <c r="BU118" s="505"/>
      <c r="BV118" s="504" t="str">
        <f>IF(ISERROR(BV81/BQ81-1),"",(BV81/BQ81-1))</f>
        <v/>
      </c>
      <c r="BW118" s="505"/>
      <c r="BX118" s="505"/>
      <c r="BY118" s="505"/>
      <c r="BZ118" s="505"/>
      <c r="CA118" s="504" t="str">
        <f>IF(ISERROR(CA81/BV81-1),"",(CA81/BV81-1))</f>
        <v/>
      </c>
      <c r="CB118" s="505"/>
      <c r="CC118" s="505"/>
      <c r="CD118" s="505"/>
      <c r="CE118" s="505"/>
      <c r="CF118" s="504" t="str">
        <f>IF(ISERROR(CF81/CA81-1),"",(CF81/CA81-1))</f>
        <v/>
      </c>
      <c r="CG118" s="505"/>
      <c r="CH118" s="505"/>
      <c r="CI118" s="505"/>
      <c r="CJ118" s="505"/>
      <c r="CK118" s="504" t="str">
        <f>IF(ISERROR(CK81/CF81-1),"",(CK81/CF81-1))</f>
        <v/>
      </c>
      <c r="CL118" s="505"/>
      <c r="CM118" s="505"/>
      <c r="CN118" s="505"/>
      <c r="CO118" s="505"/>
      <c r="CP118" s="504" t="str">
        <f>IF(ISERROR(CP81/CK81-1),"",(CP81/CK81-1))</f>
        <v/>
      </c>
      <c r="CQ118" s="504" t="str">
        <f t="shared" si="139"/>
        <v/>
      </c>
      <c r="CR118" s="504" t="str">
        <f t="shared" si="139"/>
        <v/>
      </c>
      <c r="CS118" s="504" t="str">
        <f t="shared" si="139"/>
        <v/>
      </c>
    </row>
    <row r="119" spans="2:97" hidden="1" outlineLevel="1">
      <c r="B119" s="433" t="s">
        <v>103</v>
      </c>
      <c r="C119" s="475"/>
      <c r="D119" s="475">
        <f t="shared" si="129"/>
        <v>0.42164410010148767</v>
      </c>
      <c r="E119" s="475">
        <f t="shared" si="129"/>
        <v>-0.41322932808664004</v>
      </c>
      <c r="F119" s="475">
        <f t="shared" si="129"/>
        <v>0.37091988130563802</v>
      </c>
      <c r="G119" s="475">
        <f t="shared" si="129"/>
        <v>-0.67748917748917747</v>
      </c>
      <c r="H119" s="475">
        <f t="shared" si="129"/>
        <v>0.31543624161073835</v>
      </c>
      <c r="I119" s="475">
        <f t="shared" si="129"/>
        <v>-0.17346938775510212</v>
      </c>
      <c r="J119" s="476"/>
      <c r="K119" s="476"/>
      <c r="L119" s="476"/>
      <c r="M119" s="476"/>
      <c r="N119" s="475">
        <f t="shared" si="140"/>
        <v>1.4506172839506175</v>
      </c>
      <c r="O119" s="476">
        <f t="shared" si="140"/>
        <v>0.59210526315789469</v>
      </c>
      <c r="P119" s="476">
        <f t="shared" si="140"/>
        <v>-0.10769230769230775</v>
      </c>
      <c r="Q119" s="476">
        <f t="shared" si="140"/>
        <v>-7.0707070707070829E-2</v>
      </c>
      <c r="R119" s="476">
        <f t="shared" si="140"/>
        <v>9.7826086956521507E-2</v>
      </c>
      <c r="S119" s="475">
        <f t="shared" si="140"/>
        <v>8.3123425692695152E-2</v>
      </c>
      <c r="T119" s="476">
        <f t="shared" si="140"/>
        <v>-0.34710743801652888</v>
      </c>
      <c r="U119" s="476">
        <f t="shared" si="140"/>
        <v>-0.39655172413793105</v>
      </c>
      <c r="V119" s="476">
        <f t="shared" si="140"/>
        <v>-0.18478260869565211</v>
      </c>
      <c r="W119" s="476">
        <f t="shared" si="140"/>
        <v>-0.64356435643564347</v>
      </c>
      <c r="X119" s="475">
        <f t="shared" si="140"/>
        <v>-0.39534883720930236</v>
      </c>
      <c r="Y119" s="476"/>
      <c r="Z119" s="476"/>
      <c r="AA119" s="476"/>
      <c r="AB119" s="476"/>
      <c r="AC119" s="475"/>
      <c r="AD119" s="476" t="str">
        <f t="shared" si="141"/>
        <v/>
      </c>
      <c r="AE119" s="476" t="str">
        <f t="shared" si="141"/>
        <v/>
      </c>
      <c r="AF119" s="476" t="str">
        <f t="shared" si="141"/>
        <v/>
      </c>
      <c r="AG119" s="476" t="str">
        <f t="shared" si="141"/>
        <v/>
      </c>
      <c r="AH119" s="475" t="str">
        <f t="shared" si="141"/>
        <v/>
      </c>
      <c r="AI119" s="476" t="str">
        <f t="shared" si="141"/>
        <v/>
      </c>
      <c r="AJ119" s="476" t="str">
        <f t="shared" si="141"/>
        <v/>
      </c>
      <c r="AK119" s="476" t="str">
        <f t="shared" si="141"/>
        <v/>
      </c>
      <c r="AL119" s="476" t="str">
        <f t="shared" si="141"/>
        <v/>
      </c>
      <c r="AM119" s="475" t="str">
        <f t="shared" si="141"/>
        <v/>
      </c>
      <c r="AN119" s="476" t="str">
        <f t="shared" si="142"/>
        <v/>
      </c>
      <c r="AO119" s="476" t="str">
        <f t="shared" si="142"/>
        <v/>
      </c>
      <c r="AP119" s="476" t="str">
        <f t="shared" si="142"/>
        <v/>
      </c>
      <c r="AQ119" s="476" t="str">
        <f t="shared" si="142"/>
        <v/>
      </c>
      <c r="AR119" s="475" t="str">
        <f t="shared" si="142"/>
        <v/>
      </c>
      <c r="AS119" s="476" t="str">
        <f t="shared" si="142"/>
        <v/>
      </c>
      <c r="AT119" s="476" t="str">
        <f t="shared" si="142"/>
        <v/>
      </c>
      <c r="AU119" s="476" t="str">
        <f t="shared" si="142"/>
        <v/>
      </c>
      <c r="AV119" s="476" t="str">
        <f t="shared" si="142"/>
        <v/>
      </c>
      <c r="AW119" s="475" t="str">
        <f t="shared" si="142"/>
        <v/>
      </c>
      <c r="AX119" s="476" t="str">
        <f t="shared" si="143"/>
        <v/>
      </c>
      <c r="AY119" s="476" t="str">
        <f t="shared" si="143"/>
        <v/>
      </c>
      <c r="AZ119" s="476" t="str">
        <f t="shared" si="143"/>
        <v/>
      </c>
      <c r="BA119" s="476" t="str">
        <f t="shared" si="143"/>
        <v/>
      </c>
      <c r="BB119" s="475" t="str">
        <f t="shared" si="143"/>
        <v/>
      </c>
      <c r="BC119" s="476" t="str">
        <f t="shared" si="143"/>
        <v/>
      </c>
      <c r="BD119" s="476"/>
      <c r="BE119" s="476"/>
      <c r="BF119" s="476"/>
      <c r="BG119" s="475" t="str">
        <f>IF(ISERROR(BG82/BB82-1),"",(BG82/BB82-1))</f>
        <v/>
      </c>
      <c r="BH119" s="476"/>
      <c r="BI119" s="476"/>
      <c r="BJ119" s="476"/>
      <c r="BK119" s="476"/>
      <c r="BL119" s="475" t="str">
        <f>IF(ISERROR(BL82/BG82-1),"",(BL82/BG82-1))</f>
        <v/>
      </c>
      <c r="BM119" s="476"/>
      <c r="BN119" s="476"/>
      <c r="BO119" s="476"/>
      <c r="BP119" s="476"/>
      <c r="BQ119" s="475" t="str">
        <f>IF(ISERROR(BQ82/BL82-1),"",(BQ82/BL82-1))</f>
        <v/>
      </c>
      <c r="BR119" s="476"/>
      <c r="BS119" s="476"/>
      <c r="BT119" s="476"/>
      <c r="BU119" s="476"/>
      <c r="BV119" s="475" t="str">
        <f>IF(ISERROR(BV82/BQ82-1),"",(BV82/BQ82-1))</f>
        <v/>
      </c>
      <c r="BW119" s="476"/>
      <c r="BX119" s="476"/>
      <c r="BY119" s="476"/>
      <c r="BZ119" s="476"/>
      <c r="CA119" s="475" t="str">
        <f>IF(ISERROR(CA82/BV82-1),"",(CA82/BV82-1))</f>
        <v/>
      </c>
      <c r="CB119" s="476"/>
      <c r="CC119" s="476"/>
      <c r="CD119" s="476"/>
      <c r="CE119" s="476"/>
      <c r="CF119" s="475" t="str">
        <f>IF(ISERROR(CF82/CA82-1),"",(CF82/CA82-1))</f>
        <v/>
      </c>
      <c r="CG119" s="476"/>
      <c r="CH119" s="476"/>
      <c r="CI119" s="476"/>
      <c r="CJ119" s="476"/>
      <c r="CK119" s="475" t="str">
        <f>IF(ISERROR(CK82/CF82-1),"",(CK82/CF82-1))</f>
        <v/>
      </c>
      <c r="CL119" s="476"/>
      <c r="CM119" s="476"/>
      <c r="CN119" s="476"/>
      <c r="CO119" s="476"/>
      <c r="CP119" s="475" t="str">
        <f>IF(ISERROR(CP82/CK82-1),"",(CP82/CK82-1))</f>
        <v/>
      </c>
      <c r="CQ119" s="475" t="str">
        <f t="shared" si="139"/>
        <v/>
      </c>
      <c r="CR119" s="475" t="str">
        <f t="shared" si="139"/>
        <v/>
      </c>
      <c r="CS119" s="475" t="str">
        <f t="shared" si="139"/>
        <v/>
      </c>
    </row>
    <row r="120" spans="2:97" hidden="1" outlineLevel="1">
      <c r="B120" s="494" t="s">
        <v>104</v>
      </c>
      <c r="C120" s="506"/>
      <c r="D120" s="506">
        <f t="shared" si="129"/>
        <v>8.889946945993743E-2</v>
      </c>
      <c r="E120" s="506">
        <f t="shared" si="129"/>
        <v>0.39921294271971997</v>
      </c>
      <c r="F120" s="506">
        <f t="shared" si="129"/>
        <v>-0.73214285714285721</v>
      </c>
      <c r="G120" s="506">
        <f t="shared" si="129"/>
        <v>-0.60000000000000009</v>
      </c>
      <c r="H120" s="506">
        <f t="shared" si="129"/>
        <v>-0.83333333333333326</v>
      </c>
      <c r="I120" s="506">
        <f t="shared" si="129"/>
        <v>4</v>
      </c>
      <c r="J120" s="507"/>
      <c r="K120" s="507"/>
      <c r="L120" s="507"/>
      <c r="M120" s="507"/>
      <c r="N120" s="506">
        <f t="shared" si="140"/>
        <v>0.89999999999999991</v>
      </c>
      <c r="O120" s="507">
        <f t="shared" si="140"/>
        <v>1.2000000000000002</v>
      </c>
      <c r="P120" s="507">
        <f t="shared" si="140"/>
        <v>1.75</v>
      </c>
      <c r="Q120" s="507">
        <f t="shared" si="140"/>
        <v>0.60000000000000009</v>
      </c>
      <c r="R120" s="507">
        <f t="shared" si="140"/>
        <v>1.0666666666666664</v>
      </c>
      <c r="S120" s="506">
        <f t="shared" si="140"/>
        <v>1.1052631578947367</v>
      </c>
      <c r="T120" s="507">
        <f t="shared" si="140"/>
        <v>1.3636363636363633</v>
      </c>
      <c r="U120" s="507">
        <f t="shared" si="140"/>
        <v>0.63636363636363624</v>
      </c>
      <c r="V120" s="507">
        <f t="shared" si="140"/>
        <v>1.25</v>
      </c>
      <c r="W120" s="507">
        <f t="shared" si="140"/>
        <v>0.16129032258064524</v>
      </c>
      <c r="X120" s="506">
        <f t="shared" si="140"/>
        <v>0.67500000000000004</v>
      </c>
      <c r="Y120" s="507"/>
      <c r="Z120" s="507"/>
      <c r="AA120" s="507"/>
      <c r="AB120" s="507"/>
      <c r="AC120" s="506"/>
      <c r="AD120" s="507" t="str">
        <f t="shared" si="141"/>
        <v/>
      </c>
      <c r="AE120" s="507" t="str">
        <f t="shared" si="141"/>
        <v/>
      </c>
      <c r="AF120" s="507" t="str">
        <f t="shared" si="141"/>
        <v/>
      </c>
      <c r="AG120" s="507" t="str">
        <f t="shared" si="141"/>
        <v/>
      </c>
      <c r="AH120" s="506" t="str">
        <f t="shared" si="141"/>
        <v/>
      </c>
      <c r="AI120" s="507" t="str">
        <f t="shared" si="141"/>
        <v/>
      </c>
      <c r="AJ120" s="507" t="str">
        <f t="shared" si="141"/>
        <v/>
      </c>
      <c r="AK120" s="507" t="str">
        <f t="shared" si="141"/>
        <v/>
      </c>
      <c r="AL120" s="507" t="str">
        <f t="shared" si="141"/>
        <v/>
      </c>
      <c r="AM120" s="506" t="str">
        <f t="shared" si="141"/>
        <v/>
      </c>
      <c r="AN120" s="507" t="str">
        <f t="shared" si="142"/>
        <v/>
      </c>
      <c r="AO120" s="507" t="str">
        <f t="shared" si="142"/>
        <v/>
      </c>
      <c r="AP120" s="507" t="str">
        <f t="shared" si="142"/>
        <v/>
      </c>
      <c r="AQ120" s="507" t="str">
        <f t="shared" si="142"/>
        <v/>
      </c>
      <c r="AR120" s="506" t="str">
        <f t="shared" si="142"/>
        <v/>
      </c>
      <c r="AS120" s="507" t="str">
        <f t="shared" si="142"/>
        <v/>
      </c>
      <c r="AT120" s="507" t="str">
        <f t="shared" si="142"/>
        <v/>
      </c>
      <c r="AU120" s="507" t="str">
        <f t="shared" si="142"/>
        <v/>
      </c>
      <c r="AV120" s="507" t="str">
        <f t="shared" si="142"/>
        <v/>
      </c>
      <c r="AW120" s="506" t="str">
        <f t="shared" si="142"/>
        <v/>
      </c>
      <c r="AX120" s="507" t="str">
        <f t="shared" si="143"/>
        <v/>
      </c>
      <c r="AY120" s="507" t="str">
        <f t="shared" si="143"/>
        <v/>
      </c>
      <c r="AZ120" s="507" t="str">
        <f t="shared" si="143"/>
        <v/>
      </c>
      <c r="BA120" s="507" t="str">
        <f t="shared" si="143"/>
        <v/>
      </c>
      <c r="BB120" s="506" t="str">
        <f t="shared" si="143"/>
        <v/>
      </c>
      <c r="BC120" s="507" t="str">
        <f t="shared" si="143"/>
        <v/>
      </c>
      <c r="BD120" s="507"/>
      <c r="BE120" s="507"/>
      <c r="BF120" s="507"/>
      <c r="BG120" s="506" t="str">
        <f>IF(ISERROR(BG83/BB83-1),"",(BG83/BB83-1))</f>
        <v/>
      </c>
      <c r="BH120" s="507"/>
      <c r="BI120" s="507"/>
      <c r="BJ120" s="507"/>
      <c r="BK120" s="507"/>
      <c r="BL120" s="506" t="str">
        <f>IF(ISERROR(BL83/BG83-1),"",(BL83/BG83-1))</f>
        <v/>
      </c>
      <c r="BM120" s="507"/>
      <c r="BN120" s="507"/>
      <c r="BO120" s="507"/>
      <c r="BP120" s="507"/>
      <c r="BQ120" s="506" t="str">
        <f>IF(ISERROR(BQ83/BL83-1),"",(BQ83/BL83-1))</f>
        <v/>
      </c>
      <c r="BR120" s="507"/>
      <c r="BS120" s="507"/>
      <c r="BT120" s="507"/>
      <c r="BU120" s="507"/>
      <c r="BV120" s="506" t="str">
        <f>IF(ISERROR(BV83/BQ83-1),"",(BV83/BQ83-1))</f>
        <v/>
      </c>
      <c r="BW120" s="507"/>
      <c r="BX120" s="507"/>
      <c r="BY120" s="507"/>
      <c r="BZ120" s="507"/>
      <c r="CA120" s="506" t="str">
        <f>IF(ISERROR(CA83/BV83-1),"",(CA83/BV83-1))</f>
        <v/>
      </c>
      <c r="CB120" s="507"/>
      <c r="CC120" s="507"/>
      <c r="CD120" s="507"/>
      <c r="CE120" s="507"/>
      <c r="CF120" s="506" t="str">
        <f>IF(ISERROR(CF83/CA83-1),"",(CF83/CA83-1))</f>
        <v/>
      </c>
      <c r="CG120" s="507"/>
      <c r="CH120" s="507"/>
      <c r="CI120" s="507"/>
      <c r="CJ120" s="507"/>
      <c r="CK120" s="506" t="str">
        <f>IF(ISERROR(CK83/CF83-1),"",(CK83/CF83-1))</f>
        <v/>
      </c>
      <c r="CL120" s="507"/>
      <c r="CM120" s="507"/>
      <c r="CN120" s="507"/>
      <c r="CO120" s="507"/>
      <c r="CP120" s="506" t="str">
        <f>IF(ISERROR(CP83/CK83-1),"",(CP83/CK83-1))</f>
        <v/>
      </c>
      <c r="CQ120" s="506" t="str">
        <f t="shared" si="139"/>
        <v/>
      </c>
      <c r="CR120" s="506" t="str">
        <f t="shared" si="139"/>
        <v/>
      </c>
      <c r="CS120" s="506" t="str">
        <f t="shared" si="139"/>
        <v/>
      </c>
    </row>
    <row r="121" spans="2:97" hidden="1" outlineLevel="1">
      <c r="B121" s="467" t="s">
        <v>272</v>
      </c>
      <c r="C121" s="491"/>
      <c r="D121" s="491">
        <f t="shared" ref="D121:I121" si="144">D84/C84-1</f>
        <v>0.1530750007181223</v>
      </c>
      <c r="E121" s="491">
        <f t="shared" si="144"/>
        <v>-0.22711872851377601</v>
      </c>
      <c r="F121" s="491">
        <f t="shared" si="144"/>
        <v>-2.739726027397249E-2</v>
      </c>
      <c r="G121" s="491">
        <f t="shared" si="144"/>
        <v>-0.27837613918806958</v>
      </c>
      <c r="H121" s="491">
        <f t="shared" si="144"/>
        <v>-1.492537313432829E-2</v>
      </c>
      <c r="I121" s="491">
        <f t="shared" si="144"/>
        <v>-9.3240093240094524E-3</v>
      </c>
      <c r="J121" s="492"/>
      <c r="K121" s="492"/>
      <c r="L121" s="492"/>
      <c r="M121" s="492"/>
      <c r="N121" s="491">
        <f t="shared" ref="N121:AS121" si="145">N84/I84-1</f>
        <v>0.56000000000000028</v>
      </c>
      <c r="O121" s="492">
        <f t="shared" si="145"/>
        <v>0.34527687296416931</v>
      </c>
      <c r="P121" s="492">
        <f t="shared" si="145"/>
        <v>0.10243902439024399</v>
      </c>
      <c r="Q121" s="492">
        <f t="shared" si="145"/>
        <v>0.14666666666666672</v>
      </c>
      <c r="R121" s="492">
        <f t="shared" si="145"/>
        <v>0.10355987055016236</v>
      </c>
      <c r="S121" s="491">
        <f t="shared" si="145"/>
        <v>0.16892911010558054</v>
      </c>
      <c r="T121" s="492">
        <f t="shared" si="145"/>
        <v>-2.1791767554479535E-2</v>
      </c>
      <c r="U121" s="492">
        <f t="shared" si="145"/>
        <v>-4.4247787610619427E-2</v>
      </c>
      <c r="V121" s="492">
        <f t="shared" si="145"/>
        <v>4.9418604651162878E-2</v>
      </c>
      <c r="W121" s="492">
        <f t="shared" si="145"/>
        <v>-0.27272727272727304</v>
      </c>
      <c r="X121" s="491">
        <f t="shared" si="145"/>
        <v>-6.7741935483870974E-2</v>
      </c>
      <c r="Y121" s="492">
        <f t="shared" si="145"/>
        <v>3.4653465346534684E-2</v>
      </c>
      <c r="Z121" s="492">
        <f t="shared" si="145"/>
        <v>2.3148148148148806E-3</v>
      </c>
      <c r="AA121" s="492">
        <f t="shared" si="145"/>
        <v>7.4792243767312971E-2</v>
      </c>
      <c r="AB121" s="492">
        <f t="shared" si="145"/>
        <v>0.62096774193548443</v>
      </c>
      <c r="AC121" s="491">
        <f t="shared" si="145"/>
        <v>0.13564013840830458</v>
      </c>
      <c r="AD121" s="492">
        <f t="shared" si="145"/>
        <v>0.25358851674641159</v>
      </c>
      <c r="AE121" s="492">
        <f t="shared" si="145"/>
        <v>0.10161662817551953</v>
      </c>
      <c r="AF121" s="492">
        <f t="shared" si="145"/>
        <v>0.17268041237113407</v>
      </c>
      <c r="AG121" s="492">
        <f t="shared" si="145"/>
        <v>-4.975124378108986E-3</v>
      </c>
      <c r="AH121" s="491">
        <f t="shared" si="145"/>
        <v>0.13101767215112736</v>
      </c>
      <c r="AI121" s="492">
        <f t="shared" si="145"/>
        <v>2.6717557251908275E-2</v>
      </c>
      <c r="AJ121" s="492">
        <f t="shared" si="145"/>
        <v>-0.15723270440251569</v>
      </c>
      <c r="AK121" s="492">
        <f t="shared" si="145"/>
        <v>-0.37142857142857144</v>
      </c>
      <c r="AL121" s="492">
        <f t="shared" si="145"/>
        <v>-0.3775000000000005</v>
      </c>
      <c r="AM121" s="491">
        <f t="shared" si="145"/>
        <v>-0.20528017241379315</v>
      </c>
      <c r="AN121" s="492">
        <f t="shared" si="145"/>
        <v>-0.21933085501858729</v>
      </c>
      <c r="AO121" s="492">
        <f t="shared" si="145"/>
        <v>0.33084577114427849</v>
      </c>
      <c r="AP121" s="492">
        <f t="shared" si="145"/>
        <v>0.6153846153846152</v>
      </c>
      <c r="AQ121" s="492">
        <f t="shared" si="145"/>
        <v>0.75100401606425682</v>
      </c>
      <c r="AR121" s="491">
        <f t="shared" si="145"/>
        <v>0.25627118644067814</v>
      </c>
      <c r="AS121" s="492">
        <f t="shared" si="145"/>
        <v>0.48333333333333317</v>
      </c>
      <c r="AT121" s="492">
        <f t="shared" ref="AT121:BY121" si="146">AT84/AO84-1</f>
        <v>0.12897196261682242</v>
      </c>
      <c r="AU121" s="492">
        <f t="shared" si="146"/>
        <v>0.32683982683982693</v>
      </c>
      <c r="AV121" s="492">
        <f t="shared" si="146"/>
        <v>0.42431192660550487</v>
      </c>
      <c r="AW121" s="491">
        <f t="shared" si="146"/>
        <v>0.32811656772800846</v>
      </c>
      <c r="AX121" s="492">
        <f t="shared" si="146"/>
        <v>0.24558587479935801</v>
      </c>
      <c r="AY121" s="492">
        <f t="shared" si="146"/>
        <v>0.53311258278145712</v>
      </c>
      <c r="AZ121" s="492">
        <f t="shared" si="146"/>
        <v>0.17292006525285486</v>
      </c>
      <c r="BA121" s="492">
        <f t="shared" si="146"/>
        <v>5.9581320450885489E-2</v>
      </c>
      <c r="BB121" s="491">
        <f t="shared" si="146"/>
        <v>0.25111743193823632</v>
      </c>
      <c r="BC121" s="492">
        <f t="shared" si="146"/>
        <v>4.7680412371134295E-2</v>
      </c>
      <c r="BD121" s="492">
        <f t="shared" si="146"/>
        <v>-6.8034557235421289E-2</v>
      </c>
      <c r="BE121" s="492">
        <f t="shared" si="146"/>
        <v>0.16272600834492357</v>
      </c>
      <c r="BF121" s="492">
        <f t="shared" si="146"/>
        <v>0.27659574468085113</v>
      </c>
      <c r="BG121" s="491">
        <f t="shared" si="146"/>
        <v>8.8665151023059385E-2</v>
      </c>
      <c r="BH121" s="492">
        <f t="shared" si="146"/>
        <v>0.13530135301353008</v>
      </c>
      <c r="BI121" s="492">
        <f t="shared" si="146"/>
        <v>0.12862108922363857</v>
      </c>
      <c r="BJ121" s="492">
        <f t="shared" si="146"/>
        <v>8.9712918660286967E-2</v>
      </c>
      <c r="BK121" s="492">
        <f t="shared" si="146"/>
        <v>0.13095238095238093</v>
      </c>
      <c r="BL121" s="491">
        <f t="shared" si="146"/>
        <v>0.12112171837708829</v>
      </c>
      <c r="BM121" s="492">
        <f t="shared" si="146"/>
        <v>0.12567713976164674</v>
      </c>
      <c r="BN121" s="492">
        <f t="shared" si="146"/>
        <v>8.4188911704312197E-2</v>
      </c>
      <c r="BO121" s="492">
        <f t="shared" si="146"/>
        <v>-3.0735455543359103E-2</v>
      </c>
      <c r="BP121" s="492">
        <f t="shared" si="146"/>
        <v>-8.4210526315788847E-3</v>
      </c>
      <c r="BQ121" s="491">
        <f t="shared" si="146"/>
        <v>4.3108036189462462E-2</v>
      </c>
      <c r="BR121" s="492">
        <f t="shared" si="146"/>
        <v>-7.6997112608278018E-3</v>
      </c>
      <c r="BS121" s="492">
        <f t="shared" si="146"/>
        <v>7.2916666666666519E-2</v>
      </c>
      <c r="BT121" s="492">
        <f t="shared" si="146"/>
        <v>0.15175537938844852</v>
      </c>
      <c r="BU121" s="492">
        <f t="shared" si="146"/>
        <v>6.4755838641188834E-2</v>
      </c>
      <c r="BV121" s="491">
        <f t="shared" si="146"/>
        <v>6.7346938775510123E-2</v>
      </c>
      <c r="BW121" s="492">
        <f t="shared" si="146"/>
        <v>-7.9534432589718596E-2</v>
      </c>
      <c r="BX121" s="492">
        <f t="shared" si="146"/>
        <v>-8.0317740511915314E-2</v>
      </c>
      <c r="BY121" s="492">
        <f t="shared" si="146"/>
        <v>3.9331366764994158E-3</v>
      </c>
      <c r="BZ121" s="492">
        <f t="shared" ref="BZ121:CP121" si="147">BZ84/BU84-1</f>
        <v>6.580259222333007E-2</v>
      </c>
      <c r="CA121" s="491">
        <f t="shared" si="147"/>
        <v>-2.4617590822179736E-2</v>
      </c>
      <c r="CB121" s="492">
        <f t="shared" si="147"/>
        <v>6.3224446786090516E-2</v>
      </c>
      <c r="CC121" s="492">
        <f t="shared" si="147"/>
        <v>4.6065259117082702E-2</v>
      </c>
      <c r="CD121" s="492">
        <f t="shared" si="147"/>
        <v>5.7786483839373126E-2</v>
      </c>
      <c r="CE121" s="492">
        <f t="shared" si="147"/>
        <v>-3.7418147801684398E-3</v>
      </c>
      <c r="CF121" s="491">
        <f t="shared" si="147"/>
        <v>3.9941190884587252E-2</v>
      </c>
      <c r="CG121" s="492">
        <f t="shared" si="147"/>
        <v>0.26164519326065405</v>
      </c>
      <c r="CH121" s="492">
        <f t="shared" si="147"/>
        <v>0.17522935779816518</v>
      </c>
      <c r="CI121" s="492">
        <f t="shared" si="147"/>
        <v>0.1148148148148147</v>
      </c>
      <c r="CJ121" s="492">
        <f t="shared" si="147"/>
        <v>9.3896713615022609E-3</v>
      </c>
      <c r="CK121" s="491">
        <f t="shared" si="147"/>
        <v>0.13878416588124409</v>
      </c>
      <c r="CL121" s="492">
        <f t="shared" si="147"/>
        <v>-0.23016496465043201</v>
      </c>
      <c r="CM121" s="492">
        <f t="shared" si="147"/>
        <v>-0.81646826541764239</v>
      </c>
      <c r="CN121" s="492">
        <f t="shared" si="147"/>
        <v>-0.63743255980066438</v>
      </c>
      <c r="CO121" s="492">
        <f t="shared" si="147"/>
        <v>-0.44077045395348835</v>
      </c>
      <c r="CP121" s="491">
        <f t="shared" si="147"/>
        <v>-0.53386982991930476</v>
      </c>
      <c r="CQ121" s="491">
        <f>CQ84/CP84-1</f>
        <v>0.1850470335029728</v>
      </c>
      <c r="CR121" s="491">
        <f>CR84/CQ84-1</f>
        <v>0.15827099477331474</v>
      </c>
      <c r="CS121" s="491">
        <f>CS84/CR84-1</f>
        <v>0.16815210590055485</v>
      </c>
    </row>
    <row r="122" spans="2:97" hidden="1" outlineLevel="1">
      <c r="B122" s="433" t="s">
        <v>92</v>
      </c>
      <c r="C122" s="475"/>
      <c r="D122" s="475">
        <f t="shared" ref="D122:I123" si="148">IF(ISERROR(D85/C85-1),"",(D85/C85-1))</f>
        <v>-0.30680786686838313</v>
      </c>
      <c r="E122" s="475">
        <f t="shared" si="148"/>
        <v>0.26812010383882479</v>
      </c>
      <c r="F122" s="475">
        <f t="shared" si="148"/>
        <v>-0.17934782608695665</v>
      </c>
      <c r="G122" s="475">
        <f t="shared" si="148"/>
        <v>7.9028697571743933</v>
      </c>
      <c r="H122" s="475">
        <f t="shared" si="148"/>
        <v>-0.93652367964294569</v>
      </c>
      <c r="I122" s="475">
        <f t="shared" si="148"/>
        <v>6.25E-2</v>
      </c>
      <c r="J122" s="476"/>
      <c r="K122" s="476"/>
      <c r="L122" s="476"/>
      <c r="M122" s="476"/>
      <c r="N122" s="475">
        <f t="shared" ref="N122:W123" si="149">IF(ISERROR(N85/I85-1),"",(N85/I85-1))</f>
        <v>0.61029411764705865</v>
      </c>
      <c r="O122" s="476">
        <f t="shared" si="149"/>
        <v>0.19999999999999996</v>
      </c>
      <c r="P122" s="476">
        <f t="shared" si="149"/>
        <v>-0.45033112582781454</v>
      </c>
      <c r="Q122" s="476">
        <f t="shared" si="149"/>
        <v>1.2543859649122804</v>
      </c>
      <c r="R122" s="476">
        <f t="shared" si="149"/>
        <v>-0.18446601941747631</v>
      </c>
      <c r="S122" s="475">
        <f t="shared" si="149"/>
        <v>0.15981735159817356</v>
      </c>
      <c r="T122" s="476">
        <f t="shared" si="149"/>
        <v>0.26190476190476186</v>
      </c>
      <c r="U122" s="476">
        <f t="shared" si="149"/>
        <v>7.2289156626506035E-2</v>
      </c>
      <c r="V122" s="476">
        <f t="shared" si="149"/>
        <v>-0.59533073929961089</v>
      </c>
      <c r="W122" s="476">
        <f t="shared" si="149"/>
        <v>-2.3809523809522504E-2</v>
      </c>
      <c r="X122" s="475">
        <f t="shared" ref="X122:AG123" si="150">IF(ISERROR(X85/S85-1),"",(X85/S85-1))</f>
        <v>-0.24999999999999989</v>
      </c>
      <c r="Y122" s="476">
        <f t="shared" si="150"/>
        <v>0.12264150943396235</v>
      </c>
      <c r="Z122" s="476">
        <f t="shared" si="150"/>
        <v>4.4943820224719211E-2</v>
      </c>
      <c r="AA122" s="476">
        <f t="shared" si="150"/>
        <v>-0.17307692307692313</v>
      </c>
      <c r="AB122" s="476">
        <f t="shared" si="150"/>
        <v>1.3658536585365826</v>
      </c>
      <c r="AC122" s="475">
        <f t="shared" si="150"/>
        <v>0.29133858267716506</v>
      </c>
      <c r="AD122" s="476">
        <f t="shared" si="150"/>
        <v>0.34453781512605031</v>
      </c>
      <c r="AE122" s="476">
        <f t="shared" si="150"/>
        <v>0.97849462365591378</v>
      </c>
      <c r="AF122" s="476">
        <f t="shared" si="150"/>
        <v>0.11627906976744184</v>
      </c>
      <c r="AG122" s="476">
        <f t="shared" si="150"/>
        <v>-0.44845360824742209</v>
      </c>
      <c r="AH122" s="475">
        <f t="shared" ref="AH122:AQ123" si="151">IF(ISERROR(AH85/AC85-1),"",(AH85/AC85-1))</f>
        <v>0.11178861788617911</v>
      </c>
      <c r="AI122" s="476">
        <f t="shared" si="151"/>
        <v>-0.13124999999999998</v>
      </c>
      <c r="AJ122" s="476">
        <f t="shared" si="151"/>
        <v>-0.42934782608695643</v>
      </c>
      <c r="AK122" s="476">
        <f t="shared" si="151"/>
        <v>-6.25E-2</v>
      </c>
      <c r="AL122" s="476">
        <f t="shared" si="151"/>
        <v>-2.8037383177570319E-2</v>
      </c>
      <c r="AM122" s="475">
        <f t="shared" si="151"/>
        <v>-0.19926873857404026</v>
      </c>
      <c r="AN122" s="476">
        <f t="shared" si="151"/>
        <v>0.30935251798561136</v>
      </c>
      <c r="AO122" s="476">
        <f t="shared" si="151"/>
        <v>0.23809523809523814</v>
      </c>
      <c r="AP122" s="476">
        <f t="shared" si="151"/>
        <v>0.29999999999999982</v>
      </c>
      <c r="AQ122" s="476">
        <f t="shared" si="151"/>
        <v>0.21153846153846168</v>
      </c>
      <c r="AR122" s="475">
        <f t="shared" ref="AR122:BA123" si="152">IF(ISERROR(AR85/AM85-1),"",(AR85/AM85-1))</f>
        <v>0.26712328767123306</v>
      </c>
      <c r="AS122" s="476">
        <f t="shared" si="152"/>
        <v>-0.17032967032967028</v>
      </c>
      <c r="AT122" s="476">
        <f t="shared" si="152"/>
        <v>-0.15384615384615385</v>
      </c>
      <c r="AU122" s="476">
        <f t="shared" si="152"/>
        <v>0.30769230769230793</v>
      </c>
      <c r="AV122" s="476">
        <f t="shared" si="152"/>
        <v>7.9365079365076863E-3</v>
      </c>
      <c r="AW122" s="475">
        <f t="shared" si="152"/>
        <v>-2.5225225225225079E-2</v>
      </c>
      <c r="AX122" s="476">
        <f t="shared" si="152"/>
        <v>0.1258278145695364</v>
      </c>
      <c r="AY122" s="476">
        <f t="shared" si="152"/>
        <v>0.7</v>
      </c>
      <c r="AZ122" s="476">
        <f t="shared" si="152"/>
        <v>-0.22222222222222221</v>
      </c>
      <c r="BA122" s="476">
        <f t="shared" si="152"/>
        <v>-9.4488188976377896E-2</v>
      </c>
      <c r="BB122" s="475">
        <f t="shared" ref="BB122:BK123" si="153">IF(ISERROR(BB85/AW85-1),"",(BB85/AW85-1))</f>
        <v>9.242144177449152E-2</v>
      </c>
      <c r="BC122" s="476">
        <f t="shared" si="153"/>
        <v>7.6470588235294068E-2</v>
      </c>
      <c r="BD122" s="476">
        <f t="shared" si="153"/>
        <v>-0.22994652406417104</v>
      </c>
      <c r="BE122" s="476">
        <f t="shared" si="153"/>
        <v>0.22689075630252087</v>
      </c>
      <c r="BF122" s="476">
        <f t="shared" si="153"/>
        <v>0.47826086956521729</v>
      </c>
      <c r="BG122" s="475">
        <f t="shared" si="153"/>
        <v>8.7986463620981503E-2</v>
      </c>
      <c r="BH122" s="476">
        <f t="shared" si="153"/>
        <v>-3.2786885245901676E-2</v>
      </c>
      <c r="BI122" s="476">
        <f t="shared" si="153"/>
        <v>0.54861111111111116</v>
      </c>
      <c r="BJ122" s="476">
        <f t="shared" si="153"/>
        <v>-0.17123287671232879</v>
      </c>
      <c r="BK122" s="476">
        <f t="shared" si="153"/>
        <v>5.2941176470588047E-2</v>
      </c>
      <c r="BL122" s="475">
        <f t="shared" ref="BL122:BU123" si="154">IF(ISERROR(BL85/BG85-1),"",(BL85/BG85-1))</f>
        <v>8.8646967340590743E-2</v>
      </c>
      <c r="BM122" s="476">
        <f t="shared" si="154"/>
        <v>0.2033898305084747</v>
      </c>
      <c r="BN122" s="476">
        <f t="shared" si="154"/>
        <v>-0.32735426008968616</v>
      </c>
      <c r="BO122" s="476">
        <f t="shared" si="154"/>
        <v>-0.14876033057851235</v>
      </c>
      <c r="BP122" s="476">
        <f t="shared" si="154"/>
        <v>-0.27374301675977653</v>
      </c>
      <c r="BQ122" s="475">
        <f t="shared" si="154"/>
        <v>-0.14857142857142869</v>
      </c>
      <c r="BR122" s="476">
        <f t="shared" si="154"/>
        <v>-9.8591549295774739E-2</v>
      </c>
      <c r="BS122" s="476">
        <f t="shared" si="154"/>
        <v>-0.12</v>
      </c>
      <c r="BT122" s="476">
        <f t="shared" si="154"/>
        <v>0.22330097087378631</v>
      </c>
      <c r="BU122" s="476">
        <f t="shared" si="154"/>
        <v>2.3076923076923217E-2</v>
      </c>
      <c r="BV122" s="475">
        <f t="shared" ref="BV122:CE123" si="155">IF(ISERROR(BV85/BQ85-1),"",(BV85/BQ85-1))</f>
        <v>-2.1812080536912748E-2</v>
      </c>
      <c r="BW122" s="476">
        <f t="shared" si="155"/>
        <v>-0.15104166666666663</v>
      </c>
      <c r="BX122" s="476">
        <f t="shared" si="155"/>
        <v>9.8484848484848619E-2</v>
      </c>
      <c r="BY122" s="476">
        <f t="shared" si="155"/>
        <v>3.1746031746031855E-2</v>
      </c>
      <c r="BZ122" s="476">
        <f t="shared" si="155"/>
        <v>3.007518796992481E-2</v>
      </c>
      <c r="CA122" s="475">
        <f t="shared" si="155"/>
        <v>-1.3722126929674006E-2</v>
      </c>
      <c r="CB122" s="476">
        <f t="shared" si="155"/>
        <v>0.13496932515337412</v>
      </c>
      <c r="CC122" s="476">
        <f t="shared" si="155"/>
        <v>-0.13793103448275867</v>
      </c>
      <c r="CD122" s="476">
        <f t="shared" si="155"/>
        <v>-0.11538461538461542</v>
      </c>
      <c r="CE122" s="476">
        <f t="shared" si="155"/>
        <v>-0.21897810218978109</v>
      </c>
      <c r="CF122" s="475">
        <f t="shared" ref="CF122:CO123" si="156">IF(ISERROR(CF85/CA85-1),"",(CF85/CA85-1))</f>
        <v>-7.478260869565212E-2</v>
      </c>
      <c r="CG122" s="476">
        <f t="shared" si="156"/>
        <v>0.32432432432432434</v>
      </c>
      <c r="CH122" s="476">
        <f t="shared" si="156"/>
        <v>4.0000000000000036E-2</v>
      </c>
      <c r="CI122" s="476">
        <f t="shared" si="156"/>
        <v>-8.6956521739130488E-2</v>
      </c>
      <c r="CJ122" s="476">
        <f t="shared" si="156"/>
        <v>-5.6074766355140193E-2</v>
      </c>
      <c r="CK122" s="475">
        <f t="shared" si="156"/>
        <v>9.210526315789469E-2</v>
      </c>
      <c r="CL122" s="476">
        <f t="shared" si="156"/>
        <v>0.31836734693877533</v>
      </c>
      <c r="CM122" s="476">
        <f t="shared" si="156"/>
        <v>-0.30769230769230771</v>
      </c>
      <c r="CN122" s="476">
        <f t="shared" si="156"/>
        <v>-4.7619047619047672E-2</v>
      </c>
      <c r="CO122" s="476">
        <f t="shared" si="156"/>
        <v>-9.9009900990099098E-3</v>
      </c>
      <c r="CP122" s="475">
        <f t="shared" ref="CP122:CP123" si="157">IF(ISERROR(CP85/CK85-1),"",(CP85/CK85-1))</f>
        <v>5.5077452667813942E-2</v>
      </c>
      <c r="CQ122" s="475">
        <f t="shared" ref="CQ122:CS123" si="158">IF(ISERROR(CQ85/CP85-1),"",(CQ85/CP85-1))</f>
        <v>-0.10277324632952689</v>
      </c>
      <c r="CR122" s="475">
        <f t="shared" si="158"/>
        <v>1.8181818181818077E-2</v>
      </c>
      <c r="CS122" s="475">
        <f t="shared" si="158"/>
        <v>1.7857142857142794E-2</v>
      </c>
    </row>
    <row r="123" spans="2:97" hidden="1" outlineLevel="1">
      <c r="B123" s="463" t="s">
        <v>174</v>
      </c>
      <c r="C123" s="478"/>
      <c r="D123" s="478">
        <f t="shared" si="148"/>
        <v>0.53078200818760934</v>
      </c>
      <c r="E123" s="478">
        <f t="shared" si="148"/>
        <v>-0.41130734199711283</v>
      </c>
      <c r="F123" s="478">
        <f t="shared" si="148"/>
        <v>9.4339622641509635E-2</v>
      </c>
      <c r="G123" s="478">
        <f t="shared" si="148"/>
        <v>-5.1936339522546415</v>
      </c>
      <c r="H123" s="478">
        <f t="shared" si="148"/>
        <v>-1.1903858317520557</v>
      </c>
      <c r="I123" s="478">
        <f t="shared" si="148"/>
        <v>-3.9867109634551756E-2</v>
      </c>
      <c r="J123" s="479"/>
      <c r="K123" s="479"/>
      <c r="L123" s="479"/>
      <c r="M123" s="479"/>
      <c r="N123" s="478">
        <f t="shared" si="149"/>
        <v>0.53633217993079629</v>
      </c>
      <c r="O123" s="479">
        <f t="shared" si="149"/>
        <v>0.38818565400843896</v>
      </c>
      <c r="P123" s="479">
        <f t="shared" si="149"/>
        <v>0.42471042471042497</v>
      </c>
      <c r="Q123" s="479">
        <f t="shared" si="149"/>
        <v>-0.53225806451612911</v>
      </c>
      <c r="R123" s="479">
        <f t="shared" si="149"/>
        <v>0.2475728155339818</v>
      </c>
      <c r="S123" s="478">
        <f t="shared" si="149"/>
        <v>0.1734234234234231</v>
      </c>
      <c r="T123" s="479">
        <f t="shared" si="149"/>
        <v>-9.4224924012158318E-2</v>
      </c>
      <c r="U123" s="479">
        <f t="shared" si="149"/>
        <v>-7.0460704607046121E-2</v>
      </c>
      <c r="V123" s="479">
        <f t="shared" si="149"/>
        <v>1.9540229885057476</v>
      </c>
      <c r="W123" s="479">
        <f t="shared" si="149"/>
        <v>-0.3540856031128411</v>
      </c>
      <c r="X123" s="478">
        <f t="shared" si="150"/>
        <v>2.1113243761996081E-2</v>
      </c>
      <c r="Y123" s="479">
        <f t="shared" si="150"/>
        <v>3.3557046979866278E-3</v>
      </c>
      <c r="Z123" s="479">
        <f t="shared" si="150"/>
        <v>-8.7463556851312685E-3</v>
      </c>
      <c r="AA123" s="479">
        <f t="shared" si="150"/>
        <v>0.17509727626459104</v>
      </c>
      <c r="AB123" s="479">
        <f t="shared" si="150"/>
        <v>0.25301204819277312</v>
      </c>
      <c r="AC123" s="478">
        <f t="shared" si="150"/>
        <v>7.9887218045113118E-2</v>
      </c>
      <c r="AD123" s="479">
        <f t="shared" si="150"/>
        <v>0.21739130434782616</v>
      </c>
      <c r="AE123" s="479">
        <f t="shared" si="150"/>
        <v>-0.1382352941176469</v>
      </c>
      <c r="AF123" s="479">
        <f t="shared" si="150"/>
        <v>0.18874172185430482</v>
      </c>
      <c r="AG123" s="479">
        <f t="shared" si="150"/>
        <v>0.40865384615384559</v>
      </c>
      <c r="AH123" s="478">
        <f t="shared" si="151"/>
        <v>0.13925152306353339</v>
      </c>
      <c r="AI123" s="479">
        <f t="shared" si="151"/>
        <v>9.6153846153846256E-2</v>
      </c>
      <c r="AJ123" s="479">
        <f t="shared" si="151"/>
        <v>1.3651877133105783E-2</v>
      </c>
      <c r="AK123" s="479">
        <f t="shared" si="151"/>
        <v>-0.4540389972144846</v>
      </c>
      <c r="AL123" s="479">
        <f t="shared" si="151"/>
        <v>-0.5051194539249152</v>
      </c>
      <c r="AM123" s="478">
        <f t="shared" si="151"/>
        <v>-0.20779220779220797</v>
      </c>
      <c r="AN123" s="479">
        <f t="shared" si="151"/>
        <v>-0.40350877192982448</v>
      </c>
      <c r="AO123" s="479">
        <f t="shared" si="151"/>
        <v>0.36363636363636354</v>
      </c>
      <c r="AP123" s="479">
        <f t="shared" si="151"/>
        <v>0.76020408163265296</v>
      </c>
      <c r="AQ123" s="479">
        <f t="shared" si="151"/>
        <v>1.1379310344827585</v>
      </c>
      <c r="AR123" s="478">
        <f t="shared" si="152"/>
        <v>0.25168756027000971</v>
      </c>
      <c r="AS123" s="479">
        <f t="shared" si="152"/>
        <v>0.98319327731092421</v>
      </c>
      <c r="AT123" s="479">
        <f t="shared" si="152"/>
        <v>0.219753086419753</v>
      </c>
      <c r="AU123" s="479">
        <f t="shared" si="152"/>
        <v>0.33333333333333326</v>
      </c>
      <c r="AV123" s="479">
        <f t="shared" si="152"/>
        <v>0.59354838709677482</v>
      </c>
      <c r="AW123" s="478">
        <f t="shared" si="152"/>
        <v>0.47919876733436051</v>
      </c>
      <c r="AX123" s="479">
        <f t="shared" si="152"/>
        <v>0.28389830508474567</v>
      </c>
      <c r="AY123" s="479">
        <f t="shared" si="152"/>
        <v>0.49595141700404866</v>
      </c>
      <c r="AZ123" s="479">
        <f t="shared" si="152"/>
        <v>0.30434782608695676</v>
      </c>
      <c r="BA123" s="479">
        <f t="shared" si="152"/>
        <v>9.9190283400809598E-2</v>
      </c>
      <c r="BB123" s="478">
        <f t="shared" si="153"/>
        <v>0.29583333333333317</v>
      </c>
      <c r="BC123" s="479">
        <f t="shared" si="153"/>
        <v>3.9603960396039861E-2</v>
      </c>
      <c r="BD123" s="479">
        <f t="shared" si="153"/>
        <v>-2.706359945872816E-2</v>
      </c>
      <c r="BE123" s="479">
        <f t="shared" si="153"/>
        <v>0.15000000000000013</v>
      </c>
      <c r="BF123" s="479">
        <f t="shared" si="153"/>
        <v>0.2338858195211786</v>
      </c>
      <c r="BG123" s="478">
        <f t="shared" si="153"/>
        <v>8.8826366559485503E-2</v>
      </c>
      <c r="BH123" s="479">
        <f t="shared" si="153"/>
        <v>0.18412698412698392</v>
      </c>
      <c r="BI123" s="479">
        <f t="shared" si="153"/>
        <v>4.4506258692628808E-2</v>
      </c>
      <c r="BJ123" s="479">
        <f t="shared" si="153"/>
        <v>0.14492753623188404</v>
      </c>
      <c r="BK123" s="479">
        <f t="shared" si="153"/>
        <v>0.15074626865671625</v>
      </c>
      <c r="BL123" s="478">
        <f t="shared" si="154"/>
        <v>0.12882982650424535</v>
      </c>
      <c r="BM123" s="479">
        <f t="shared" si="154"/>
        <v>0.1072386058981234</v>
      </c>
      <c r="BN123" s="479">
        <f t="shared" si="154"/>
        <v>0.20639147802929436</v>
      </c>
      <c r="BO123" s="479">
        <f t="shared" si="154"/>
        <v>-1.2658227848101444E-2</v>
      </c>
      <c r="BP123" s="479">
        <f t="shared" si="154"/>
        <v>5.3177691309987063E-2</v>
      </c>
      <c r="BQ123" s="478">
        <f t="shared" si="154"/>
        <v>8.6984957488554393E-2</v>
      </c>
      <c r="BR123" s="479">
        <f t="shared" si="154"/>
        <v>1.5738498789346078E-2</v>
      </c>
      <c r="BS123" s="479">
        <f t="shared" si="154"/>
        <v>0.10485651214128011</v>
      </c>
      <c r="BT123" s="479">
        <f t="shared" si="154"/>
        <v>0.14230769230769247</v>
      </c>
      <c r="BU123" s="479">
        <f t="shared" si="154"/>
        <v>7.1428571428571397E-2</v>
      </c>
      <c r="BV123" s="478">
        <f t="shared" si="155"/>
        <v>8.3333333333333259E-2</v>
      </c>
      <c r="BW123" s="479">
        <f t="shared" si="155"/>
        <v>-6.3170441001191735E-2</v>
      </c>
      <c r="BX123" s="479">
        <f t="shared" si="155"/>
        <v>-0.10389610389610393</v>
      </c>
      <c r="BY123" s="479">
        <f t="shared" si="155"/>
        <v>-1.1102230246251565E-16</v>
      </c>
      <c r="BZ123" s="479">
        <f t="shared" si="155"/>
        <v>7.1264367816092022E-2</v>
      </c>
      <c r="CA123" s="478">
        <f t="shared" si="155"/>
        <v>-2.6381560677589566E-2</v>
      </c>
      <c r="CB123" s="479">
        <f t="shared" si="155"/>
        <v>4.8346055979643809E-2</v>
      </c>
      <c r="CC123" s="479">
        <f t="shared" si="155"/>
        <v>7.5808249721293297E-2</v>
      </c>
      <c r="CD123" s="479">
        <f t="shared" si="155"/>
        <v>8.3052749719416452E-2</v>
      </c>
      <c r="CE123" s="479">
        <f t="shared" si="155"/>
        <v>2.7896995708154515E-2</v>
      </c>
      <c r="CF123" s="478">
        <f t="shared" si="156"/>
        <v>5.8756417569880259E-2</v>
      </c>
      <c r="CG123" s="479">
        <f t="shared" si="156"/>
        <v>0.24757281553398047</v>
      </c>
      <c r="CH123" s="479">
        <f t="shared" si="156"/>
        <v>0.19274611398963715</v>
      </c>
      <c r="CI123" s="479">
        <f t="shared" si="156"/>
        <v>0.13886010362694301</v>
      </c>
      <c r="CJ123" s="479">
        <f t="shared" si="156"/>
        <v>1.6701461377870652E-2</v>
      </c>
      <c r="CK123" s="478">
        <f t="shared" si="156"/>
        <v>0.14547413793103425</v>
      </c>
      <c r="CL123" s="479">
        <f t="shared" si="156"/>
        <v>-0.36089494163424118</v>
      </c>
      <c r="CM123" s="479">
        <f t="shared" si="156"/>
        <v>-0.87393210078192873</v>
      </c>
      <c r="CN123" s="479">
        <f t="shared" si="156"/>
        <v>-0.69378416924476793</v>
      </c>
      <c r="CO123" s="479">
        <f t="shared" si="156"/>
        <v>-0.48544993634496925</v>
      </c>
      <c r="CP123" s="478">
        <f t="shared" si="157"/>
        <v>-0.61434451740357465</v>
      </c>
      <c r="CQ123" s="478">
        <f t="shared" si="158"/>
        <v>0.2926412927583395</v>
      </c>
      <c r="CR123" s="478">
        <f t="shared" si="158"/>
        <v>0.19462033072375595</v>
      </c>
      <c r="CS123" s="478">
        <f t="shared" si="158"/>
        <v>0.20138986690034621</v>
      </c>
    </row>
    <row r="124" spans="2:97" hidden="1" outlineLevel="1">
      <c r="C124" s="475"/>
      <c r="D124" s="475"/>
      <c r="E124" s="475"/>
      <c r="F124" s="475"/>
      <c r="G124" s="475"/>
      <c r="H124" s="475"/>
      <c r="I124" s="475"/>
      <c r="J124" s="476"/>
      <c r="K124" s="476"/>
      <c r="L124" s="476"/>
      <c r="M124" s="476"/>
      <c r="N124" s="475"/>
      <c r="O124" s="476"/>
      <c r="P124" s="476"/>
      <c r="Q124" s="476"/>
      <c r="R124" s="476"/>
      <c r="S124" s="475"/>
      <c r="T124" s="476"/>
      <c r="U124" s="476"/>
      <c r="V124" s="476"/>
      <c r="W124" s="476"/>
      <c r="X124" s="475"/>
      <c r="Y124" s="476"/>
      <c r="Z124" s="476"/>
      <c r="AA124" s="476"/>
      <c r="AB124" s="476"/>
      <c r="AC124" s="475"/>
      <c r="AD124" s="476"/>
      <c r="AE124" s="476"/>
      <c r="AF124" s="476"/>
      <c r="AG124" s="476"/>
      <c r="AH124" s="475"/>
      <c r="AI124" s="476"/>
      <c r="AJ124" s="476"/>
      <c r="AK124" s="476"/>
      <c r="AL124" s="476"/>
      <c r="AM124" s="475"/>
      <c r="AN124" s="476"/>
      <c r="AO124" s="476"/>
      <c r="AP124" s="476"/>
      <c r="AQ124" s="476"/>
      <c r="AR124" s="475"/>
      <c r="AS124" s="476"/>
      <c r="AT124" s="476"/>
      <c r="AU124" s="476"/>
      <c r="AV124" s="476"/>
      <c r="AW124" s="475"/>
      <c r="AX124" s="476"/>
      <c r="AY124" s="476"/>
      <c r="AZ124" s="476"/>
      <c r="BA124" s="476"/>
      <c r="BB124" s="475"/>
      <c r="BC124" s="476"/>
      <c r="BD124" s="476"/>
      <c r="BE124" s="476"/>
      <c r="BF124" s="476"/>
      <c r="BG124" s="475"/>
      <c r="BH124" s="476"/>
      <c r="BI124" s="476"/>
      <c r="BJ124" s="476"/>
      <c r="BK124" s="476"/>
      <c r="BL124" s="475"/>
      <c r="BM124" s="476"/>
      <c r="BN124" s="476"/>
      <c r="BO124" s="476"/>
      <c r="BP124" s="476"/>
      <c r="BQ124" s="475"/>
      <c r="BR124" s="476"/>
      <c r="BS124" s="476"/>
      <c r="BT124" s="476"/>
      <c r="BU124" s="476"/>
      <c r="BV124" s="475"/>
      <c r="BW124" s="476"/>
      <c r="BX124" s="476"/>
      <c r="BY124" s="476"/>
      <c r="BZ124" s="476"/>
      <c r="CA124" s="475"/>
      <c r="CB124" s="476"/>
      <c r="CC124" s="476"/>
      <c r="CD124" s="476"/>
      <c r="CE124" s="476"/>
      <c r="CF124" s="475"/>
      <c r="CG124" s="476"/>
      <c r="CH124" s="476"/>
      <c r="CI124" s="476"/>
      <c r="CJ124" s="476"/>
      <c r="CK124" s="475"/>
      <c r="CL124" s="476"/>
      <c r="CM124" s="476"/>
      <c r="CN124" s="476"/>
      <c r="CO124" s="476"/>
      <c r="CP124" s="475"/>
      <c r="CQ124" s="475"/>
      <c r="CR124" s="475"/>
      <c r="CS124" s="475"/>
    </row>
    <row r="125" spans="2:97" hidden="1" outlineLevel="1">
      <c r="B125" s="481" t="s">
        <v>125</v>
      </c>
      <c r="C125" s="475"/>
      <c r="D125" s="475"/>
      <c r="E125" s="475"/>
      <c r="F125" s="475"/>
      <c r="G125" s="475"/>
      <c r="H125" s="475"/>
      <c r="I125" s="475"/>
      <c r="J125" s="476"/>
      <c r="K125" s="476"/>
      <c r="L125" s="476"/>
      <c r="M125" s="476"/>
      <c r="N125" s="475"/>
      <c r="O125" s="476"/>
      <c r="P125" s="476"/>
      <c r="Q125" s="476"/>
      <c r="R125" s="476"/>
      <c r="S125" s="475"/>
      <c r="T125" s="476"/>
      <c r="U125" s="476"/>
      <c r="V125" s="476"/>
      <c r="W125" s="476"/>
      <c r="X125" s="475"/>
      <c r="Y125" s="476"/>
      <c r="Z125" s="476"/>
      <c r="AA125" s="476"/>
      <c r="AB125" s="476"/>
      <c r="AC125" s="475"/>
      <c r="AD125" s="476"/>
      <c r="AE125" s="476"/>
      <c r="AF125" s="476"/>
      <c r="AG125" s="476"/>
      <c r="AH125" s="475"/>
      <c r="AI125" s="476"/>
      <c r="AJ125" s="476"/>
      <c r="AK125" s="476"/>
      <c r="AL125" s="476"/>
      <c r="AM125" s="475"/>
      <c r="AN125" s="476"/>
      <c r="AO125" s="476"/>
      <c r="AP125" s="476"/>
      <c r="AQ125" s="476"/>
      <c r="AR125" s="475"/>
      <c r="AS125" s="476"/>
      <c r="AT125" s="476"/>
      <c r="AU125" s="476"/>
      <c r="AV125" s="476"/>
      <c r="AW125" s="475"/>
      <c r="AX125" s="476"/>
      <c r="AY125" s="476"/>
      <c r="AZ125" s="476"/>
      <c r="BA125" s="476"/>
      <c r="BB125" s="475"/>
      <c r="BC125" s="476"/>
      <c r="BD125" s="476"/>
      <c r="BE125" s="476"/>
      <c r="BF125" s="476"/>
      <c r="BG125" s="475"/>
      <c r="BH125" s="476"/>
      <c r="BI125" s="476"/>
      <c r="BJ125" s="476"/>
      <c r="BK125" s="476"/>
      <c r="BL125" s="475"/>
      <c r="BM125" s="476"/>
      <c r="BN125" s="476"/>
      <c r="BO125" s="476"/>
      <c r="BP125" s="476"/>
      <c r="BQ125" s="475"/>
      <c r="BR125" s="476"/>
      <c r="BS125" s="476"/>
      <c r="BT125" s="476"/>
      <c r="BU125" s="476"/>
      <c r="BV125" s="475"/>
      <c r="BW125" s="476"/>
      <c r="BX125" s="476"/>
      <c r="BY125" s="476"/>
      <c r="BZ125" s="476"/>
      <c r="CA125" s="475"/>
      <c r="CB125" s="476"/>
      <c r="CC125" s="476"/>
      <c r="CD125" s="476"/>
      <c r="CE125" s="476"/>
      <c r="CF125" s="475"/>
      <c r="CG125" s="476"/>
      <c r="CH125" s="476"/>
      <c r="CI125" s="476"/>
      <c r="CJ125" s="476"/>
      <c r="CK125" s="475"/>
      <c r="CL125" s="476"/>
      <c r="CM125" s="476"/>
      <c r="CN125" s="476"/>
      <c r="CO125" s="476"/>
      <c r="CP125" s="475"/>
      <c r="CQ125" s="475"/>
      <c r="CR125" s="475"/>
      <c r="CS125" s="475"/>
    </row>
    <row r="126" spans="2:97" hidden="1" outlineLevel="1">
      <c r="B126" s="433" t="s">
        <v>90</v>
      </c>
      <c r="C126" s="475"/>
      <c r="D126" s="475"/>
      <c r="E126" s="475"/>
      <c r="F126" s="475"/>
      <c r="G126" s="475"/>
      <c r="H126" s="475"/>
      <c r="I126" s="475"/>
      <c r="J126" s="476"/>
      <c r="K126" s="476" t="str">
        <f t="shared" ref="K126:M133" si="159">IF(ISERROR(K79/J79-1),"",K79/J79-1)</f>
        <v/>
      </c>
      <c r="L126" s="476" t="str">
        <f t="shared" si="159"/>
        <v/>
      </c>
      <c r="M126" s="476" t="str">
        <f t="shared" si="159"/>
        <v/>
      </c>
      <c r="N126" s="475"/>
      <c r="O126" s="476" t="str">
        <f t="shared" ref="O126:O133" si="160">IF(ISERROR(O79/M79-1),"",O79/M79-1)</f>
        <v/>
      </c>
      <c r="P126" s="476" t="str">
        <f t="shared" ref="P126:R133" si="161">IF(ISERROR(P79/O79-1),"",P79/O79-1)</f>
        <v/>
      </c>
      <c r="Q126" s="476" t="str">
        <f t="shared" si="161"/>
        <v/>
      </c>
      <c r="R126" s="476" t="str">
        <f t="shared" si="161"/>
        <v/>
      </c>
      <c r="S126" s="475"/>
      <c r="T126" s="476" t="str">
        <f t="shared" ref="T126:T133" si="162">IF(ISERROR(T79/R79-1),"",T79/R79-1)</f>
        <v/>
      </c>
      <c r="U126" s="476">
        <f t="shared" ref="U126:W133" si="163">IF(ISERROR(U79/T79-1),"",U79/T79-1)</f>
        <v>-0.25494505494505493</v>
      </c>
      <c r="V126" s="476">
        <f t="shared" si="163"/>
        <v>-0.12684365781710905</v>
      </c>
      <c r="W126" s="476">
        <f t="shared" si="163"/>
        <v>0.14189189189189233</v>
      </c>
      <c r="X126" s="475"/>
      <c r="Y126" s="476">
        <f>IF(ISERROR(Y79/W79-1),"",Y79/W79-1)</f>
        <v>9.1715976331360638E-2</v>
      </c>
      <c r="Z126" s="476">
        <f t="shared" ref="Z126:AB127" si="164">IF(ISERROR(Z79/Y79-1),"",Z79/Y79-1)</f>
        <v>3.5230352303523116E-2</v>
      </c>
      <c r="AA126" s="476">
        <f t="shared" si="164"/>
        <v>-0.11256544502617816</v>
      </c>
      <c r="AB126" s="476">
        <f t="shared" si="164"/>
        <v>-2.9498525073742288E-3</v>
      </c>
      <c r="AC126" s="475"/>
      <c r="AD126" s="476">
        <f>IF(ISERROR(AD79/AB79-1),"",AD79/AB79-1)</f>
        <v>0.3136094674556209</v>
      </c>
      <c r="AE126" s="476">
        <f t="shared" ref="AE126:AG127" si="165">IF(ISERROR(AE79/AD79-1),"",AE79/AD79-1)</f>
        <v>-0.10585585585585577</v>
      </c>
      <c r="AF126" s="476">
        <f t="shared" si="165"/>
        <v>-1.5113350125944613E-2</v>
      </c>
      <c r="AG126" s="476">
        <f t="shared" si="165"/>
        <v>-8.9514066496163114E-2</v>
      </c>
      <c r="AH126" s="475"/>
      <c r="AI126" s="476">
        <f>IF(ISERROR(AI79/AG79-1),"",AI79/AG79-1)</f>
        <v>0.26404494382022392</v>
      </c>
      <c r="AJ126" s="476">
        <f t="shared" ref="AJ126:AL127" si="166">IF(ISERROR(AJ79/AI79-1),"",AJ79/AI79-1)</f>
        <v>-0.32666666666666666</v>
      </c>
      <c r="AK126" s="476">
        <f t="shared" si="166"/>
        <v>-0.31353135313531355</v>
      </c>
      <c r="AL126" s="476">
        <f t="shared" si="166"/>
        <v>-0.26442307692307687</v>
      </c>
      <c r="AM126" s="475"/>
      <c r="AN126" s="476">
        <f>IF(ISERROR(AN79/AL79-1),"",AN79/AL79-1)</f>
        <v>1</v>
      </c>
      <c r="AO126" s="476">
        <f t="shared" ref="AO126:AQ127" si="167">IF(ISERROR(AO79/AN79-1),"",AO79/AN79-1)</f>
        <v>0.39869281045751626</v>
      </c>
      <c r="AP126" s="476">
        <f t="shared" si="167"/>
        <v>-0.19859813084112155</v>
      </c>
      <c r="AQ126" s="476">
        <f t="shared" si="167"/>
        <v>-6.9970845481049704E-2</v>
      </c>
      <c r="AR126" s="475"/>
      <c r="AS126" s="476">
        <f>IF(ISERROR(AS79/AQ79-1),"",AS79/AQ79-1)</f>
        <v>0.5611285266457684</v>
      </c>
      <c r="AT126" s="476">
        <f t="shared" ref="AT126:AV127" si="168">IF(ISERROR(AT79/AS79-1),"",AT79/AS79-1)</f>
        <v>-2.6104417670682722E-2</v>
      </c>
      <c r="AU126" s="476">
        <f t="shared" si="168"/>
        <v>-7.0103092783505128E-2</v>
      </c>
      <c r="AV126" s="476">
        <f t="shared" si="168"/>
        <v>0.13303769401330379</v>
      </c>
      <c r="AW126" s="475"/>
      <c r="AX126" s="476">
        <f>IF(ISERROR(AX79/AV79-1),"",AX79/AV79-1)</f>
        <v>0.28767123287671215</v>
      </c>
      <c r="AY126" s="476">
        <f t="shared" ref="AY126:BA127" si="169">IF(ISERROR(AY79/AX79-1),"",AY79/AX79-1)</f>
        <v>0.22948328267477214</v>
      </c>
      <c r="AZ126" s="476">
        <f t="shared" si="169"/>
        <v>-0.29542645241038323</v>
      </c>
      <c r="BA126" s="476">
        <f t="shared" si="169"/>
        <v>-5.9649122807017507E-2</v>
      </c>
      <c r="BB126" s="475"/>
      <c r="BC126" s="476">
        <f>IF(ISERROR(BC79/BA79-1),"",BC79/BA79-1)</f>
        <v>0.26679104477611948</v>
      </c>
      <c r="BD126" s="476">
        <f t="shared" ref="BD126:BF127" si="170">IF(ISERROR(BD79/BC79-1),"",BD79/BC79-1)</f>
        <v>4.8600883652430094E-2</v>
      </c>
      <c r="BE126" s="476">
        <f t="shared" si="170"/>
        <v>-3.51123595505618E-2</v>
      </c>
      <c r="BF126" s="476">
        <f t="shared" si="170"/>
        <v>-2.9112081513829047E-3</v>
      </c>
      <c r="BG126" s="475"/>
      <c r="BH126" s="476">
        <f>IF(ISERROR(BH79/BF79-1),"",BH79/BF79-1)</f>
        <v>0.10802919708029202</v>
      </c>
      <c r="BI126" s="476">
        <f t="shared" ref="BI126:BK127" si="171">IF(ISERROR(BI79/BH79-1),"",BI79/BH79-1)</f>
        <v>5.1383399209486091E-2</v>
      </c>
      <c r="BJ126" s="476">
        <f t="shared" si="171"/>
        <v>-6.7669172932330768E-2</v>
      </c>
      <c r="BK126" s="476">
        <f t="shared" si="171"/>
        <v>5.7795698924731242E-2</v>
      </c>
      <c r="BL126" s="475"/>
      <c r="BM126" s="476">
        <f>IF(ISERROR(BM79/BK79-1),"",BM79/BK79-1)</f>
        <v>0.1334180432020331</v>
      </c>
      <c r="BN126" s="476">
        <f t="shared" ref="BN126:BP127" si="172">IF(ISERROR(BN79/BM79-1),"",BN79/BM79-1)</f>
        <v>2.2421524663677195E-2</v>
      </c>
      <c r="BO126" s="476">
        <f t="shared" si="172"/>
        <v>-0.18750000000000011</v>
      </c>
      <c r="BP126" s="476">
        <f t="shared" si="172"/>
        <v>0.10256410256410264</v>
      </c>
      <c r="BQ126" s="475"/>
      <c r="BR126" s="476">
        <f t="shared" ref="BR126:BU127" si="173">IF(ISERROR(BR79/BQ79-1),"",BR79/BQ79-1)</f>
        <v>-0.72992266508030934</v>
      </c>
      <c r="BS126" s="476">
        <f t="shared" si="173"/>
        <v>0.11894273127753308</v>
      </c>
      <c r="BT126" s="476">
        <f t="shared" si="173"/>
        <v>-0.12598425196850394</v>
      </c>
      <c r="BU126" s="476">
        <f t="shared" si="173"/>
        <v>-1.9144144144144226E-2</v>
      </c>
      <c r="BV126" s="475"/>
      <c r="BW126" s="476">
        <f t="shared" ref="BW126:BZ127" si="174">IF(ISERROR(BW79/BV79-1),"",BW79/BV79-1)</f>
        <v>-0.77762693456421395</v>
      </c>
      <c r="BX126" s="476">
        <f t="shared" si="174"/>
        <v>0.12454212454212432</v>
      </c>
      <c r="BY126" s="476">
        <f t="shared" si="174"/>
        <v>-2.280130293159599E-2</v>
      </c>
      <c r="BZ126" s="476">
        <f t="shared" si="174"/>
        <v>6.0000000000000053E-2</v>
      </c>
      <c r="CA126" s="475"/>
      <c r="CB126" s="476">
        <f>IF(ISERROR(CB79/BZ79-1),"",CB79/BZ79-1)</f>
        <v>-4.6121593291404639E-2</v>
      </c>
      <c r="CC126" s="476">
        <f t="shared" ref="CC126:CE127" si="175">IF(ISERROR(CC79/CB79-1),"",CC79/CB79-1)</f>
        <v>2.3076923076922995E-2</v>
      </c>
      <c r="CD126" s="476">
        <f t="shared" si="175"/>
        <v>-6.4446831364124435E-3</v>
      </c>
      <c r="CE126" s="476">
        <f t="shared" si="175"/>
        <v>5.0810810810810736E-2</v>
      </c>
      <c r="CF126" s="475"/>
      <c r="CG126" s="476">
        <f>IF(ISERROR(CG79/CE79-1),"",CG79/CE79-1)</f>
        <v>0.15740740740740744</v>
      </c>
      <c r="CH126" s="476">
        <f t="shared" ref="CH126:CJ127" si="176">IF(ISERROR(CH79/CG79-1),"",CH79/CG79-1)</f>
        <v>-6.2222222222222401E-3</v>
      </c>
      <c r="CI126" s="476">
        <f t="shared" si="176"/>
        <v>-0.10465116279069775</v>
      </c>
      <c r="CJ126" s="476">
        <f t="shared" si="176"/>
        <v>-0.13186813186813173</v>
      </c>
      <c r="CK126" s="475"/>
      <c r="CL126" s="476">
        <f>IF(ISERROR(CL79/CJ79-1),"",CL79/CJ79-1)</f>
        <v>5.2934407364787051E-2</v>
      </c>
      <c r="CM126" s="476">
        <f t="shared" ref="CM126:CO127" si="177">IF(ISERROR(CM79/CL79-1),"",CM79/CL79-1)</f>
        <v>-0.76682458579234969</v>
      </c>
      <c r="CN126" s="476">
        <f t="shared" si="177"/>
        <v>0.86485407941479675</v>
      </c>
      <c r="CO126" s="476">
        <f t="shared" si="177"/>
        <v>0.35129110115022955</v>
      </c>
      <c r="CP126" s="475"/>
      <c r="CQ126" s="475"/>
      <c r="CR126" s="475"/>
      <c r="CS126" s="475"/>
    </row>
    <row r="127" spans="2:97" hidden="1" outlineLevel="1">
      <c r="B127" s="433" t="s">
        <v>91</v>
      </c>
      <c r="C127" s="475"/>
      <c r="D127" s="475"/>
      <c r="E127" s="475"/>
      <c r="F127" s="475"/>
      <c r="G127" s="475"/>
      <c r="H127" s="475"/>
      <c r="I127" s="475"/>
      <c r="J127" s="476"/>
      <c r="K127" s="476" t="str">
        <f t="shared" si="159"/>
        <v/>
      </c>
      <c r="L127" s="476" t="str">
        <f t="shared" si="159"/>
        <v/>
      </c>
      <c r="M127" s="476" t="str">
        <f t="shared" si="159"/>
        <v/>
      </c>
      <c r="N127" s="475"/>
      <c r="O127" s="476" t="str">
        <f t="shared" si="160"/>
        <v/>
      </c>
      <c r="P127" s="476" t="str">
        <f t="shared" si="161"/>
        <v/>
      </c>
      <c r="Q127" s="476" t="str">
        <f t="shared" si="161"/>
        <v/>
      </c>
      <c r="R127" s="476" t="str">
        <f t="shared" si="161"/>
        <v/>
      </c>
      <c r="S127" s="475"/>
      <c r="T127" s="476" t="str">
        <f t="shared" si="162"/>
        <v/>
      </c>
      <c r="U127" s="476">
        <f t="shared" si="163"/>
        <v>0.48780487804878114</v>
      </c>
      <c r="V127" s="476">
        <f t="shared" si="163"/>
        <v>-0.2295081967213114</v>
      </c>
      <c r="W127" s="476">
        <f t="shared" si="163"/>
        <v>0.36170212765957444</v>
      </c>
      <c r="X127" s="475"/>
      <c r="Y127" s="476">
        <f>IF(ISERROR(Y80/W80-1),"",Y80/W80-1)</f>
        <v>-0.234375</v>
      </c>
      <c r="Z127" s="476">
        <f t="shared" si="164"/>
        <v>4.0816326530612068E-2</v>
      </c>
      <c r="AA127" s="476">
        <f t="shared" si="164"/>
        <v>-3.9215686274509665E-2</v>
      </c>
      <c r="AB127" s="476">
        <f t="shared" si="164"/>
        <v>0.30612244897959173</v>
      </c>
      <c r="AC127" s="475"/>
      <c r="AD127" s="476">
        <f>IF(ISERROR(AD80/AB80-1),"",AD80/AB80-1)</f>
        <v>0.25</v>
      </c>
      <c r="AE127" s="476">
        <f t="shared" si="165"/>
        <v>0</v>
      </c>
      <c r="AF127" s="476">
        <f t="shared" si="165"/>
        <v>-0.19999999999999996</v>
      </c>
      <c r="AG127" s="476">
        <f t="shared" si="165"/>
        <v>-0.31249999999999967</v>
      </c>
      <c r="AH127" s="475"/>
      <c r="AI127" s="476">
        <f>IF(ISERROR(AI80/AG80-1),"",AI80/AG80-1)</f>
        <v>0.99999999999999911</v>
      </c>
      <c r="AJ127" s="476">
        <f t="shared" si="166"/>
        <v>0.125</v>
      </c>
      <c r="AK127" s="476">
        <f t="shared" si="166"/>
        <v>-0.21212121212121215</v>
      </c>
      <c r="AL127" s="476">
        <f t="shared" si="166"/>
        <v>0.23076923076923084</v>
      </c>
      <c r="AM127" s="475"/>
      <c r="AN127" s="476">
        <f>IF(ISERROR(AN80/AL80-1),"",AN80/AL80-1)</f>
        <v>0.1875</v>
      </c>
      <c r="AO127" s="476">
        <f t="shared" si="167"/>
        <v>-6.1403508771929904E-2</v>
      </c>
      <c r="AP127" s="476">
        <f t="shared" si="167"/>
        <v>0.11214953271028039</v>
      </c>
      <c r="AQ127" s="476">
        <f t="shared" si="167"/>
        <v>-1.680672268907546E-2</v>
      </c>
      <c r="AR127" s="475"/>
      <c r="AS127" s="476">
        <f>IF(ISERROR(AS80/AQ80-1),"",AS80/AQ80-1)</f>
        <v>6.8376068376068133E-2</v>
      </c>
      <c r="AT127" s="476">
        <f t="shared" si="168"/>
        <v>-4.7999999999999932E-2</v>
      </c>
      <c r="AU127" s="476">
        <f t="shared" si="168"/>
        <v>0.36134453781512588</v>
      </c>
      <c r="AV127" s="476">
        <f t="shared" si="168"/>
        <v>-0.32098765432098764</v>
      </c>
      <c r="AW127" s="475"/>
      <c r="AX127" s="476">
        <f>IF(ISERROR(AX80/AV80-1),"",AX80/AV80-1)</f>
        <v>7.2727272727272751E-2</v>
      </c>
      <c r="AY127" s="476">
        <f t="shared" si="169"/>
        <v>-8.4745762711865291E-3</v>
      </c>
      <c r="AZ127" s="476">
        <f t="shared" si="169"/>
        <v>0.27350427350427364</v>
      </c>
      <c r="BA127" s="476">
        <f t="shared" si="169"/>
        <v>-0.18120805369127524</v>
      </c>
      <c r="BB127" s="475"/>
      <c r="BC127" s="476">
        <f>IF(ISERROR(BC80/BA80-1),"",BC80/BA80-1)</f>
        <v>9.8360655737705027E-2</v>
      </c>
      <c r="BD127" s="476">
        <f t="shared" si="170"/>
        <v>0.12686567164179108</v>
      </c>
      <c r="BE127" s="476">
        <f t="shared" si="170"/>
        <v>-1.3245033112582738E-2</v>
      </c>
      <c r="BF127" s="476">
        <f t="shared" si="170"/>
        <v>4.0268456375838868E-2</v>
      </c>
      <c r="BG127" s="475"/>
      <c r="BH127" s="476">
        <f>IF(ISERROR(BH80/BF80-1),"",BH80/BF80-1)</f>
        <v>5.8064516129032073E-2</v>
      </c>
      <c r="BI127" s="476">
        <f t="shared" si="171"/>
        <v>7.317073170731736E-2</v>
      </c>
      <c r="BJ127" s="476">
        <f t="shared" si="171"/>
        <v>-5.1136363636363757E-2</v>
      </c>
      <c r="BK127" s="476">
        <f t="shared" si="171"/>
        <v>-2.39520958083832E-2</v>
      </c>
      <c r="BL127" s="475"/>
      <c r="BM127" s="476">
        <f>IF(ISERROR(BM80/BK80-1),"",BM80/BK80-1)</f>
        <v>-9.8159509202454087E-2</v>
      </c>
      <c r="BN127" s="476">
        <f t="shared" si="172"/>
        <v>-2.0408163265306034E-2</v>
      </c>
      <c r="BO127" s="476">
        <f t="shared" si="172"/>
        <v>-1.3888888888888951E-2</v>
      </c>
      <c r="BP127" s="476">
        <f t="shared" si="172"/>
        <v>-0.11971830985915488</v>
      </c>
      <c r="BQ127" s="475"/>
      <c r="BR127" s="476">
        <f t="shared" si="173"/>
        <v>-0.77956989247311825</v>
      </c>
      <c r="BS127" s="476">
        <f t="shared" si="173"/>
        <v>-4.8780487804878203E-2</v>
      </c>
      <c r="BT127" s="476">
        <f t="shared" si="173"/>
        <v>0.10256410256410264</v>
      </c>
      <c r="BU127" s="476">
        <f t="shared" si="173"/>
        <v>2.3255813953488191E-2</v>
      </c>
      <c r="BV127" s="475"/>
      <c r="BW127" s="476">
        <f t="shared" si="174"/>
        <v>-0.74051896207584833</v>
      </c>
      <c r="BX127" s="476">
        <f t="shared" si="174"/>
        <v>-6.9230769230769207E-2</v>
      </c>
      <c r="BY127" s="476">
        <f t="shared" si="174"/>
        <v>0</v>
      </c>
      <c r="BZ127" s="476">
        <f t="shared" si="174"/>
        <v>-4.9586776859504078E-2</v>
      </c>
      <c r="CA127" s="475"/>
      <c r="CB127" s="476">
        <f>IF(ISERROR(CB80/BZ80-1),"",CB80/BZ80-1)</f>
        <v>-0.13913043478260867</v>
      </c>
      <c r="CC127" s="476">
        <f t="shared" si="175"/>
        <v>0.60606060606060597</v>
      </c>
      <c r="CD127" s="476">
        <f t="shared" si="175"/>
        <v>-2.515723270440251E-2</v>
      </c>
      <c r="CE127" s="476">
        <f t="shared" si="175"/>
        <v>-0.39999999999999991</v>
      </c>
      <c r="CF127" s="475"/>
      <c r="CG127" s="476">
        <f>IF(ISERROR(CG80/CE80-1),"",CG80/CE80-1)</f>
        <v>0.59139784946236551</v>
      </c>
      <c r="CH127" s="476">
        <f t="shared" si="176"/>
        <v>0.10135135135135132</v>
      </c>
      <c r="CI127" s="476">
        <f t="shared" si="176"/>
        <v>0.24539877300613488</v>
      </c>
      <c r="CJ127" s="476">
        <f t="shared" si="176"/>
        <v>1.4778325123152802E-2</v>
      </c>
      <c r="CK127" s="475"/>
      <c r="CL127" s="476">
        <f>IF(ISERROR(CL80/CJ80-1),"",CL80/CJ80-1)</f>
        <v>-0.68446601941747576</v>
      </c>
      <c r="CM127" s="476">
        <f t="shared" si="177"/>
        <v>-0.6654054153846154</v>
      </c>
      <c r="CN127" s="476">
        <f t="shared" si="177"/>
        <v>0.77732041090554183</v>
      </c>
      <c r="CO127" s="476">
        <f t="shared" si="177"/>
        <v>0.643394026167738</v>
      </c>
      <c r="CP127" s="475"/>
      <c r="CQ127" s="475"/>
      <c r="CR127" s="475"/>
      <c r="CS127" s="475"/>
    </row>
    <row r="128" spans="2:97" hidden="1" outlineLevel="1">
      <c r="B128" s="503" t="s">
        <v>102</v>
      </c>
      <c r="C128" s="504"/>
      <c r="D128" s="504"/>
      <c r="E128" s="504"/>
      <c r="F128" s="504"/>
      <c r="G128" s="504"/>
      <c r="H128" s="504"/>
      <c r="I128" s="504"/>
      <c r="J128" s="505"/>
      <c r="K128" s="505">
        <f t="shared" si="159"/>
        <v>0.20353982300884943</v>
      </c>
      <c r="L128" s="505">
        <f t="shared" si="159"/>
        <v>-0.29779411764705876</v>
      </c>
      <c r="M128" s="505">
        <f t="shared" si="159"/>
        <v>5.7591623036648443E-2</v>
      </c>
      <c r="N128" s="504"/>
      <c r="O128" s="505">
        <f t="shared" si="160"/>
        <v>0.39108910891089188</v>
      </c>
      <c r="P128" s="505">
        <f t="shared" si="161"/>
        <v>0.11743772241992878</v>
      </c>
      <c r="Q128" s="505">
        <f t="shared" si="161"/>
        <v>-0.24840764331210186</v>
      </c>
      <c r="R128" s="505">
        <f t="shared" si="161"/>
        <v>-0.11440677966101676</v>
      </c>
      <c r="S128" s="504"/>
      <c r="T128" s="505">
        <f t="shared" si="162"/>
        <v>0.43062200956937757</v>
      </c>
      <c r="U128" s="505">
        <f t="shared" si="163"/>
        <v>9.0301003344481767E-2</v>
      </c>
      <c r="V128" s="505">
        <f t="shared" si="163"/>
        <v>-0.23312883435582821</v>
      </c>
      <c r="W128" s="505">
        <f t="shared" si="163"/>
        <v>-0.29600000000000026</v>
      </c>
      <c r="X128" s="504"/>
      <c r="Y128" s="505"/>
      <c r="Z128" s="505"/>
      <c r="AA128" s="505"/>
      <c r="AB128" s="505"/>
      <c r="AC128" s="504"/>
      <c r="AD128" s="505"/>
      <c r="AE128" s="505"/>
      <c r="AF128" s="505"/>
      <c r="AG128" s="505"/>
      <c r="AH128" s="504"/>
      <c r="AI128" s="505"/>
      <c r="AJ128" s="505"/>
      <c r="AK128" s="505"/>
      <c r="AL128" s="505"/>
      <c r="AM128" s="504"/>
      <c r="AN128" s="505"/>
      <c r="AO128" s="505"/>
      <c r="AP128" s="505"/>
      <c r="AQ128" s="505"/>
      <c r="AR128" s="504"/>
      <c r="AS128" s="505"/>
      <c r="AT128" s="505"/>
      <c r="AU128" s="505"/>
      <c r="AV128" s="505"/>
      <c r="AW128" s="504"/>
      <c r="AX128" s="505"/>
      <c r="AY128" s="505"/>
      <c r="AZ128" s="505"/>
      <c r="BA128" s="505"/>
      <c r="BB128" s="504"/>
      <c r="BC128" s="505"/>
      <c r="BD128" s="505"/>
      <c r="BE128" s="505"/>
      <c r="BF128" s="505"/>
      <c r="BG128" s="504"/>
      <c r="BH128" s="505"/>
      <c r="BI128" s="505"/>
      <c r="BJ128" s="505"/>
      <c r="BK128" s="505"/>
      <c r="BL128" s="504"/>
      <c r="BM128" s="505"/>
      <c r="BN128" s="505"/>
      <c r="BO128" s="505"/>
      <c r="BP128" s="505"/>
      <c r="BQ128" s="504"/>
      <c r="BR128" s="505"/>
      <c r="BS128" s="505"/>
      <c r="BT128" s="505"/>
      <c r="BU128" s="505"/>
      <c r="BV128" s="504"/>
      <c r="BW128" s="505"/>
      <c r="BX128" s="505"/>
      <c r="BY128" s="505"/>
      <c r="BZ128" s="505"/>
      <c r="CA128" s="504"/>
      <c r="CB128" s="505"/>
      <c r="CC128" s="505"/>
      <c r="CD128" s="505"/>
      <c r="CE128" s="505"/>
      <c r="CF128" s="504"/>
      <c r="CG128" s="505"/>
      <c r="CH128" s="505"/>
      <c r="CI128" s="505"/>
      <c r="CJ128" s="505"/>
      <c r="CK128" s="504"/>
      <c r="CL128" s="505"/>
      <c r="CM128" s="505"/>
      <c r="CN128" s="505"/>
      <c r="CO128" s="505"/>
      <c r="CP128" s="504"/>
      <c r="CQ128" s="504"/>
      <c r="CR128" s="504"/>
      <c r="CS128" s="504"/>
    </row>
    <row r="129" spans="2:97" hidden="1" outlineLevel="1">
      <c r="B129" s="433" t="s">
        <v>103</v>
      </c>
      <c r="C129" s="475"/>
      <c r="D129" s="475"/>
      <c r="E129" s="475"/>
      <c r="F129" s="475"/>
      <c r="G129" s="475"/>
      <c r="H129" s="475"/>
      <c r="I129" s="475"/>
      <c r="J129" s="476"/>
      <c r="K129" s="476">
        <f t="shared" si="159"/>
        <v>0.71052631578947367</v>
      </c>
      <c r="L129" s="476">
        <f t="shared" si="159"/>
        <v>-0.23846153846153839</v>
      </c>
      <c r="M129" s="476">
        <f t="shared" si="159"/>
        <v>-7.0707070707070496E-2</v>
      </c>
      <c r="N129" s="475"/>
      <c r="O129" s="476">
        <f t="shared" si="160"/>
        <v>0.31521739130434745</v>
      </c>
      <c r="P129" s="476">
        <f t="shared" si="161"/>
        <v>-4.132231404958675E-2</v>
      </c>
      <c r="Q129" s="476">
        <f t="shared" si="161"/>
        <v>-0.20689655172413801</v>
      </c>
      <c r="R129" s="476">
        <f t="shared" si="161"/>
        <v>9.7826086956521952E-2</v>
      </c>
      <c r="S129" s="475"/>
      <c r="T129" s="476">
        <f t="shared" si="162"/>
        <v>-0.2178217821782179</v>
      </c>
      <c r="U129" s="476">
        <f t="shared" si="163"/>
        <v>-0.11392405063291144</v>
      </c>
      <c r="V129" s="476">
        <f t="shared" si="163"/>
        <v>7.1428571428571397E-2</v>
      </c>
      <c r="W129" s="476">
        <f t="shared" si="163"/>
        <v>-0.5199999999999998</v>
      </c>
      <c r="X129" s="475"/>
      <c r="Y129" s="476"/>
      <c r="Z129" s="476"/>
      <c r="AA129" s="476"/>
      <c r="AB129" s="476"/>
      <c r="AC129" s="475"/>
      <c r="AD129" s="476"/>
      <c r="AE129" s="476"/>
      <c r="AF129" s="476"/>
      <c r="AG129" s="476"/>
      <c r="AH129" s="475"/>
      <c r="AI129" s="476"/>
      <c r="AJ129" s="476"/>
      <c r="AK129" s="476"/>
      <c r="AL129" s="476"/>
      <c r="AM129" s="475"/>
      <c r="AN129" s="476"/>
      <c r="AO129" s="476"/>
      <c r="AP129" s="476"/>
      <c r="AQ129" s="476"/>
      <c r="AR129" s="475"/>
      <c r="AS129" s="476"/>
      <c r="AT129" s="476"/>
      <c r="AU129" s="476"/>
      <c r="AV129" s="476"/>
      <c r="AW129" s="475"/>
      <c r="AX129" s="476"/>
      <c r="AY129" s="476"/>
      <c r="AZ129" s="476"/>
      <c r="BA129" s="476"/>
      <c r="BB129" s="475"/>
      <c r="BC129" s="476"/>
      <c r="BD129" s="476"/>
      <c r="BE129" s="476"/>
      <c r="BF129" s="476"/>
      <c r="BG129" s="475"/>
      <c r="BH129" s="476"/>
      <c r="BI129" s="476"/>
      <c r="BJ129" s="476"/>
      <c r="BK129" s="476"/>
      <c r="BL129" s="475"/>
      <c r="BM129" s="476"/>
      <c r="BN129" s="476"/>
      <c r="BO129" s="476"/>
      <c r="BP129" s="476"/>
      <c r="BQ129" s="475"/>
      <c r="BR129" s="476"/>
      <c r="BS129" s="476"/>
      <c r="BT129" s="476"/>
      <c r="BU129" s="476"/>
      <c r="BV129" s="475"/>
      <c r="BW129" s="476"/>
      <c r="BX129" s="476"/>
      <c r="BY129" s="476"/>
      <c r="BZ129" s="476"/>
      <c r="CA129" s="475"/>
      <c r="CB129" s="476"/>
      <c r="CC129" s="476"/>
      <c r="CD129" s="476"/>
      <c r="CE129" s="476"/>
      <c r="CF129" s="475"/>
      <c r="CG129" s="476"/>
      <c r="CH129" s="476"/>
      <c r="CI129" s="476"/>
      <c r="CJ129" s="476"/>
      <c r="CK129" s="475"/>
      <c r="CL129" s="476"/>
      <c r="CM129" s="476"/>
      <c r="CN129" s="476"/>
      <c r="CO129" s="476"/>
      <c r="CP129" s="475"/>
      <c r="CQ129" s="475"/>
      <c r="CR129" s="475"/>
      <c r="CS129" s="475"/>
    </row>
    <row r="130" spans="2:97" hidden="1" outlineLevel="1">
      <c r="B130" s="498" t="s">
        <v>104</v>
      </c>
      <c r="C130" s="475"/>
      <c r="D130" s="475"/>
      <c r="E130" s="475"/>
      <c r="F130" s="475"/>
      <c r="G130" s="475"/>
      <c r="H130" s="475"/>
      <c r="I130" s="475"/>
      <c r="J130" s="529"/>
      <c r="K130" s="529">
        <f t="shared" si="159"/>
        <v>0.60000000000000009</v>
      </c>
      <c r="L130" s="529">
        <f t="shared" si="159"/>
        <v>0.25</v>
      </c>
      <c r="M130" s="529">
        <f t="shared" si="159"/>
        <v>0.5</v>
      </c>
      <c r="N130" s="475"/>
      <c r="O130" s="529">
        <f t="shared" si="160"/>
        <v>-0.26666666666666661</v>
      </c>
      <c r="P130" s="529">
        <f t="shared" si="161"/>
        <v>1</v>
      </c>
      <c r="Q130" s="529">
        <f t="shared" si="161"/>
        <v>-0.27272727272727271</v>
      </c>
      <c r="R130" s="529">
        <f t="shared" si="161"/>
        <v>0.93749999999999978</v>
      </c>
      <c r="S130" s="475"/>
      <c r="T130" s="529">
        <f t="shared" si="162"/>
        <v>-0.16129032258064502</v>
      </c>
      <c r="U130" s="529">
        <f t="shared" si="163"/>
        <v>0.38461538461538458</v>
      </c>
      <c r="V130" s="529">
        <f t="shared" si="163"/>
        <v>0</v>
      </c>
      <c r="W130" s="529">
        <f t="shared" si="163"/>
        <v>-1.1102230246251565E-16</v>
      </c>
      <c r="X130" s="475"/>
      <c r="Y130" s="529"/>
      <c r="Z130" s="529"/>
      <c r="AA130" s="529"/>
      <c r="AB130" s="529"/>
      <c r="AC130" s="475"/>
      <c r="AD130" s="529"/>
      <c r="AE130" s="529"/>
      <c r="AF130" s="529"/>
      <c r="AG130" s="529"/>
      <c r="AH130" s="475"/>
      <c r="AI130" s="529"/>
      <c r="AJ130" s="529"/>
      <c r="AK130" s="529"/>
      <c r="AL130" s="529"/>
      <c r="AM130" s="475"/>
      <c r="AN130" s="529"/>
      <c r="AO130" s="529"/>
      <c r="AP130" s="529"/>
      <c r="AQ130" s="529"/>
      <c r="AR130" s="475"/>
      <c r="AS130" s="529"/>
      <c r="AT130" s="529"/>
      <c r="AU130" s="529"/>
      <c r="AV130" s="529"/>
      <c r="AW130" s="475"/>
      <c r="AX130" s="529"/>
      <c r="AY130" s="529"/>
      <c r="AZ130" s="529"/>
      <c r="BA130" s="529"/>
      <c r="BB130" s="475"/>
      <c r="BC130" s="529"/>
      <c r="BD130" s="529"/>
      <c r="BE130" s="529"/>
      <c r="BF130" s="529"/>
      <c r="BG130" s="475"/>
      <c r="BH130" s="529"/>
      <c r="BI130" s="529"/>
      <c r="BJ130" s="529"/>
      <c r="BK130" s="529"/>
      <c r="BL130" s="475"/>
      <c r="BM130" s="529"/>
      <c r="BN130" s="529"/>
      <c r="BO130" s="529"/>
      <c r="BP130" s="529"/>
      <c r="BQ130" s="475"/>
      <c r="BR130" s="529"/>
      <c r="BS130" s="529"/>
      <c r="BT130" s="529"/>
      <c r="BU130" s="529"/>
      <c r="BV130" s="475"/>
      <c r="BW130" s="529"/>
      <c r="BX130" s="529"/>
      <c r="BY130" s="529"/>
      <c r="BZ130" s="529"/>
      <c r="CA130" s="475"/>
      <c r="CB130" s="529"/>
      <c r="CC130" s="529"/>
      <c r="CD130" s="529"/>
      <c r="CE130" s="529"/>
      <c r="CF130" s="475"/>
      <c r="CG130" s="529"/>
      <c r="CH130" s="529"/>
      <c r="CI130" s="529"/>
      <c r="CJ130" s="529"/>
      <c r="CK130" s="475"/>
      <c r="CL130" s="529"/>
      <c r="CM130" s="529"/>
      <c r="CN130" s="529"/>
      <c r="CO130" s="529"/>
      <c r="CP130" s="475"/>
      <c r="CQ130" s="475"/>
      <c r="CR130" s="475"/>
      <c r="CS130" s="475"/>
    </row>
    <row r="131" spans="2:97" hidden="1" outlineLevel="1">
      <c r="B131" s="467" t="s">
        <v>272</v>
      </c>
      <c r="C131" s="491"/>
      <c r="D131" s="491"/>
      <c r="E131" s="491"/>
      <c r="F131" s="491"/>
      <c r="G131" s="491"/>
      <c r="H131" s="491"/>
      <c r="I131" s="491"/>
      <c r="J131" s="492"/>
      <c r="K131" s="492">
        <f t="shared" si="159"/>
        <v>0.33550488599348527</v>
      </c>
      <c r="L131" s="492">
        <f t="shared" si="159"/>
        <v>-0.26829268292682928</v>
      </c>
      <c r="M131" s="492">
        <f t="shared" si="159"/>
        <v>2.9999999999999805E-2</v>
      </c>
      <c r="N131" s="491"/>
      <c r="O131" s="492">
        <f t="shared" si="160"/>
        <v>0.33656957928802633</v>
      </c>
      <c r="P131" s="492">
        <f t="shared" si="161"/>
        <v>9.4430992736077357E-2</v>
      </c>
      <c r="Q131" s="492">
        <f t="shared" si="161"/>
        <v>-0.23893805309734517</v>
      </c>
      <c r="R131" s="492">
        <f t="shared" si="161"/>
        <v>-8.720930232557822E-3</v>
      </c>
      <c r="S131" s="491"/>
      <c r="T131" s="492">
        <f t="shared" si="162"/>
        <v>0.18475073313782953</v>
      </c>
      <c r="U131" s="492">
        <f t="shared" si="163"/>
        <v>6.9306930693069368E-2</v>
      </c>
      <c r="V131" s="492">
        <f t="shared" si="163"/>
        <v>-0.16435185185185186</v>
      </c>
      <c r="W131" s="492">
        <f t="shared" si="163"/>
        <v>-0.31301939058171757</v>
      </c>
      <c r="X131" s="491"/>
      <c r="Y131" s="492">
        <f>IF(ISERROR(Y84/W84-1),"",Y84/W84-1)</f>
        <v>0.68548387096774199</v>
      </c>
      <c r="Z131" s="492">
        <f t="shared" ref="Z131:AB133" si="178">IF(ISERROR(Z84/Y84-1),"",Z84/Y84-1)</f>
        <v>3.5885167464114964E-2</v>
      </c>
      <c r="AA131" s="492">
        <f t="shared" si="178"/>
        <v>-0.10392609699769073</v>
      </c>
      <c r="AB131" s="492">
        <f t="shared" si="178"/>
        <v>3.608247422680444E-2</v>
      </c>
      <c r="AC131" s="491"/>
      <c r="AD131" s="492">
        <f>IF(ISERROR(AD84/AB84-1),"",AD84/AB84-1)</f>
        <v>0.30348258706467623</v>
      </c>
      <c r="AE131" s="492">
        <f t="shared" ref="AE131:AG133" si="179">IF(ISERROR(AE84/AD84-1),"",AE84/AD84-1)</f>
        <v>-8.9694656488549573E-2</v>
      </c>
      <c r="AF131" s="492">
        <f t="shared" si="179"/>
        <v>-4.6121593291404639E-2</v>
      </c>
      <c r="AG131" s="492">
        <f t="shared" si="179"/>
        <v>-0.12087912087912023</v>
      </c>
      <c r="AH131" s="491"/>
      <c r="AI131" s="492">
        <f>IF(ISERROR(AI84/AG84-1),"",AI84/AG84-1)</f>
        <v>0.34499999999999886</v>
      </c>
      <c r="AJ131" s="492">
        <f t="shared" ref="AJ131:AL133" si="180">IF(ISERROR(AJ84/AI84-1),"",AJ84/AI84-1)</f>
        <v>-0.25278810408921926</v>
      </c>
      <c r="AK131" s="492">
        <f t="shared" si="180"/>
        <v>-0.28855721393034828</v>
      </c>
      <c r="AL131" s="492">
        <f t="shared" si="180"/>
        <v>-0.12937062937062949</v>
      </c>
      <c r="AM131" s="491"/>
      <c r="AN131" s="492">
        <f>IF(ISERROR(AN84/AL84-1),"",AN84/AL84-1)</f>
        <v>0.68674698795180733</v>
      </c>
      <c r="AO131" s="492">
        <f t="shared" ref="AO131:AQ133" si="181">IF(ISERROR(AO84/AN84-1),"",AO84/AN84-1)</f>
        <v>0.27380952380952372</v>
      </c>
      <c r="AP131" s="492">
        <f t="shared" si="181"/>
        <v>-0.1364485981308412</v>
      </c>
      <c r="AQ131" s="492">
        <f t="shared" si="181"/>
        <v>-5.6277056277056259E-2</v>
      </c>
      <c r="AR131" s="491"/>
      <c r="AS131" s="492">
        <f>IF(ISERROR(AS84/AQ84-1),"",AS84/AQ84-1)</f>
        <v>0.42889908256880749</v>
      </c>
      <c r="AT131" s="492">
        <f t="shared" ref="AT131:AV133" si="182">IF(ISERROR(AT84/AS84-1),"",AT84/AS84-1)</f>
        <v>-3.04975922953451E-2</v>
      </c>
      <c r="AU131" s="492">
        <f t="shared" si="182"/>
        <v>1.490066225165565E-2</v>
      </c>
      <c r="AV131" s="492">
        <f t="shared" si="182"/>
        <v>1.3050570962479746E-2</v>
      </c>
      <c r="AW131" s="491"/>
      <c r="AX131" s="492">
        <f>IF(ISERROR(AX84/AV84-1),"",AX84/AV84-1)</f>
        <v>0.24959742351046676</v>
      </c>
      <c r="AY131" s="492">
        <f t="shared" ref="AY131:BA133" si="183">IF(ISERROR(AY84/AX84-1),"",AY84/AX84-1)</f>
        <v>0.19329896907216515</v>
      </c>
      <c r="AZ131" s="492">
        <f t="shared" si="183"/>
        <v>-0.22354211663066959</v>
      </c>
      <c r="BA131" s="492">
        <f t="shared" si="183"/>
        <v>-8.4840055632823486E-2</v>
      </c>
      <c r="BB131" s="491"/>
      <c r="BC131" s="492">
        <f>IF(ISERROR(BC84/BA84-1),"",BC84/BA84-1)</f>
        <v>0.23556231003039541</v>
      </c>
      <c r="BD131" s="492">
        <f t="shared" ref="BD131:BF133" si="184">IF(ISERROR(BD84/BC84-1),"",BD84/BC84-1)</f>
        <v>6.1500615006149895E-2</v>
      </c>
      <c r="BE131" s="492">
        <f t="shared" si="184"/>
        <v>-3.1286210892236266E-2</v>
      </c>
      <c r="BF131" s="492">
        <f t="shared" si="184"/>
        <v>4.7846889952152249E-3</v>
      </c>
      <c r="BG131" s="491"/>
      <c r="BH131" s="492">
        <f>IF(ISERROR(BH84/BF84-1),"",BH84/BF84-1)</f>
        <v>9.8809523809523903E-2</v>
      </c>
      <c r="BI131" s="492">
        <f t="shared" ref="BI131:BK133" si="185">IF(ISERROR(BI84/BH84-1),"",BI84/BH84-1)</f>
        <v>5.5254604550379227E-2</v>
      </c>
      <c r="BJ131" s="492">
        <f t="shared" si="185"/>
        <v>-6.468172484599588E-2</v>
      </c>
      <c r="BK131" s="492">
        <f t="shared" si="185"/>
        <v>4.28100987925355E-2</v>
      </c>
      <c r="BL131" s="491"/>
      <c r="BM131" s="492">
        <f>IF(ISERROR(BM84/BK84-1),"",BM84/BK84-1)</f>
        <v>9.3684210526315814E-2</v>
      </c>
      <c r="BN131" s="492">
        <f t="shared" ref="BN131:BP133" si="186">IF(ISERROR(BN84/BM84-1),"",BN84/BM84-1)</f>
        <v>1.6361886429258954E-2</v>
      </c>
      <c r="BO131" s="492">
        <f t="shared" si="186"/>
        <v>-0.16382575757575768</v>
      </c>
      <c r="BP131" s="492">
        <f t="shared" si="186"/>
        <v>6.6817667044167584E-2</v>
      </c>
      <c r="BQ131" s="491"/>
      <c r="BR131" s="492">
        <f t="shared" ref="BR131:BU133" si="187">IF(ISERROR(BR84/BQ84-1),"",BR84/BQ84-1)</f>
        <v>-0.73698979591836733</v>
      </c>
      <c r="BS131" s="492">
        <f t="shared" si="187"/>
        <v>9.8933074684772082E-2</v>
      </c>
      <c r="BT131" s="492">
        <f t="shared" si="187"/>
        <v>-0.10238305383936452</v>
      </c>
      <c r="BU131" s="492">
        <f t="shared" si="187"/>
        <v>-1.3765978367748288E-2</v>
      </c>
      <c r="BV131" s="491"/>
      <c r="BW131" s="492">
        <f t="shared" ref="BW131:BZ133" si="188">IF(ISERROR(BW84/BV84-1),"",BW84/BV84-1)</f>
        <v>-0.77318355640535374</v>
      </c>
      <c r="BX131" s="492">
        <f t="shared" si="188"/>
        <v>9.7997892518440377E-2</v>
      </c>
      <c r="BY131" s="492">
        <f t="shared" si="188"/>
        <v>-2.0153550863723502E-2</v>
      </c>
      <c r="BZ131" s="492">
        <f t="shared" si="188"/>
        <v>4.7012732615083319E-2</v>
      </c>
      <c r="CA131" s="491"/>
      <c r="CB131" s="492">
        <f>IF(ISERROR(CB84/BZ84-1),"",CB84/BZ84-1)</f>
        <v>-5.6127221702525709E-2</v>
      </c>
      <c r="CC131" s="492">
        <f t="shared" ref="CC131:CE133" si="189">IF(ISERROR(CC84/CB84-1),"",CC84/CB84-1)</f>
        <v>8.0277502477700713E-2</v>
      </c>
      <c r="CD131" s="492">
        <f t="shared" si="189"/>
        <v>-9.1743119266054496E-3</v>
      </c>
      <c r="CE131" s="492">
        <f t="shared" si="189"/>
        <v>-1.388888888888884E-2</v>
      </c>
      <c r="CF131" s="491"/>
      <c r="CG131" s="492">
        <f>IF(ISERROR(CG84/CE84-1),"",CG84/CE84-1)</f>
        <v>0.19530516431924871</v>
      </c>
      <c r="CH131" s="492">
        <f t="shared" ref="CH131:CJ133" si="190">IF(ISERROR(CH84/CG84-1),"",CH84/CG84-1)</f>
        <v>6.2843676355066602E-3</v>
      </c>
      <c r="CI131" s="492">
        <f t="shared" si="190"/>
        <v>-6.0109289617486406E-2</v>
      </c>
      <c r="CJ131" s="492">
        <f t="shared" si="190"/>
        <v>-0.1071428571428571</v>
      </c>
      <c r="CK131" s="491"/>
      <c r="CL131" s="492">
        <f>IF(ISERROR(CL84/CJ84-1),"",CL84/CJ84-1)</f>
        <v>-8.8372093023255771E-2</v>
      </c>
      <c r="CM131" s="492">
        <f t="shared" ref="CM131:CO133" si="191">IF(ISERROR(CM84/CL84-1),"",CM84/CL84-1)</f>
        <v>-0.76009780408163263</v>
      </c>
      <c r="CN131" s="492">
        <f t="shared" si="191"/>
        <v>0.85675665140954194</v>
      </c>
      <c r="CO131" s="492">
        <f t="shared" si="191"/>
        <v>0.3771564661456337</v>
      </c>
      <c r="CP131" s="491"/>
      <c r="CQ131" s="491"/>
      <c r="CR131" s="491"/>
      <c r="CS131" s="491"/>
    </row>
    <row r="132" spans="2:97" hidden="1" outlineLevel="1">
      <c r="B132" s="433" t="s">
        <v>92</v>
      </c>
      <c r="C132" s="475"/>
      <c r="D132" s="475"/>
      <c r="E132" s="475"/>
      <c r="F132" s="475"/>
      <c r="G132" s="475"/>
      <c r="H132" s="475"/>
      <c r="I132" s="475"/>
      <c r="J132" s="476"/>
      <c r="K132" s="476">
        <f t="shared" si="159"/>
        <v>1.157142857142857</v>
      </c>
      <c r="L132" s="476">
        <f t="shared" si="159"/>
        <v>-0.24503311258278138</v>
      </c>
      <c r="M132" s="476">
        <f t="shared" si="159"/>
        <v>-9.6491228070175739E-2</v>
      </c>
      <c r="N132" s="475"/>
      <c r="O132" s="476">
        <f t="shared" si="160"/>
        <v>-0.18446601941747542</v>
      </c>
      <c r="P132" s="476">
        <f t="shared" si="161"/>
        <v>-1.1904761904761862E-2</v>
      </c>
      <c r="Q132" s="476">
        <f t="shared" si="161"/>
        <v>2.0963855421686746</v>
      </c>
      <c r="R132" s="476">
        <f t="shared" si="161"/>
        <v>-0.67315175097276292</v>
      </c>
      <c r="S132" s="475"/>
      <c r="T132" s="476">
        <f t="shared" si="162"/>
        <v>0.26190476190476319</v>
      </c>
      <c r="U132" s="476">
        <f t="shared" si="163"/>
        <v>-0.160377358490566</v>
      </c>
      <c r="V132" s="476">
        <f t="shared" si="163"/>
        <v>0.1685393258426966</v>
      </c>
      <c r="W132" s="476">
        <f t="shared" si="163"/>
        <v>-0.21153846153846134</v>
      </c>
      <c r="X132" s="475"/>
      <c r="Y132" s="476">
        <f>IF(ISERROR(Y85/W85-1),"",Y85/W85-1)</f>
        <v>0.45121951219512146</v>
      </c>
      <c r="Z132" s="476">
        <f t="shared" si="178"/>
        <v>-0.21848739495798319</v>
      </c>
      <c r="AA132" s="476">
        <f t="shared" si="178"/>
        <v>-7.526881720430123E-2</v>
      </c>
      <c r="AB132" s="476">
        <f t="shared" si="178"/>
        <v>1.2558139534883703</v>
      </c>
      <c r="AC132" s="475"/>
      <c r="AD132" s="476">
        <f>IF(ISERROR(AD85/AB85-1),"",AD85/AB85-1)</f>
        <v>-0.17525773195876226</v>
      </c>
      <c r="AE132" s="476">
        <f t="shared" si="179"/>
        <v>0.14999999999999991</v>
      </c>
      <c r="AF132" s="476">
        <f t="shared" si="179"/>
        <v>-0.47826086956521741</v>
      </c>
      <c r="AG132" s="476">
        <f t="shared" si="179"/>
        <v>0.1145833333333337</v>
      </c>
      <c r="AH132" s="475"/>
      <c r="AI132" s="476">
        <f>IF(ISERROR(AI85/AG85-1),"",AI85/AG85-1)</f>
        <v>0.29906542056074725</v>
      </c>
      <c r="AJ132" s="476">
        <f t="shared" si="180"/>
        <v>-0.24460431654676262</v>
      </c>
      <c r="AK132" s="476">
        <f t="shared" si="180"/>
        <v>-0.1428571428571429</v>
      </c>
      <c r="AL132" s="476">
        <f t="shared" si="180"/>
        <v>0.15555555555555567</v>
      </c>
      <c r="AM132" s="475"/>
      <c r="AN132" s="476">
        <f>IF(ISERROR(AN85/AL85-1),"",AN85/AL85-1)</f>
        <v>0.74999999999999978</v>
      </c>
      <c r="AO132" s="476">
        <f t="shared" si="181"/>
        <v>-0.2857142857142857</v>
      </c>
      <c r="AP132" s="476">
        <f t="shared" si="181"/>
        <v>-0.10000000000000009</v>
      </c>
      <c r="AQ132" s="476">
        <f t="shared" si="181"/>
        <v>7.6923076923077094E-2</v>
      </c>
      <c r="AR132" s="475"/>
      <c r="AS132" s="476">
        <f>IF(ISERROR(AS85/AQ85-1),"",AS85/AQ85-1)</f>
        <v>0.19841269841269815</v>
      </c>
      <c r="AT132" s="476">
        <f t="shared" si="182"/>
        <v>-0.27152317880794696</v>
      </c>
      <c r="AU132" s="476">
        <f t="shared" si="182"/>
        <v>0.39090909090909087</v>
      </c>
      <c r="AV132" s="476">
        <f t="shared" si="182"/>
        <v>-0.16993464052287588</v>
      </c>
      <c r="AW132" s="475"/>
      <c r="AX132" s="476">
        <f>IF(ISERROR(AX85/AV85-1),"",AX85/AV85-1)</f>
        <v>0.3385826771653544</v>
      </c>
      <c r="AY132" s="476">
        <f t="shared" si="183"/>
        <v>9.9999999999999867E-2</v>
      </c>
      <c r="AZ132" s="476">
        <f t="shared" si="183"/>
        <v>-0.36363636363636365</v>
      </c>
      <c r="BA132" s="476">
        <f t="shared" si="183"/>
        <v>-3.3613445378151252E-2</v>
      </c>
      <c r="BB132" s="475"/>
      <c r="BC132" s="476">
        <f>IF(ISERROR(BC85/BA85-1),"",BC85/BA85-1)</f>
        <v>0.5913043478260871</v>
      </c>
      <c r="BD132" s="476">
        <f t="shared" si="184"/>
        <v>-0.21311475409836067</v>
      </c>
      <c r="BE132" s="476">
        <f t="shared" si="184"/>
        <v>1.388888888888884E-2</v>
      </c>
      <c r="BF132" s="476">
        <f t="shared" si="184"/>
        <v>0.16438356164383561</v>
      </c>
      <c r="BG132" s="475"/>
      <c r="BH132" s="476">
        <f>IF(ISERROR(BH85/BF85-1),"",BH85/BF85-1)</f>
        <v>4.1176470588235148E-2</v>
      </c>
      <c r="BI132" s="476">
        <f t="shared" si="185"/>
        <v>0.25988700564971756</v>
      </c>
      <c r="BJ132" s="476">
        <f t="shared" si="185"/>
        <v>-0.45739910313901344</v>
      </c>
      <c r="BK132" s="476">
        <f t="shared" si="185"/>
        <v>0.47933884297520657</v>
      </c>
      <c r="BL132" s="475"/>
      <c r="BM132" s="476">
        <f>IF(ISERROR(BM85/BK85-1),"",BM85/BK85-1)</f>
        <v>0.18994413407821242</v>
      </c>
      <c r="BN132" s="476">
        <f t="shared" si="186"/>
        <v>-0.29577464788732399</v>
      </c>
      <c r="BO132" s="476">
        <f t="shared" si="186"/>
        <v>-0.31333333333333324</v>
      </c>
      <c r="BP132" s="476">
        <f t="shared" si="186"/>
        <v>0.26213592233009697</v>
      </c>
      <c r="BQ132" s="475"/>
      <c r="BR132" s="476">
        <f t="shared" si="187"/>
        <v>-0.67785234899328861</v>
      </c>
      <c r="BS132" s="476">
        <f t="shared" si="187"/>
        <v>-0.3125</v>
      </c>
      <c r="BT132" s="476">
        <f t="shared" si="187"/>
        <v>-4.5454545454545414E-2</v>
      </c>
      <c r="BU132" s="476">
        <f t="shared" si="187"/>
        <v>5.555555555555558E-2</v>
      </c>
      <c r="BV132" s="475"/>
      <c r="BW132" s="476">
        <f t="shared" si="188"/>
        <v>-0.72041166380789012</v>
      </c>
      <c r="BX132" s="476">
        <f t="shared" si="188"/>
        <v>-0.11042944785276076</v>
      </c>
      <c r="BY132" s="476">
        <f t="shared" si="188"/>
        <v>-0.10344827586206895</v>
      </c>
      <c r="BZ132" s="476">
        <f t="shared" si="188"/>
        <v>5.3846153846153877E-2</v>
      </c>
      <c r="CA132" s="475"/>
      <c r="CB132" s="476">
        <f>IF(ISERROR(CB85/BZ85-1),"",CB85/BZ85-1)</f>
        <v>0.35036496350364965</v>
      </c>
      <c r="CC132" s="476">
        <f t="shared" si="189"/>
        <v>-0.32432432432432434</v>
      </c>
      <c r="CD132" s="476">
        <f t="shared" si="189"/>
        <v>-7.999999999999996E-2</v>
      </c>
      <c r="CE132" s="476">
        <f t="shared" si="189"/>
        <v>-6.956521739130439E-2</v>
      </c>
      <c r="CF132" s="475"/>
      <c r="CG132" s="476">
        <f>IF(ISERROR(CG85/CE85-1),"",CG85/CE85-1)</f>
        <v>1.2897196261682247</v>
      </c>
      <c r="CH132" s="476">
        <f t="shared" si="190"/>
        <v>-0.46938775510204078</v>
      </c>
      <c r="CI132" s="476">
        <f t="shared" si="190"/>
        <v>-0.19230769230769229</v>
      </c>
      <c r="CJ132" s="476">
        <f t="shared" si="190"/>
        <v>-3.8095238095238182E-2</v>
      </c>
      <c r="CK132" s="475"/>
      <c r="CL132" s="476">
        <f>IF(ISERROR(CL85/CJ85-1),"",CL85/CJ85-1)</f>
        <v>2.1980198019801978</v>
      </c>
      <c r="CM132" s="476">
        <f t="shared" si="191"/>
        <v>-0.72136222910216719</v>
      </c>
      <c r="CN132" s="476">
        <f t="shared" si="191"/>
        <v>0.11111111111111116</v>
      </c>
      <c r="CO132" s="476">
        <f t="shared" si="191"/>
        <v>0</v>
      </c>
      <c r="CP132" s="475"/>
      <c r="CQ132" s="475"/>
      <c r="CR132" s="475"/>
      <c r="CS132" s="475"/>
    </row>
    <row r="133" spans="2:97" hidden="1" outlineLevel="1">
      <c r="B133" s="463" t="s">
        <v>174</v>
      </c>
      <c r="C133" s="478"/>
      <c r="D133" s="478"/>
      <c r="E133" s="478"/>
      <c r="F133" s="478"/>
      <c r="G133" s="478"/>
      <c r="H133" s="478"/>
      <c r="I133" s="478"/>
      <c r="J133" s="479"/>
      <c r="K133" s="479">
        <f t="shared" si="159"/>
        <v>9.2827004219409037E-2</v>
      </c>
      <c r="L133" s="479">
        <f t="shared" si="159"/>
        <v>-0.28185328185328173</v>
      </c>
      <c r="M133" s="479">
        <f t="shared" si="159"/>
        <v>0.10752688172042979</v>
      </c>
      <c r="N133" s="478"/>
      <c r="O133" s="479">
        <f t="shared" si="160"/>
        <v>0.59708737864077732</v>
      </c>
      <c r="P133" s="479">
        <f t="shared" si="161"/>
        <v>0.12158054711246202</v>
      </c>
      <c r="Q133" s="479">
        <f t="shared" si="161"/>
        <v>-0.76422764227642281</v>
      </c>
      <c r="R133" s="479">
        <f t="shared" si="161"/>
        <v>1.9540229885057494</v>
      </c>
      <c r="S133" s="478"/>
      <c r="T133" s="479">
        <f t="shared" si="162"/>
        <v>0.1595330739299603</v>
      </c>
      <c r="U133" s="479">
        <f t="shared" si="163"/>
        <v>0.15100671140939625</v>
      </c>
      <c r="V133" s="479">
        <f t="shared" si="163"/>
        <v>-0.25072886297376096</v>
      </c>
      <c r="W133" s="479">
        <f t="shared" si="163"/>
        <v>-0.35408560311284076</v>
      </c>
      <c r="X133" s="478"/>
      <c r="Y133" s="479">
        <f>IF(ISERROR(Y86/W86-1),"",Y86/W86-1)</f>
        <v>0.80120481927710907</v>
      </c>
      <c r="Z133" s="479">
        <f t="shared" si="178"/>
        <v>0.13712374581939812</v>
      </c>
      <c r="AA133" s="479">
        <f t="shared" si="178"/>
        <v>-0.1117647058823531</v>
      </c>
      <c r="AB133" s="479">
        <f t="shared" si="178"/>
        <v>-0.3112582781456944</v>
      </c>
      <c r="AC133" s="478"/>
      <c r="AD133" s="479">
        <f>IF(ISERROR(AD86/AB86-1),"",AD86/AB86-1)</f>
        <v>0.74999999999999778</v>
      </c>
      <c r="AE133" s="479">
        <f t="shared" si="179"/>
        <v>-0.19505494505494492</v>
      </c>
      <c r="AF133" s="479">
        <f t="shared" si="179"/>
        <v>0.22525597269624553</v>
      </c>
      <c r="AG133" s="479">
        <f t="shared" si="179"/>
        <v>-0.1838440111420605</v>
      </c>
      <c r="AH133" s="478"/>
      <c r="AI133" s="479">
        <f>IF(ISERROR(AI86/AG86-1),"",AI86/AG86-1)</f>
        <v>0.36177474402730248</v>
      </c>
      <c r="AJ133" s="479">
        <f t="shared" si="180"/>
        <v>-0.25563909774436078</v>
      </c>
      <c r="AK133" s="479">
        <f t="shared" si="180"/>
        <v>-0.34006734006734007</v>
      </c>
      <c r="AL133" s="479">
        <f t="shared" si="180"/>
        <v>-0.26020408163265318</v>
      </c>
      <c r="AM133" s="478"/>
      <c r="AN133" s="479">
        <f>IF(ISERROR(AN86/AL86-1),"",AN86/AL86-1)</f>
        <v>0.64137931034482776</v>
      </c>
      <c r="AO133" s="479">
        <f t="shared" si="181"/>
        <v>0.70168067226890751</v>
      </c>
      <c r="AP133" s="479">
        <f t="shared" si="181"/>
        <v>-0.14814814814814814</v>
      </c>
      <c r="AQ133" s="479">
        <f t="shared" si="181"/>
        <v>-0.10144927536231907</v>
      </c>
      <c r="AR133" s="478"/>
      <c r="AS133" s="479">
        <f>IF(ISERROR(AS86/AQ86-1),"",AS86/AQ86-1)</f>
        <v>0.52258064516129044</v>
      </c>
      <c r="AT133" s="479">
        <f t="shared" si="182"/>
        <v>4.6610169491525522E-2</v>
      </c>
      <c r="AU133" s="479">
        <f t="shared" si="182"/>
        <v>-6.8825910931174072E-2</v>
      </c>
      <c r="AV133" s="479">
        <f t="shared" si="182"/>
        <v>7.3913043478260887E-2</v>
      </c>
      <c r="AW133" s="478"/>
      <c r="AX133" s="479">
        <f>IF(ISERROR(AX86/AV86-1),"",AX86/AV86-1)</f>
        <v>0.22672064777327905</v>
      </c>
      <c r="AY133" s="479">
        <f t="shared" si="183"/>
        <v>0.21947194719471974</v>
      </c>
      <c r="AZ133" s="479">
        <f t="shared" si="183"/>
        <v>-0.18809201623815963</v>
      </c>
      <c r="BA133" s="479">
        <f t="shared" si="183"/>
        <v>-9.5000000000000195E-2</v>
      </c>
      <c r="BB133" s="478"/>
      <c r="BC133" s="479">
        <f>IF(ISERROR(BC86/BA86-1),"",BC86/BA86-1)</f>
        <v>0.16022099447513849</v>
      </c>
      <c r="BD133" s="479">
        <f t="shared" si="184"/>
        <v>0.14126984126984077</v>
      </c>
      <c r="BE133" s="479">
        <f t="shared" si="184"/>
        <v>-4.0333796940194455E-2</v>
      </c>
      <c r="BF133" s="479">
        <f t="shared" si="184"/>
        <v>-2.8985507246377051E-2</v>
      </c>
      <c r="BG133" s="478"/>
      <c r="BH133" s="479">
        <f>IF(ISERROR(BH86/BF86-1),"",BH86/BF86-1)</f>
        <v>0.11343283582089558</v>
      </c>
      <c r="BI133" s="479">
        <f t="shared" si="185"/>
        <v>6.7024128686326012E-3</v>
      </c>
      <c r="BJ133" s="479">
        <f t="shared" si="185"/>
        <v>5.1930758988016024E-2</v>
      </c>
      <c r="BK133" s="479">
        <f t="shared" si="185"/>
        <v>-2.4050632911392644E-2</v>
      </c>
      <c r="BL133" s="478"/>
      <c r="BM133" s="479">
        <f>IF(ISERROR(BM86/BK86-1),"",BM86/BK86-1)</f>
        <v>7.1335927367055962E-2</v>
      </c>
      <c r="BN133" s="479">
        <f t="shared" si="186"/>
        <v>9.6852300242130651E-2</v>
      </c>
      <c r="BO133" s="479">
        <f t="shared" si="186"/>
        <v>-0.13907284768211925</v>
      </c>
      <c r="BP133" s="479">
        <f t="shared" si="186"/>
        <v>4.1025641025641102E-2</v>
      </c>
      <c r="BQ133" s="478"/>
      <c r="BR133" s="479">
        <f t="shared" si="187"/>
        <v>-0.74759326113116731</v>
      </c>
      <c r="BS133" s="479">
        <f t="shared" si="187"/>
        <v>0.19308700834326586</v>
      </c>
      <c r="BT133" s="479">
        <f t="shared" si="187"/>
        <v>-0.10989010989010972</v>
      </c>
      <c r="BU133" s="479">
        <f t="shared" si="187"/>
        <v>-2.3569023569023684E-2</v>
      </c>
      <c r="BV133" s="478"/>
      <c r="BW133" s="479">
        <f t="shared" si="188"/>
        <v>-0.78172729797278528</v>
      </c>
      <c r="BX133" s="479">
        <f t="shared" si="188"/>
        <v>0.14122137404580126</v>
      </c>
      <c r="BY133" s="479">
        <f t="shared" si="188"/>
        <v>-6.6889632107022257E-3</v>
      </c>
      <c r="BZ133" s="479">
        <f t="shared" si="188"/>
        <v>4.6015712682379473E-2</v>
      </c>
      <c r="CA133" s="478"/>
      <c r="CB133" s="479">
        <f>IF(ISERROR(CB86/BZ86-1),"",CB86/BZ86-1)</f>
        <v>-0.11587982832618027</v>
      </c>
      <c r="CC133" s="479">
        <f t="shared" si="189"/>
        <v>0.1711165048543688</v>
      </c>
      <c r="CD133" s="479">
        <f t="shared" si="189"/>
        <v>0</v>
      </c>
      <c r="CE133" s="479">
        <f t="shared" si="189"/>
        <v>-7.2538860103626979E-3</v>
      </c>
      <c r="CF133" s="478"/>
      <c r="CG133" s="479">
        <f>IF(ISERROR(CG86/CE86-1),"",CG86/CE86-1)</f>
        <v>7.3068893528183798E-2</v>
      </c>
      <c r="CH133" s="479">
        <f t="shared" si="190"/>
        <v>0.11964980544747084</v>
      </c>
      <c r="CI133" s="479">
        <f t="shared" si="190"/>
        <v>-4.5178105994787221E-2</v>
      </c>
      <c r="CJ133" s="479">
        <f t="shared" si="190"/>
        <v>-0.113739763421292</v>
      </c>
      <c r="CK133" s="478"/>
      <c r="CL133" s="479">
        <f>IF(ISERROR(CL86/CJ86-1),"",CL86/CJ86-1)</f>
        <v>-0.32546201232032856</v>
      </c>
      <c r="CM133" s="479">
        <f t="shared" si="191"/>
        <v>-0.77914132115677315</v>
      </c>
      <c r="CN133" s="479">
        <f t="shared" si="191"/>
        <v>1.3192389284629154</v>
      </c>
      <c r="CO133" s="479">
        <f t="shared" si="191"/>
        <v>0.48922823494064271</v>
      </c>
      <c r="CP133" s="478"/>
      <c r="CQ133" s="478"/>
      <c r="CR133" s="478"/>
      <c r="CS133" s="478"/>
    </row>
    <row r="134" spans="2:97" collapsed="1">
      <c r="C134" s="475"/>
      <c r="D134" s="475"/>
      <c r="E134" s="475"/>
      <c r="F134" s="475"/>
      <c r="G134" s="475"/>
      <c r="H134" s="475"/>
      <c r="I134" s="475"/>
      <c r="J134" s="476"/>
      <c r="K134" s="476"/>
      <c r="L134" s="476"/>
      <c r="M134" s="476"/>
      <c r="N134" s="475"/>
      <c r="O134" s="476"/>
      <c r="P134" s="476"/>
      <c r="Q134" s="476"/>
      <c r="R134" s="476"/>
      <c r="S134" s="475"/>
      <c r="T134" s="476"/>
      <c r="U134" s="476"/>
      <c r="V134" s="476"/>
      <c r="W134" s="476"/>
      <c r="X134" s="475"/>
      <c r="Y134" s="476"/>
      <c r="Z134" s="476"/>
      <c r="AA134" s="476"/>
      <c r="AB134" s="476"/>
      <c r="AC134" s="475"/>
      <c r="AD134" s="476"/>
      <c r="AE134" s="476"/>
      <c r="AF134" s="476"/>
      <c r="AG134" s="476"/>
      <c r="AH134" s="475"/>
      <c r="AI134" s="476"/>
      <c r="AJ134" s="476"/>
      <c r="AK134" s="476"/>
      <c r="AL134" s="476"/>
      <c r="AM134" s="475"/>
      <c r="AN134" s="476"/>
      <c r="AO134" s="476"/>
      <c r="AP134" s="476"/>
      <c r="AQ134" s="476"/>
      <c r="AR134" s="475"/>
      <c r="AS134" s="476"/>
      <c r="AT134" s="476"/>
      <c r="AU134" s="476"/>
      <c r="AV134" s="476"/>
      <c r="AW134" s="475"/>
      <c r="AX134" s="476"/>
      <c r="AY134" s="476"/>
      <c r="AZ134" s="476"/>
      <c r="BA134" s="476"/>
      <c r="BB134" s="475"/>
      <c r="BC134" s="476"/>
      <c r="BD134" s="476"/>
      <c r="BE134" s="476"/>
      <c r="BF134" s="476"/>
      <c r="BG134" s="475"/>
      <c r="BH134" s="476"/>
      <c r="BI134" s="476"/>
      <c r="BJ134" s="476"/>
      <c r="BK134" s="476"/>
      <c r="BL134" s="475"/>
      <c r="BM134" s="476"/>
      <c r="BN134" s="476"/>
      <c r="BO134" s="476"/>
      <c r="BP134" s="476"/>
      <c r="BQ134" s="475"/>
      <c r="BR134" s="476"/>
      <c r="BS134" s="476"/>
      <c r="BT134" s="476"/>
      <c r="BU134" s="476"/>
      <c r="BV134" s="475"/>
      <c r="BW134" s="476"/>
      <c r="BX134" s="476"/>
      <c r="BY134" s="476"/>
      <c r="BZ134" s="476"/>
      <c r="CA134" s="475"/>
      <c r="CB134" s="476"/>
      <c r="CC134" s="476"/>
      <c r="CD134" s="476"/>
      <c r="CE134" s="476"/>
      <c r="CF134" s="475"/>
      <c r="CG134" s="476"/>
      <c r="CH134" s="476"/>
      <c r="CI134" s="476"/>
      <c r="CJ134" s="476"/>
      <c r="CK134" s="475"/>
      <c r="CL134" s="476"/>
      <c r="CM134" s="476"/>
      <c r="CN134" s="476"/>
      <c r="CO134" s="476"/>
      <c r="CP134" s="475"/>
      <c r="CQ134" s="475"/>
      <c r="CR134" s="475"/>
      <c r="CS134" s="475"/>
    </row>
    <row r="135" spans="2:97" hidden="1" outlineLevel="1">
      <c r="B135" s="530" t="s">
        <v>369</v>
      </c>
      <c r="C135" s="531"/>
      <c r="D135" s="531"/>
      <c r="E135" s="531"/>
      <c r="F135" s="531"/>
      <c r="G135" s="531"/>
      <c r="H135" s="531"/>
      <c r="I135" s="531"/>
      <c r="J135" s="532"/>
      <c r="K135" s="532"/>
      <c r="L135" s="532"/>
      <c r="M135" s="532"/>
      <c r="N135" s="531"/>
      <c r="O135" s="532"/>
      <c r="P135" s="532"/>
      <c r="Q135" s="532"/>
      <c r="R135" s="532"/>
      <c r="S135" s="531"/>
      <c r="T135" s="532"/>
      <c r="U135" s="532"/>
      <c r="V135" s="532"/>
      <c r="W135" s="532"/>
      <c r="X135" s="531"/>
      <c r="Y135" s="532"/>
      <c r="Z135" s="532"/>
      <c r="AA135" s="532"/>
      <c r="AB135" s="532"/>
      <c r="AC135" s="531"/>
      <c r="AD135" s="532"/>
      <c r="AE135" s="532"/>
      <c r="AF135" s="532"/>
      <c r="AG135" s="532"/>
      <c r="AH135" s="531"/>
      <c r="AI135" s="532"/>
      <c r="AJ135" s="532"/>
      <c r="AK135" s="532"/>
      <c r="AL135" s="533"/>
      <c r="AM135" s="534"/>
      <c r="AN135" s="533"/>
      <c r="AO135" s="533"/>
      <c r="AP135" s="532"/>
      <c r="AQ135" s="533"/>
      <c r="AR135" s="534"/>
      <c r="AS135" s="533"/>
      <c r="AT135" s="533"/>
      <c r="AU135" s="533"/>
      <c r="AV135" s="533"/>
      <c r="AW135" s="534"/>
      <c r="AX135" s="533"/>
      <c r="AY135" s="533"/>
      <c r="AZ135" s="533"/>
      <c r="BA135" s="533"/>
      <c r="BB135" s="534"/>
      <c r="BC135" s="533"/>
      <c r="BD135" s="533"/>
      <c r="BE135" s="533"/>
      <c r="BF135" s="533"/>
      <c r="BG135" s="534"/>
      <c r="BH135" s="533"/>
      <c r="BI135" s="533"/>
      <c r="BJ135" s="533"/>
      <c r="BK135" s="533"/>
      <c r="BL135" s="534"/>
      <c r="BM135" s="533"/>
      <c r="BN135" s="533"/>
      <c r="BO135" s="533"/>
      <c r="BP135" s="533"/>
      <c r="BQ135" s="534"/>
      <c r="BR135" s="533"/>
      <c r="BS135" s="533"/>
      <c r="BT135" s="533"/>
      <c r="BU135" s="533"/>
      <c r="BV135" s="534"/>
      <c r="BW135" s="533"/>
      <c r="BX135" s="533"/>
      <c r="BY135" s="533"/>
      <c r="BZ135" s="533"/>
      <c r="CA135" s="534"/>
      <c r="CB135" s="533"/>
      <c r="CC135" s="533"/>
      <c r="CD135" s="533"/>
      <c r="CE135" s="533"/>
      <c r="CF135" s="534"/>
      <c r="CG135" s="533"/>
      <c r="CH135" s="533"/>
      <c r="CI135" s="533"/>
      <c r="CJ135" s="533"/>
      <c r="CK135" s="534"/>
      <c r="CL135" s="533"/>
      <c r="CM135" s="533"/>
      <c r="CN135" s="533"/>
      <c r="CO135" s="533"/>
      <c r="CP135" s="534"/>
      <c r="CQ135" s="534"/>
      <c r="CR135" s="534"/>
      <c r="CS135" s="534"/>
    </row>
    <row r="136" spans="2:97" hidden="1" outlineLevel="1">
      <c r="B136" s="532" t="s">
        <v>90</v>
      </c>
      <c r="C136" s="531"/>
      <c r="D136" s="531"/>
      <c r="E136" s="531"/>
      <c r="F136" s="531"/>
      <c r="G136" s="531"/>
      <c r="H136" s="531"/>
      <c r="I136" s="531"/>
      <c r="J136" s="532"/>
      <c r="K136" s="532"/>
      <c r="L136" s="532"/>
      <c r="M136" s="532"/>
      <c r="N136" s="531"/>
      <c r="O136" s="532"/>
      <c r="P136" s="532"/>
      <c r="Q136" s="532"/>
      <c r="R136" s="532"/>
      <c r="S136" s="531"/>
      <c r="T136" s="532"/>
      <c r="U136" s="532"/>
      <c r="V136" s="532"/>
      <c r="W136" s="532"/>
      <c r="X136" s="531"/>
      <c r="Y136" s="532"/>
      <c r="Z136" s="532"/>
      <c r="AA136" s="532"/>
      <c r="AB136" s="532"/>
      <c r="AC136" s="531"/>
      <c r="AD136" s="532"/>
      <c r="AE136" s="532"/>
      <c r="AF136" s="532"/>
      <c r="AG136" s="532"/>
      <c r="AH136" s="531"/>
      <c r="AI136" s="532"/>
      <c r="AJ136" s="532"/>
      <c r="AK136" s="532"/>
      <c r="AL136" s="532"/>
      <c r="AM136" s="531"/>
      <c r="AN136" s="532"/>
      <c r="AO136" s="532"/>
      <c r="AP136" s="532"/>
      <c r="AQ136" s="532"/>
      <c r="AR136" s="531"/>
      <c r="AS136" s="532"/>
      <c r="AT136" s="535"/>
      <c r="AU136" s="535"/>
      <c r="AV136" s="535"/>
      <c r="AW136" s="531"/>
      <c r="AX136" s="535"/>
      <c r="AY136" s="535">
        <v>-9.5</v>
      </c>
      <c r="AZ136" s="535"/>
      <c r="BA136" s="532"/>
      <c r="BB136" s="531">
        <f>SUM(AX136:BA136)</f>
        <v>-9.5</v>
      </c>
      <c r="BC136" s="532"/>
      <c r="BD136" s="532"/>
      <c r="BE136" s="532"/>
      <c r="BF136" s="536"/>
      <c r="BG136" s="531"/>
      <c r="BH136" s="536"/>
      <c r="BI136" s="536"/>
      <c r="BJ136" s="536"/>
      <c r="BK136" s="536"/>
      <c r="BL136" s="537"/>
      <c r="BM136" s="536"/>
      <c r="BN136" s="536"/>
      <c r="BO136" s="536"/>
      <c r="BP136" s="536"/>
      <c r="BQ136" s="537"/>
      <c r="BR136" s="536"/>
      <c r="BS136" s="536"/>
      <c r="BT136" s="536"/>
      <c r="BU136" s="536"/>
      <c r="BV136" s="537"/>
      <c r="BW136" s="536"/>
      <c r="BX136" s="536"/>
      <c r="BY136" s="536"/>
      <c r="BZ136" s="536"/>
      <c r="CA136" s="537"/>
      <c r="CB136" s="536"/>
      <c r="CC136" s="536"/>
      <c r="CD136" s="536"/>
      <c r="CE136" s="536"/>
      <c r="CF136" s="531">
        <f>SUM(CB136:CE136)</f>
        <v>0</v>
      </c>
      <c r="CG136" s="536"/>
      <c r="CH136" s="536"/>
      <c r="CI136" s="536"/>
      <c r="CJ136" s="536"/>
      <c r="CK136" s="531">
        <f>SUM(CG136:CJ136)</f>
        <v>0</v>
      </c>
      <c r="CL136" s="536"/>
      <c r="CM136" s="536"/>
      <c r="CN136" s="536"/>
      <c r="CO136" s="536"/>
      <c r="CP136" s="531">
        <f>SUM(CL136:CO136)</f>
        <v>0</v>
      </c>
      <c r="CQ136" s="537"/>
      <c r="CR136" s="537"/>
      <c r="CS136" s="537"/>
    </row>
    <row r="137" spans="2:97" hidden="1" outlineLevel="1">
      <c r="B137" s="538" t="s">
        <v>91</v>
      </c>
      <c r="C137" s="539"/>
      <c r="D137" s="539"/>
      <c r="E137" s="539"/>
      <c r="F137" s="539"/>
      <c r="G137" s="539"/>
      <c r="H137" s="539"/>
      <c r="I137" s="539"/>
      <c r="J137" s="538"/>
      <c r="K137" s="538"/>
      <c r="L137" s="538"/>
      <c r="M137" s="538"/>
      <c r="N137" s="539"/>
      <c r="O137" s="538"/>
      <c r="P137" s="538"/>
      <c r="Q137" s="538"/>
      <c r="R137" s="538"/>
      <c r="S137" s="539"/>
      <c r="T137" s="538"/>
      <c r="U137" s="538"/>
      <c r="V137" s="538"/>
      <c r="W137" s="538"/>
      <c r="X137" s="539"/>
      <c r="Y137" s="538"/>
      <c r="Z137" s="538"/>
      <c r="AA137" s="538"/>
      <c r="AB137" s="538"/>
      <c r="AC137" s="539"/>
      <c r="AD137" s="538"/>
      <c r="AE137" s="538"/>
      <c r="AF137" s="538"/>
      <c r="AG137" s="538"/>
      <c r="AH137" s="539"/>
      <c r="AI137" s="538"/>
      <c r="AJ137" s="538"/>
      <c r="AK137" s="538"/>
      <c r="AL137" s="538"/>
      <c r="AM137" s="539"/>
      <c r="AN137" s="538"/>
      <c r="AO137" s="538"/>
      <c r="AP137" s="538"/>
      <c r="AQ137" s="538"/>
      <c r="AR137" s="539"/>
      <c r="AS137" s="538"/>
      <c r="AT137" s="540"/>
      <c r="AU137" s="540"/>
      <c r="AV137" s="540"/>
      <c r="AW137" s="539"/>
      <c r="AX137" s="540"/>
      <c r="AY137" s="540"/>
      <c r="AZ137" s="540"/>
      <c r="BA137" s="538"/>
      <c r="BB137" s="539"/>
      <c r="BC137" s="538"/>
      <c r="BD137" s="538"/>
      <c r="BE137" s="538"/>
      <c r="BF137" s="541"/>
      <c r="BG137" s="539"/>
      <c r="BH137" s="541"/>
      <c r="BI137" s="541"/>
      <c r="BJ137" s="541"/>
      <c r="BK137" s="541"/>
      <c r="BL137" s="542"/>
      <c r="BM137" s="541"/>
      <c r="BN137" s="541"/>
      <c r="BO137" s="541"/>
      <c r="BP137" s="541"/>
      <c r="BQ137" s="542"/>
      <c r="BR137" s="541"/>
      <c r="BS137" s="541"/>
      <c r="BT137" s="541"/>
      <c r="BU137" s="541"/>
      <c r="BV137" s="542"/>
      <c r="BW137" s="541"/>
      <c r="BX137" s="541"/>
      <c r="BY137" s="541"/>
      <c r="BZ137" s="541"/>
      <c r="CA137" s="542"/>
      <c r="CB137" s="541"/>
      <c r="CC137" s="541"/>
      <c r="CD137" s="541"/>
      <c r="CE137" s="541"/>
      <c r="CF137" s="539">
        <f>SUM(CB137:CE137)</f>
        <v>0</v>
      </c>
      <c r="CG137" s="541"/>
      <c r="CH137" s="541"/>
      <c r="CI137" s="541"/>
      <c r="CJ137" s="541"/>
      <c r="CK137" s="539">
        <f>SUM(CG137:CJ137)</f>
        <v>0</v>
      </c>
      <c r="CL137" s="541"/>
      <c r="CM137" s="541"/>
      <c r="CN137" s="541"/>
      <c r="CO137" s="541"/>
      <c r="CP137" s="539">
        <f>SUM(CL137:CO137)</f>
        <v>0</v>
      </c>
      <c r="CQ137" s="542"/>
      <c r="CR137" s="542"/>
      <c r="CS137" s="542"/>
    </row>
    <row r="138" spans="2:97" hidden="1" outlineLevel="1">
      <c r="B138" s="532" t="s">
        <v>370</v>
      </c>
      <c r="C138" s="531"/>
      <c r="D138" s="531"/>
      <c r="E138" s="531"/>
      <c r="F138" s="531"/>
      <c r="G138" s="531"/>
      <c r="H138" s="531"/>
      <c r="I138" s="531"/>
      <c r="J138" s="532"/>
      <c r="K138" s="532"/>
      <c r="L138" s="532"/>
      <c r="M138" s="532"/>
      <c r="N138" s="531"/>
      <c r="O138" s="532"/>
      <c r="P138" s="532"/>
      <c r="Q138" s="532"/>
      <c r="R138" s="532"/>
      <c r="S138" s="531"/>
      <c r="T138" s="532"/>
      <c r="U138" s="532"/>
      <c r="V138" s="532"/>
      <c r="W138" s="532"/>
      <c r="X138" s="531"/>
      <c r="Y138" s="532"/>
      <c r="Z138" s="532"/>
      <c r="AA138" s="532"/>
      <c r="AB138" s="532"/>
      <c r="AC138" s="531"/>
      <c r="AD138" s="532"/>
      <c r="AE138" s="532"/>
      <c r="AF138" s="532"/>
      <c r="AG138" s="532"/>
      <c r="AH138" s="531"/>
      <c r="AI138" s="532"/>
      <c r="AJ138" s="532"/>
      <c r="AK138" s="532"/>
      <c r="AL138" s="532"/>
      <c r="AM138" s="531"/>
      <c r="AN138" s="532"/>
      <c r="AO138" s="532"/>
      <c r="AP138" s="532"/>
      <c r="AQ138" s="535"/>
      <c r="AR138" s="531"/>
      <c r="AS138" s="535"/>
      <c r="AT138" s="535"/>
      <c r="AU138" s="535"/>
      <c r="AV138" s="535"/>
      <c r="AW138" s="531"/>
      <c r="AX138" s="535"/>
      <c r="AY138" s="535"/>
      <c r="AZ138" s="535"/>
      <c r="BA138" s="532"/>
      <c r="BB138" s="531"/>
      <c r="BC138" s="532"/>
      <c r="BD138" s="532"/>
      <c r="BE138" s="532"/>
      <c r="BF138" s="543"/>
      <c r="BG138" s="531"/>
      <c r="BH138" s="543"/>
      <c r="BI138" s="543"/>
      <c r="BJ138" s="543"/>
      <c r="BK138" s="543"/>
      <c r="BL138" s="531">
        <f>3.9/0.7</f>
        <v>5.5714285714285721</v>
      </c>
      <c r="BM138" s="543"/>
      <c r="BN138" s="543"/>
      <c r="BO138" s="543"/>
      <c r="BP138" s="543"/>
      <c r="BQ138" s="531">
        <v>0</v>
      </c>
      <c r="BR138" s="532">
        <v>0</v>
      </c>
      <c r="BS138" s="532">
        <v>0.3</v>
      </c>
      <c r="BT138" s="532">
        <v>0</v>
      </c>
      <c r="BU138" s="532">
        <v>0</v>
      </c>
      <c r="BV138" s="531">
        <f>SUM(BR138:BU138)</f>
        <v>0.3</v>
      </c>
      <c r="BW138" s="532">
        <v>0</v>
      </c>
      <c r="BX138" s="532">
        <v>0</v>
      </c>
      <c r="BY138" s="532">
        <v>0</v>
      </c>
      <c r="BZ138" s="532">
        <v>0</v>
      </c>
      <c r="CA138" s="531">
        <f>SUM(BW138:BZ138)</f>
        <v>0</v>
      </c>
      <c r="CB138" s="532">
        <v>0</v>
      </c>
      <c r="CC138" s="532">
        <v>0</v>
      </c>
      <c r="CD138" s="532">
        <v>0</v>
      </c>
      <c r="CE138" s="532">
        <v>7.7</v>
      </c>
      <c r="CF138" s="531">
        <f>SUM(CB138:CE138)</f>
        <v>7.7</v>
      </c>
      <c r="CG138" s="532">
        <v>0</v>
      </c>
      <c r="CH138" s="532">
        <v>0</v>
      </c>
      <c r="CI138" s="532">
        <v>0</v>
      </c>
      <c r="CJ138" s="532">
        <v>0</v>
      </c>
      <c r="CK138" s="531">
        <f>SUM(CG138:CJ138)</f>
        <v>0</v>
      </c>
      <c r="CL138" s="532">
        <v>14.7</v>
      </c>
      <c r="CM138" s="543"/>
      <c r="CN138" s="543"/>
      <c r="CO138" s="543"/>
      <c r="CP138" s="531">
        <f>SUM(CL138:CO138)</f>
        <v>14.7</v>
      </c>
      <c r="CQ138" s="544"/>
      <c r="CR138" s="544"/>
      <c r="CS138" s="544"/>
    </row>
    <row r="139" spans="2:97" hidden="1" outlineLevel="1">
      <c r="B139" s="545" t="s">
        <v>371</v>
      </c>
      <c r="C139" s="546"/>
      <c r="D139" s="546"/>
      <c r="E139" s="546"/>
      <c r="F139" s="546"/>
      <c r="G139" s="546"/>
      <c r="H139" s="546"/>
      <c r="I139" s="546"/>
      <c r="J139" s="545"/>
      <c r="K139" s="545"/>
      <c r="L139" s="545"/>
      <c r="M139" s="545"/>
      <c r="N139" s="546"/>
      <c r="O139" s="545"/>
      <c r="P139" s="545"/>
      <c r="Q139" s="545"/>
      <c r="R139" s="545"/>
      <c r="S139" s="546"/>
      <c r="T139" s="545">
        <f t="shared" ref="T139:AY139" si="192">+T136+T137+T138</f>
        <v>0</v>
      </c>
      <c r="U139" s="545">
        <f t="shared" si="192"/>
        <v>0</v>
      </c>
      <c r="V139" s="545">
        <f t="shared" si="192"/>
        <v>0</v>
      </c>
      <c r="W139" s="545">
        <f t="shared" si="192"/>
        <v>0</v>
      </c>
      <c r="X139" s="546">
        <f t="shared" si="192"/>
        <v>0</v>
      </c>
      <c r="Y139" s="545">
        <f t="shared" si="192"/>
        <v>0</v>
      </c>
      <c r="Z139" s="545">
        <f t="shared" si="192"/>
        <v>0</v>
      </c>
      <c r="AA139" s="545">
        <f t="shared" si="192"/>
        <v>0</v>
      </c>
      <c r="AB139" s="545">
        <f t="shared" si="192"/>
        <v>0</v>
      </c>
      <c r="AC139" s="546">
        <f t="shared" si="192"/>
        <v>0</v>
      </c>
      <c r="AD139" s="545">
        <f t="shared" si="192"/>
        <v>0</v>
      </c>
      <c r="AE139" s="545">
        <f t="shared" si="192"/>
        <v>0</v>
      </c>
      <c r="AF139" s="545">
        <f t="shared" si="192"/>
        <v>0</v>
      </c>
      <c r="AG139" s="545">
        <f t="shared" si="192"/>
        <v>0</v>
      </c>
      <c r="AH139" s="546">
        <f t="shared" si="192"/>
        <v>0</v>
      </c>
      <c r="AI139" s="545">
        <f t="shared" si="192"/>
        <v>0</v>
      </c>
      <c r="AJ139" s="545">
        <f t="shared" si="192"/>
        <v>0</v>
      </c>
      <c r="AK139" s="545">
        <f t="shared" si="192"/>
        <v>0</v>
      </c>
      <c r="AL139" s="545">
        <f t="shared" si="192"/>
        <v>0</v>
      </c>
      <c r="AM139" s="546">
        <f t="shared" si="192"/>
        <v>0</v>
      </c>
      <c r="AN139" s="545">
        <f t="shared" si="192"/>
        <v>0</v>
      </c>
      <c r="AO139" s="545">
        <f t="shared" si="192"/>
        <v>0</v>
      </c>
      <c r="AP139" s="545">
        <f t="shared" si="192"/>
        <v>0</v>
      </c>
      <c r="AQ139" s="545">
        <f t="shared" si="192"/>
        <v>0</v>
      </c>
      <c r="AR139" s="546">
        <f t="shared" si="192"/>
        <v>0</v>
      </c>
      <c r="AS139" s="545">
        <f t="shared" si="192"/>
        <v>0</v>
      </c>
      <c r="AT139" s="545">
        <f t="shared" si="192"/>
        <v>0</v>
      </c>
      <c r="AU139" s="545">
        <f t="shared" si="192"/>
        <v>0</v>
      </c>
      <c r="AV139" s="545">
        <f t="shared" si="192"/>
        <v>0</v>
      </c>
      <c r="AW139" s="546">
        <f t="shared" si="192"/>
        <v>0</v>
      </c>
      <c r="AX139" s="545">
        <f t="shared" si="192"/>
        <v>0</v>
      </c>
      <c r="AY139" s="545">
        <f t="shared" si="192"/>
        <v>-9.5</v>
      </c>
      <c r="AZ139" s="545">
        <f t="shared" ref="AZ139:CE139" si="193">+AZ136+AZ137+AZ138</f>
        <v>0</v>
      </c>
      <c r="BA139" s="545">
        <f t="shared" si="193"/>
        <v>0</v>
      </c>
      <c r="BB139" s="546">
        <f t="shared" si="193"/>
        <v>-9.5</v>
      </c>
      <c r="BC139" s="545">
        <f t="shared" si="193"/>
        <v>0</v>
      </c>
      <c r="BD139" s="545">
        <f t="shared" si="193"/>
        <v>0</v>
      </c>
      <c r="BE139" s="545">
        <f t="shared" si="193"/>
        <v>0</v>
      </c>
      <c r="BF139" s="545">
        <f t="shared" si="193"/>
        <v>0</v>
      </c>
      <c r="BG139" s="546">
        <f t="shared" si="193"/>
        <v>0</v>
      </c>
      <c r="BH139" s="545">
        <f t="shared" si="193"/>
        <v>0</v>
      </c>
      <c r="BI139" s="545">
        <f t="shared" si="193"/>
        <v>0</v>
      </c>
      <c r="BJ139" s="545">
        <f t="shared" si="193"/>
        <v>0</v>
      </c>
      <c r="BK139" s="545">
        <f t="shared" si="193"/>
        <v>0</v>
      </c>
      <c r="BL139" s="546">
        <f t="shared" si="193"/>
        <v>5.5714285714285721</v>
      </c>
      <c r="BM139" s="545">
        <f t="shared" si="193"/>
        <v>0</v>
      </c>
      <c r="BN139" s="545">
        <f t="shared" si="193"/>
        <v>0</v>
      </c>
      <c r="BO139" s="545">
        <f t="shared" si="193"/>
        <v>0</v>
      </c>
      <c r="BP139" s="545">
        <f t="shared" si="193"/>
        <v>0</v>
      </c>
      <c r="BQ139" s="546">
        <f t="shared" si="193"/>
        <v>0</v>
      </c>
      <c r="BR139" s="545">
        <f t="shared" si="193"/>
        <v>0</v>
      </c>
      <c r="BS139" s="545">
        <f t="shared" si="193"/>
        <v>0.3</v>
      </c>
      <c r="BT139" s="545">
        <f t="shared" si="193"/>
        <v>0</v>
      </c>
      <c r="BU139" s="545">
        <f t="shared" si="193"/>
        <v>0</v>
      </c>
      <c r="BV139" s="546">
        <f t="shared" si="193"/>
        <v>0.3</v>
      </c>
      <c r="BW139" s="545">
        <f t="shared" si="193"/>
        <v>0</v>
      </c>
      <c r="BX139" s="545">
        <f t="shared" si="193"/>
        <v>0</v>
      </c>
      <c r="BY139" s="545">
        <f t="shared" si="193"/>
        <v>0</v>
      </c>
      <c r="BZ139" s="545">
        <f t="shared" si="193"/>
        <v>0</v>
      </c>
      <c r="CA139" s="546">
        <f t="shared" si="193"/>
        <v>0</v>
      </c>
      <c r="CB139" s="545">
        <f t="shared" si="193"/>
        <v>0</v>
      </c>
      <c r="CC139" s="545">
        <f t="shared" si="193"/>
        <v>0</v>
      </c>
      <c r="CD139" s="545">
        <f t="shared" si="193"/>
        <v>0</v>
      </c>
      <c r="CE139" s="545">
        <f t="shared" si="193"/>
        <v>7.7</v>
      </c>
      <c r="CF139" s="546">
        <f t="shared" ref="CF139:CS139" si="194">+CF136+CF137+CF138</f>
        <v>7.7</v>
      </c>
      <c r="CG139" s="545">
        <f t="shared" si="194"/>
        <v>0</v>
      </c>
      <c r="CH139" s="545">
        <f t="shared" si="194"/>
        <v>0</v>
      </c>
      <c r="CI139" s="545">
        <f t="shared" si="194"/>
        <v>0</v>
      </c>
      <c r="CJ139" s="545">
        <f t="shared" si="194"/>
        <v>0</v>
      </c>
      <c r="CK139" s="546">
        <f t="shared" si="194"/>
        <v>0</v>
      </c>
      <c r="CL139" s="545">
        <f t="shared" si="194"/>
        <v>14.7</v>
      </c>
      <c r="CM139" s="545">
        <f t="shared" si="194"/>
        <v>0</v>
      </c>
      <c r="CN139" s="545">
        <f t="shared" si="194"/>
        <v>0</v>
      </c>
      <c r="CO139" s="545">
        <f t="shared" si="194"/>
        <v>0</v>
      </c>
      <c r="CP139" s="546">
        <f t="shared" si="194"/>
        <v>14.7</v>
      </c>
      <c r="CQ139" s="546">
        <f t="shared" si="194"/>
        <v>0</v>
      </c>
      <c r="CR139" s="546">
        <f t="shared" si="194"/>
        <v>0</v>
      </c>
      <c r="CS139" s="546">
        <f t="shared" si="194"/>
        <v>0</v>
      </c>
    </row>
    <row r="140" spans="2:97" hidden="1" outlineLevel="1">
      <c r="B140" s="532"/>
      <c r="C140" s="547"/>
      <c r="D140" s="547"/>
      <c r="E140" s="547"/>
      <c r="F140" s="547"/>
      <c r="G140" s="547"/>
      <c r="H140" s="547"/>
      <c r="I140" s="547"/>
      <c r="J140" s="548"/>
      <c r="K140" s="548"/>
      <c r="L140" s="548"/>
      <c r="M140" s="548"/>
      <c r="N140" s="547"/>
      <c r="O140" s="548"/>
      <c r="P140" s="548"/>
      <c r="Q140" s="548"/>
      <c r="R140" s="548"/>
      <c r="S140" s="547"/>
      <c r="T140" s="548"/>
      <c r="U140" s="548"/>
      <c r="V140" s="548"/>
      <c r="W140" s="548"/>
      <c r="X140" s="547"/>
      <c r="Y140" s="548"/>
      <c r="Z140" s="548"/>
      <c r="AA140" s="548"/>
      <c r="AB140" s="548"/>
      <c r="AC140" s="547"/>
      <c r="AD140" s="548"/>
      <c r="AE140" s="548"/>
      <c r="AF140" s="548"/>
      <c r="AG140" s="548"/>
      <c r="AH140" s="547"/>
      <c r="AI140" s="548"/>
      <c r="AJ140" s="548"/>
      <c r="AK140" s="548"/>
      <c r="AL140" s="548"/>
      <c r="AM140" s="547"/>
      <c r="AN140" s="548"/>
      <c r="AO140" s="548"/>
      <c r="AP140" s="548"/>
      <c r="AQ140" s="548"/>
      <c r="AR140" s="547"/>
      <c r="AS140" s="548"/>
      <c r="AT140" s="548"/>
      <c r="AU140" s="548"/>
      <c r="AV140" s="548"/>
      <c r="AW140" s="547"/>
      <c r="AX140" s="548"/>
      <c r="AY140" s="548"/>
      <c r="AZ140" s="548"/>
      <c r="BA140" s="548"/>
      <c r="BB140" s="547"/>
      <c r="BC140" s="548"/>
      <c r="BD140" s="548"/>
      <c r="BE140" s="548"/>
      <c r="BF140" s="548"/>
      <c r="BG140" s="547"/>
      <c r="BH140" s="548"/>
      <c r="BI140" s="548"/>
      <c r="BJ140" s="548"/>
      <c r="BK140" s="548"/>
      <c r="BL140" s="547"/>
      <c r="BM140" s="548"/>
      <c r="BN140" s="548"/>
      <c r="BO140" s="548"/>
      <c r="BP140" s="548"/>
      <c r="BQ140" s="547"/>
      <c r="BR140" s="548"/>
      <c r="BS140" s="548"/>
      <c r="BT140" s="548"/>
      <c r="BU140" s="548"/>
      <c r="BV140" s="547"/>
      <c r="BW140" s="548"/>
      <c r="BX140" s="548"/>
      <c r="BY140" s="548"/>
      <c r="BZ140" s="548"/>
      <c r="CA140" s="547"/>
      <c r="CB140" s="548"/>
      <c r="CC140" s="548"/>
      <c r="CD140" s="548"/>
      <c r="CE140" s="548"/>
      <c r="CF140" s="547"/>
      <c r="CG140" s="548"/>
      <c r="CH140" s="548"/>
      <c r="CI140" s="548"/>
      <c r="CJ140" s="548"/>
      <c r="CK140" s="547"/>
      <c r="CL140" s="548"/>
      <c r="CM140" s="548"/>
      <c r="CN140" s="548"/>
      <c r="CO140" s="548"/>
      <c r="CP140" s="547"/>
      <c r="CQ140" s="547"/>
      <c r="CR140" s="547"/>
      <c r="CS140" s="547"/>
    </row>
    <row r="141" spans="2:97" collapsed="1">
      <c r="B141" s="549" t="s">
        <v>372</v>
      </c>
      <c r="C141" s="531"/>
      <c r="D141" s="531"/>
      <c r="E141" s="531"/>
      <c r="F141" s="531"/>
      <c r="G141" s="531"/>
      <c r="H141" s="531"/>
      <c r="I141" s="531"/>
      <c r="J141" s="532"/>
      <c r="K141" s="532"/>
      <c r="L141" s="532"/>
      <c r="M141" s="532"/>
      <c r="N141" s="531"/>
      <c r="O141" s="532"/>
      <c r="P141" s="532"/>
      <c r="Q141" s="532"/>
      <c r="R141" s="532"/>
      <c r="S141" s="531"/>
      <c r="T141" s="532"/>
      <c r="U141" s="532"/>
      <c r="V141" s="532"/>
      <c r="W141" s="532"/>
      <c r="X141" s="531"/>
      <c r="Y141" s="532"/>
      <c r="Z141" s="532"/>
      <c r="AA141" s="532"/>
      <c r="AB141" s="532"/>
      <c r="AC141" s="531"/>
      <c r="AD141" s="532"/>
      <c r="AE141" s="532"/>
      <c r="AF141" s="532"/>
      <c r="AG141" s="532"/>
      <c r="AH141" s="531"/>
      <c r="AI141" s="532"/>
      <c r="AJ141" s="532"/>
      <c r="AK141" s="532"/>
      <c r="AL141" s="533"/>
      <c r="AM141" s="534"/>
      <c r="AN141" s="533"/>
      <c r="AO141" s="533"/>
      <c r="AP141" s="532"/>
      <c r="AQ141" s="533"/>
      <c r="AR141" s="534"/>
      <c r="AS141" s="533"/>
      <c r="AT141" s="533"/>
      <c r="AU141" s="533"/>
      <c r="AV141" s="533"/>
      <c r="AW141" s="534"/>
      <c r="AX141" s="533"/>
      <c r="AY141" s="533"/>
      <c r="AZ141" s="533"/>
      <c r="BA141" s="533"/>
      <c r="BB141" s="534"/>
      <c r="BC141" s="533"/>
      <c r="BD141" s="533"/>
      <c r="BE141" s="533"/>
      <c r="BF141" s="533"/>
      <c r="BG141" s="534"/>
      <c r="BH141" s="533"/>
      <c r="BI141" s="533"/>
      <c r="BJ141" s="533"/>
      <c r="BK141" s="533"/>
      <c r="BL141" s="534"/>
      <c r="BM141" s="533"/>
      <c r="BN141" s="533"/>
      <c r="BO141" s="533"/>
      <c r="BP141" s="533"/>
      <c r="BQ141" s="534"/>
      <c r="BR141" s="533"/>
      <c r="BS141" s="533"/>
      <c r="BT141" s="533"/>
      <c r="BU141" s="533"/>
      <c r="BV141" s="534"/>
      <c r="BW141" s="533"/>
      <c r="BX141" s="533"/>
      <c r="BY141" s="533"/>
      <c r="BZ141" s="533"/>
      <c r="CA141" s="534"/>
      <c r="CB141" s="533"/>
      <c r="CC141" s="533"/>
      <c r="CD141" s="533"/>
      <c r="CE141" s="533"/>
      <c r="CF141" s="534"/>
      <c r="CG141" s="533"/>
      <c r="CH141" s="533"/>
      <c r="CI141" s="533"/>
      <c r="CJ141" s="533"/>
      <c r="CK141" s="534"/>
      <c r="CL141" s="533"/>
      <c r="CM141" s="533"/>
      <c r="CN141" s="533"/>
      <c r="CO141" s="533"/>
      <c r="CP141" s="534"/>
      <c r="CQ141" s="534"/>
      <c r="CR141" s="534"/>
      <c r="CS141" s="534"/>
    </row>
    <row r="142" spans="2:97">
      <c r="B142" s="532" t="s">
        <v>90</v>
      </c>
      <c r="C142" s="531"/>
      <c r="D142" s="531"/>
      <c r="E142" s="531"/>
      <c r="F142" s="531"/>
      <c r="G142" s="531"/>
      <c r="H142" s="531"/>
      <c r="I142" s="531"/>
      <c r="J142" s="532"/>
      <c r="K142" s="532"/>
      <c r="L142" s="532"/>
      <c r="M142" s="532"/>
      <c r="N142" s="531"/>
      <c r="O142" s="532"/>
      <c r="P142" s="532"/>
      <c r="Q142" s="532"/>
      <c r="R142" s="532"/>
      <c r="S142" s="531"/>
      <c r="T142" s="532">
        <f t="shared" ref="T142:AY142" si="195">+T79+T136</f>
        <v>45.5</v>
      </c>
      <c r="U142" s="532">
        <f t="shared" si="195"/>
        <v>33.9</v>
      </c>
      <c r="V142" s="532">
        <f t="shared" si="195"/>
        <v>29.6</v>
      </c>
      <c r="W142" s="532">
        <f t="shared" si="195"/>
        <v>33.800000000000011</v>
      </c>
      <c r="X142" s="531">
        <f t="shared" si="195"/>
        <v>142.80000000000001</v>
      </c>
      <c r="Y142" s="532">
        <f t="shared" si="195"/>
        <v>36.9</v>
      </c>
      <c r="Z142" s="532">
        <f t="shared" si="195"/>
        <v>38.200000000000003</v>
      </c>
      <c r="AA142" s="532">
        <f t="shared" si="195"/>
        <v>33.9</v>
      </c>
      <c r="AB142" s="532">
        <f t="shared" si="195"/>
        <v>33.800000000000011</v>
      </c>
      <c r="AC142" s="531">
        <f t="shared" si="195"/>
        <v>142.80000000000001</v>
      </c>
      <c r="AD142" s="550">
        <f t="shared" si="195"/>
        <v>44.4</v>
      </c>
      <c r="AE142" s="551">
        <f t="shared" si="195"/>
        <v>39.700000000000003</v>
      </c>
      <c r="AF142" s="551">
        <f t="shared" si="195"/>
        <v>39.1</v>
      </c>
      <c r="AG142" s="552">
        <f t="shared" si="195"/>
        <v>35.600000000000023</v>
      </c>
      <c r="AH142" s="531">
        <f t="shared" si="195"/>
        <v>158.80000000000001</v>
      </c>
      <c r="AI142" s="550">
        <f t="shared" si="195"/>
        <v>45</v>
      </c>
      <c r="AJ142" s="551">
        <f t="shared" si="195"/>
        <v>30.3</v>
      </c>
      <c r="AK142" s="551">
        <f t="shared" si="195"/>
        <v>20.8</v>
      </c>
      <c r="AL142" s="552">
        <f t="shared" si="195"/>
        <v>15.3</v>
      </c>
      <c r="AM142" s="531">
        <f t="shared" si="195"/>
        <v>111.39999999999999</v>
      </c>
      <c r="AN142" s="550">
        <f t="shared" si="195"/>
        <v>30.6</v>
      </c>
      <c r="AO142" s="551">
        <f t="shared" si="195"/>
        <v>42.8</v>
      </c>
      <c r="AP142" s="551">
        <f t="shared" si="195"/>
        <v>34.299999999999997</v>
      </c>
      <c r="AQ142" s="552">
        <f t="shared" si="195"/>
        <v>31.899999999999991</v>
      </c>
      <c r="AR142" s="531">
        <f t="shared" si="195"/>
        <v>139.6</v>
      </c>
      <c r="AS142" s="550">
        <f t="shared" si="195"/>
        <v>49.8</v>
      </c>
      <c r="AT142" s="551">
        <f t="shared" si="195"/>
        <v>48.5</v>
      </c>
      <c r="AU142" s="551">
        <f t="shared" si="195"/>
        <v>45.1</v>
      </c>
      <c r="AV142" s="552">
        <f t="shared" si="195"/>
        <v>51.1</v>
      </c>
      <c r="AW142" s="531">
        <f t="shared" si="195"/>
        <v>194.5</v>
      </c>
      <c r="AX142" s="550">
        <f t="shared" si="195"/>
        <v>65.8</v>
      </c>
      <c r="AY142" s="551">
        <f t="shared" si="195"/>
        <v>71.400000000000006</v>
      </c>
      <c r="AZ142" s="551">
        <f t="shared" ref="AZ142:CE142" si="196">+AZ79+AZ136</f>
        <v>57</v>
      </c>
      <c r="BA142" s="552">
        <f t="shared" si="196"/>
        <v>53.6</v>
      </c>
      <c r="BB142" s="531">
        <f t="shared" si="196"/>
        <v>247.8</v>
      </c>
      <c r="BC142" s="550">
        <f t="shared" si="196"/>
        <v>67.900000000000006</v>
      </c>
      <c r="BD142" s="551">
        <f t="shared" si="196"/>
        <v>71.2</v>
      </c>
      <c r="BE142" s="551">
        <f t="shared" si="196"/>
        <v>68.7</v>
      </c>
      <c r="BF142" s="433">
        <f t="shared" si="196"/>
        <v>68.5</v>
      </c>
      <c r="BG142" s="531">
        <f t="shared" si="196"/>
        <v>276.3</v>
      </c>
      <c r="BH142" s="433">
        <f t="shared" si="196"/>
        <v>75.900000000000006</v>
      </c>
      <c r="BI142" s="433">
        <f t="shared" si="196"/>
        <v>79.8</v>
      </c>
      <c r="BJ142" s="433">
        <f t="shared" si="196"/>
        <v>74.400000000000006</v>
      </c>
      <c r="BK142" s="433">
        <f t="shared" si="196"/>
        <v>78.7</v>
      </c>
      <c r="BL142" s="444">
        <f t="shared" si="196"/>
        <v>308.8</v>
      </c>
      <c r="BM142" s="433">
        <f t="shared" si="196"/>
        <v>89.2</v>
      </c>
      <c r="BN142" s="433">
        <f t="shared" si="196"/>
        <v>91.2</v>
      </c>
      <c r="BO142" s="433">
        <f t="shared" si="196"/>
        <v>74.099999999999994</v>
      </c>
      <c r="BP142" s="433">
        <f t="shared" si="196"/>
        <v>81.7</v>
      </c>
      <c r="BQ142" s="444">
        <f t="shared" si="196"/>
        <v>336.2</v>
      </c>
      <c r="BR142" s="433">
        <f t="shared" si="196"/>
        <v>90.8</v>
      </c>
      <c r="BS142" s="433">
        <f t="shared" si="196"/>
        <v>101.6</v>
      </c>
      <c r="BT142" s="433">
        <f t="shared" si="196"/>
        <v>88.8</v>
      </c>
      <c r="BU142" s="433">
        <f t="shared" si="196"/>
        <v>87.1</v>
      </c>
      <c r="BV142" s="444">
        <f t="shared" si="196"/>
        <v>368.29999999999995</v>
      </c>
      <c r="BW142" s="433">
        <f t="shared" si="196"/>
        <v>81.900000000000006</v>
      </c>
      <c r="BX142" s="433">
        <f t="shared" si="196"/>
        <v>92.1</v>
      </c>
      <c r="BY142" s="433">
        <f t="shared" si="196"/>
        <v>90</v>
      </c>
      <c r="BZ142" s="433">
        <f t="shared" si="196"/>
        <v>95.4</v>
      </c>
      <c r="CA142" s="444">
        <f t="shared" si="196"/>
        <v>359.4</v>
      </c>
      <c r="CB142" s="433">
        <f t="shared" si="196"/>
        <v>91</v>
      </c>
      <c r="CC142" s="433">
        <f t="shared" si="196"/>
        <v>93.1</v>
      </c>
      <c r="CD142" s="433">
        <f t="shared" si="196"/>
        <v>92.5</v>
      </c>
      <c r="CE142" s="433">
        <f t="shared" si="196"/>
        <v>97.2</v>
      </c>
      <c r="CF142" s="444">
        <f t="shared" ref="CF142:CS142" si="197">+CF79+CF136</f>
        <v>373.8</v>
      </c>
      <c r="CG142" s="433">
        <f t="shared" si="197"/>
        <v>112.5</v>
      </c>
      <c r="CH142" s="433">
        <f t="shared" si="197"/>
        <v>111.8</v>
      </c>
      <c r="CI142" s="433">
        <f t="shared" si="197"/>
        <v>100.1</v>
      </c>
      <c r="CJ142" s="433">
        <f t="shared" si="197"/>
        <v>86.9</v>
      </c>
      <c r="CK142" s="444">
        <f t="shared" si="197"/>
        <v>411.29999999999995</v>
      </c>
      <c r="CL142" s="433">
        <f t="shared" si="197"/>
        <v>91.5</v>
      </c>
      <c r="CM142" s="433">
        <f t="shared" si="197"/>
        <v>21.335550400000002</v>
      </c>
      <c r="CN142" s="433">
        <f t="shared" si="197"/>
        <v>39.787688200000005</v>
      </c>
      <c r="CO142" s="433">
        <f t="shared" si="197"/>
        <v>53.764749000000002</v>
      </c>
      <c r="CP142" s="444">
        <f t="shared" si="197"/>
        <v>206.3879876</v>
      </c>
      <c r="CQ142" s="444">
        <f t="shared" si="197"/>
        <v>233.367680173</v>
      </c>
      <c r="CR142" s="444">
        <f t="shared" si="197"/>
        <v>266.38019783662799</v>
      </c>
      <c r="CS142" s="444">
        <f t="shared" si="197"/>
        <v>308.83670631347917</v>
      </c>
    </row>
    <row r="143" spans="2:97">
      <c r="B143" s="538" t="s">
        <v>91</v>
      </c>
      <c r="C143" s="531"/>
      <c r="D143" s="539"/>
      <c r="E143" s="539"/>
      <c r="F143" s="539"/>
      <c r="G143" s="539"/>
      <c r="H143" s="539"/>
      <c r="I143" s="539"/>
      <c r="J143" s="538"/>
      <c r="K143" s="538"/>
      <c r="L143" s="538"/>
      <c r="M143" s="538"/>
      <c r="N143" s="539"/>
      <c r="O143" s="538"/>
      <c r="P143" s="538"/>
      <c r="Q143" s="538"/>
      <c r="R143" s="538"/>
      <c r="S143" s="539"/>
      <c r="T143" s="538">
        <f t="shared" ref="T143:AY143" si="198">+T80+T137</f>
        <v>4.0999999999999979</v>
      </c>
      <c r="U143" s="538">
        <f t="shared" si="198"/>
        <v>6.1</v>
      </c>
      <c r="V143" s="538">
        <f t="shared" si="198"/>
        <v>4.7</v>
      </c>
      <c r="W143" s="538">
        <f t="shared" si="198"/>
        <v>6.4</v>
      </c>
      <c r="X143" s="539">
        <f t="shared" si="198"/>
        <v>21.299999999999997</v>
      </c>
      <c r="Y143" s="538">
        <f t="shared" si="198"/>
        <v>4.9000000000000004</v>
      </c>
      <c r="Z143" s="538">
        <f t="shared" si="198"/>
        <v>5.0999999999999996</v>
      </c>
      <c r="AA143" s="538">
        <f t="shared" si="198"/>
        <v>4.9000000000000004</v>
      </c>
      <c r="AB143" s="538">
        <f t="shared" si="198"/>
        <v>6.4</v>
      </c>
      <c r="AC143" s="531">
        <f t="shared" si="198"/>
        <v>21.3</v>
      </c>
      <c r="AD143" s="550">
        <f t="shared" si="198"/>
        <v>8</v>
      </c>
      <c r="AE143" s="551">
        <f t="shared" si="198"/>
        <v>8</v>
      </c>
      <c r="AF143" s="551">
        <f t="shared" si="198"/>
        <v>6.4</v>
      </c>
      <c r="AG143" s="552">
        <f t="shared" si="198"/>
        <v>4.4000000000000021</v>
      </c>
      <c r="AH143" s="531">
        <f t="shared" si="198"/>
        <v>26.8</v>
      </c>
      <c r="AI143" s="550">
        <f t="shared" si="198"/>
        <v>8.8000000000000007</v>
      </c>
      <c r="AJ143" s="551">
        <f t="shared" si="198"/>
        <v>9.9</v>
      </c>
      <c r="AK143" s="551">
        <f t="shared" si="198"/>
        <v>7.8</v>
      </c>
      <c r="AL143" s="552">
        <f t="shared" si="198"/>
        <v>9.6</v>
      </c>
      <c r="AM143" s="531">
        <f t="shared" si="198"/>
        <v>36.1</v>
      </c>
      <c r="AN143" s="550">
        <f t="shared" si="198"/>
        <v>11.4</v>
      </c>
      <c r="AO143" s="551">
        <f t="shared" si="198"/>
        <v>10.7</v>
      </c>
      <c r="AP143" s="551">
        <f t="shared" si="198"/>
        <v>11.9</v>
      </c>
      <c r="AQ143" s="552">
        <f t="shared" si="198"/>
        <v>11.700000000000003</v>
      </c>
      <c r="AR143" s="531">
        <f t="shared" si="198"/>
        <v>45.7</v>
      </c>
      <c r="AS143" s="550">
        <f t="shared" si="198"/>
        <v>12.5</v>
      </c>
      <c r="AT143" s="551">
        <f t="shared" si="198"/>
        <v>11.9</v>
      </c>
      <c r="AU143" s="551">
        <f t="shared" si="198"/>
        <v>16.2</v>
      </c>
      <c r="AV143" s="552">
        <f t="shared" si="198"/>
        <v>11</v>
      </c>
      <c r="AW143" s="531">
        <f t="shared" si="198"/>
        <v>51.599999999999994</v>
      </c>
      <c r="AX143" s="550">
        <f t="shared" si="198"/>
        <v>11.8</v>
      </c>
      <c r="AY143" s="551">
        <f t="shared" si="198"/>
        <v>11.7</v>
      </c>
      <c r="AZ143" s="551">
        <f t="shared" ref="AZ143:CE143" si="199">+AZ80+AZ137</f>
        <v>14.9</v>
      </c>
      <c r="BA143" s="552">
        <f t="shared" si="199"/>
        <v>12.2</v>
      </c>
      <c r="BB143" s="531">
        <f t="shared" si="199"/>
        <v>50.599999999999994</v>
      </c>
      <c r="BC143" s="550">
        <f t="shared" si="199"/>
        <v>13.4</v>
      </c>
      <c r="BD143" s="551">
        <f t="shared" si="199"/>
        <v>15.1</v>
      </c>
      <c r="BE143" s="551">
        <f t="shared" si="199"/>
        <v>14.9</v>
      </c>
      <c r="BF143" s="494">
        <f t="shared" si="199"/>
        <v>15.5</v>
      </c>
      <c r="BG143" s="531">
        <f t="shared" si="199"/>
        <v>58.9</v>
      </c>
      <c r="BH143" s="494">
        <f t="shared" si="199"/>
        <v>16.399999999999999</v>
      </c>
      <c r="BI143" s="494">
        <f t="shared" si="199"/>
        <v>17.600000000000001</v>
      </c>
      <c r="BJ143" s="494">
        <f t="shared" si="199"/>
        <v>16.7</v>
      </c>
      <c r="BK143" s="494">
        <f t="shared" si="199"/>
        <v>16.3</v>
      </c>
      <c r="BL143" s="444">
        <f t="shared" si="199"/>
        <v>67</v>
      </c>
      <c r="BM143" s="494">
        <f t="shared" si="199"/>
        <v>14.7</v>
      </c>
      <c r="BN143" s="494">
        <f t="shared" si="199"/>
        <v>14.4</v>
      </c>
      <c r="BO143" s="494">
        <f t="shared" si="199"/>
        <v>14.2</v>
      </c>
      <c r="BP143" s="494">
        <f t="shared" si="199"/>
        <v>12.5</v>
      </c>
      <c r="BQ143" s="444">
        <f t="shared" si="199"/>
        <v>55.8</v>
      </c>
      <c r="BR143" s="494">
        <f t="shared" si="199"/>
        <v>12.3</v>
      </c>
      <c r="BS143" s="494">
        <f t="shared" si="199"/>
        <v>11.7</v>
      </c>
      <c r="BT143" s="494">
        <f t="shared" si="199"/>
        <v>12.9</v>
      </c>
      <c r="BU143" s="494">
        <f t="shared" si="199"/>
        <v>13.2</v>
      </c>
      <c r="BV143" s="444">
        <f t="shared" si="199"/>
        <v>50.099999999999994</v>
      </c>
      <c r="BW143" s="494">
        <f t="shared" si="199"/>
        <v>13</v>
      </c>
      <c r="BX143" s="494">
        <f t="shared" si="199"/>
        <v>12.1</v>
      </c>
      <c r="BY143" s="494">
        <f t="shared" si="199"/>
        <v>12.1</v>
      </c>
      <c r="BZ143" s="494">
        <f t="shared" si="199"/>
        <v>11.5</v>
      </c>
      <c r="CA143" s="444">
        <f t="shared" si="199"/>
        <v>48.7</v>
      </c>
      <c r="CB143" s="494">
        <f t="shared" si="199"/>
        <v>9.9</v>
      </c>
      <c r="CC143" s="494">
        <f t="shared" si="199"/>
        <v>15.9</v>
      </c>
      <c r="CD143" s="494">
        <f t="shared" si="199"/>
        <v>15.5</v>
      </c>
      <c r="CE143" s="494">
        <f t="shared" si="199"/>
        <v>9.3000000000000007</v>
      </c>
      <c r="CF143" s="444">
        <f t="shared" ref="CF143:CS143" si="200">+CF80+CF137</f>
        <v>50.599999999999994</v>
      </c>
      <c r="CG143" s="494">
        <f t="shared" si="200"/>
        <v>14.8</v>
      </c>
      <c r="CH143" s="494">
        <f t="shared" si="200"/>
        <v>16.3</v>
      </c>
      <c r="CI143" s="494">
        <f t="shared" si="200"/>
        <v>20.3</v>
      </c>
      <c r="CJ143" s="494">
        <f t="shared" si="200"/>
        <v>20.6</v>
      </c>
      <c r="CK143" s="444">
        <f t="shared" si="200"/>
        <v>72</v>
      </c>
      <c r="CL143" s="494">
        <f t="shared" si="200"/>
        <v>6.5</v>
      </c>
      <c r="CM143" s="494">
        <f t="shared" si="200"/>
        <v>2.1748647999999999</v>
      </c>
      <c r="CN143" s="494">
        <f t="shared" si="200"/>
        <v>3.8654315999999991</v>
      </c>
      <c r="CO143" s="494">
        <f t="shared" si="200"/>
        <v>6.3524272000000002</v>
      </c>
      <c r="CP143" s="444">
        <f t="shared" si="200"/>
        <v>18.8927236</v>
      </c>
      <c r="CQ143" s="444">
        <f t="shared" si="200"/>
        <v>33.600558339999992</v>
      </c>
      <c r="CR143" s="444">
        <f t="shared" si="200"/>
        <v>42.841369358704</v>
      </c>
      <c r="CS143" s="444">
        <f t="shared" si="200"/>
        <v>52.381118595617792</v>
      </c>
    </row>
    <row r="144" spans="2:97">
      <c r="B144" s="553" t="s">
        <v>273</v>
      </c>
      <c r="C144" s="554"/>
      <c r="D144" s="554"/>
      <c r="E144" s="554"/>
      <c r="F144" s="554"/>
      <c r="G144" s="554"/>
      <c r="H144" s="554"/>
      <c r="I144" s="554"/>
      <c r="J144" s="553"/>
      <c r="K144" s="553"/>
      <c r="L144" s="553"/>
      <c r="M144" s="553"/>
      <c r="N144" s="554"/>
      <c r="O144" s="553"/>
      <c r="P144" s="553"/>
      <c r="Q144" s="553"/>
      <c r="R144" s="553"/>
      <c r="S144" s="554"/>
      <c r="T144" s="553">
        <f t="shared" ref="T144:AY144" si="201">+T142+T143</f>
        <v>49.599999999999994</v>
      </c>
      <c r="U144" s="553">
        <f t="shared" si="201"/>
        <v>40</v>
      </c>
      <c r="V144" s="553">
        <f t="shared" si="201"/>
        <v>34.300000000000004</v>
      </c>
      <c r="W144" s="553">
        <f t="shared" si="201"/>
        <v>40.20000000000001</v>
      </c>
      <c r="X144" s="554">
        <f t="shared" si="201"/>
        <v>164.10000000000002</v>
      </c>
      <c r="Y144" s="553">
        <f t="shared" si="201"/>
        <v>41.8</v>
      </c>
      <c r="Z144" s="553">
        <f t="shared" si="201"/>
        <v>43.300000000000004</v>
      </c>
      <c r="AA144" s="553">
        <f t="shared" si="201"/>
        <v>38.799999999999997</v>
      </c>
      <c r="AB144" s="553">
        <f t="shared" si="201"/>
        <v>40.20000000000001</v>
      </c>
      <c r="AC144" s="554">
        <f t="shared" si="201"/>
        <v>164.10000000000002</v>
      </c>
      <c r="AD144" s="555">
        <f t="shared" si="201"/>
        <v>52.4</v>
      </c>
      <c r="AE144" s="553">
        <f t="shared" si="201"/>
        <v>47.7</v>
      </c>
      <c r="AF144" s="553">
        <f t="shared" si="201"/>
        <v>45.5</v>
      </c>
      <c r="AG144" s="556">
        <f t="shared" si="201"/>
        <v>40.000000000000028</v>
      </c>
      <c r="AH144" s="554">
        <f t="shared" si="201"/>
        <v>185.60000000000002</v>
      </c>
      <c r="AI144" s="555">
        <f t="shared" si="201"/>
        <v>53.8</v>
      </c>
      <c r="AJ144" s="553">
        <f t="shared" si="201"/>
        <v>40.200000000000003</v>
      </c>
      <c r="AK144" s="553">
        <f t="shared" si="201"/>
        <v>28.6</v>
      </c>
      <c r="AL144" s="556">
        <f t="shared" si="201"/>
        <v>24.9</v>
      </c>
      <c r="AM144" s="554">
        <f t="shared" si="201"/>
        <v>147.5</v>
      </c>
      <c r="AN144" s="555">
        <f t="shared" si="201"/>
        <v>42</v>
      </c>
      <c r="AO144" s="553">
        <f t="shared" si="201"/>
        <v>53.5</v>
      </c>
      <c r="AP144" s="553">
        <f t="shared" si="201"/>
        <v>46.199999999999996</v>
      </c>
      <c r="AQ144" s="556">
        <f t="shared" si="201"/>
        <v>43.599999999999994</v>
      </c>
      <c r="AR144" s="554">
        <f t="shared" si="201"/>
        <v>185.3</v>
      </c>
      <c r="AS144" s="555">
        <f t="shared" si="201"/>
        <v>62.3</v>
      </c>
      <c r="AT144" s="553">
        <f t="shared" si="201"/>
        <v>60.4</v>
      </c>
      <c r="AU144" s="553">
        <f t="shared" si="201"/>
        <v>61.3</v>
      </c>
      <c r="AV144" s="556">
        <f t="shared" si="201"/>
        <v>62.1</v>
      </c>
      <c r="AW144" s="554">
        <f t="shared" si="201"/>
        <v>246.1</v>
      </c>
      <c r="AX144" s="555">
        <f t="shared" si="201"/>
        <v>77.599999999999994</v>
      </c>
      <c r="AY144" s="553">
        <f t="shared" si="201"/>
        <v>83.100000000000009</v>
      </c>
      <c r="AZ144" s="553">
        <f t="shared" ref="AZ144:CE144" si="202">+AZ142+AZ143</f>
        <v>71.900000000000006</v>
      </c>
      <c r="BA144" s="556">
        <f t="shared" si="202"/>
        <v>65.8</v>
      </c>
      <c r="BB144" s="554">
        <f t="shared" si="202"/>
        <v>298.39999999999998</v>
      </c>
      <c r="BC144" s="555">
        <f t="shared" si="202"/>
        <v>81.300000000000011</v>
      </c>
      <c r="BD144" s="553">
        <f t="shared" si="202"/>
        <v>86.3</v>
      </c>
      <c r="BE144" s="553">
        <f t="shared" si="202"/>
        <v>83.600000000000009</v>
      </c>
      <c r="BF144" s="556">
        <f t="shared" si="202"/>
        <v>84</v>
      </c>
      <c r="BG144" s="554">
        <f t="shared" si="202"/>
        <v>335.2</v>
      </c>
      <c r="BH144" s="555">
        <f t="shared" si="202"/>
        <v>92.300000000000011</v>
      </c>
      <c r="BI144" s="553">
        <f t="shared" si="202"/>
        <v>97.4</v>
      </c>
      <c r="BJ144" s="553">
        <f t="shared" si="202"/>
        <v>91.100000000000009</v>
      </c>
      <c r="BK144" s="556">
        <f t="shared" si="202"/>
        <v>95</v>
      </c>
      <c r="BL144" s="554">
        <f t="shared" si="202"/>
        <v>375.8</v>
      </c>
      <c r="BM144" s="555">
        <f t="shared" si="202"/>
        <v>103.9</v>
      </c>
      <c r="BN144" s="553">
        <f t="shared" si="202"/>
        <v>105.60000000000001</v>
      </c>
      <c r="BO144" s="553">
        <f t="shared" si="202"/>
        <v>88.3</v>
      </c>
      <c r="BP144" s="556">
        <f t="shared" si="202"/>
        <v>94.2</v>
      </c>
      <c r="BQ144" s="554">
        <f t="shared" si="202"/>
        <v>392</v>
      </c>
      <c r="BR144" s="553">
        <f t="shared" si="202"/>
        <v>103.1</v>
      </c>
      <c r="BS144" s="553">
        <f t="shared" si="202"/>
        <v>113.3</v>
      </c>
      <c r="BT144" s="553">
        <f t="shared" si="202"/>
        <v>101.7</v>
      </c>
      <c r="BU144" s="556">
        <f t="shared" si="202"/>
        <v>100.3</v>
      </c>
      <c r="BV144" s="554">
        <f t="shared" si="202"/>
        <v>418.4</v>
      </c>
      <c r="BW144" s="553">
        <f t="shared" si="202"/>
        <v>94.9</v>
      </c>
      <c r="BX144" s="553">
        <f t="shared" si="202"/>
        <v>104.19999999999999</v>
      </c>
      <c r="BY144" s="553">
        <f t="shared" si="202"/>
        <v>102.1</v>
      </c>
      <c r="BZ144" s="556">
        <f t="shared" si="202"/>
        <v>106.9</v>
      </c>
      <c r="CA144" s="554">
        <f t="shared" si="202"/>
        <v>408.09999999999997</v>
      </c>
      <c r="CB144" s="553">
        <f t="shared" si="202"/>
        <v>100.9</v>
      </c>
      <c r="CC144" s="553">
        <f t="shared" si="202"/>
        <v>109</v>
      </c>
      <c r="CD144" s="553">
        <f t="shared" si="202"/>
        <v>108</v>
      </c>
      <c r="CE144" s="556">
        <f t="shared" si="202"/>
        <v>106.5</v>
      </c>
      <c r="CF144" s="554">
        <f t="shared" ref="CF144:CS144" si="203">+CF142+CF143</f>
        <v>424.4</v>
      </c>
      <c r="CG144" s="553">
        <f t="shared" si="203"/>
        <v>127.3</v>
      </c>
      <c r="CH144" s="553">
        <f t="shared" si="203"/>
        <v>128.1</v>
      </c>
      <c r="CI144" s="553">
        <f t="shared" si="203"/>
        <v>120.39999999999999</v>
      </c>
      <c r="CJ144" s="556">
        <f t="shared" si="203"/>
        <v>107.5</v>
      </c>
      <c r="CK144" s="554">
        <f t="shared" si="203"/>
        <v>483.29999999999995</v>
      </c>
      <c r="CL144" s="553">
        <f t="shared" si="203"/>
        <v>98</v>
      </c>
      <c r="CM144" s="553">
        <f t="shared" si="203"/>
        <v>23.510415200000004</v>
      </c>
      <c r="CN144" s="553">
        <f t="shared" si="203"/>
        <v>43.653119800000006</v>
      </c>
      <c r="CO144" s="556">
        <f t="shared" si="203"/>
        <v>60.117176200000003</v>
      </c>
      <c r="CP144" s="554">
        <f t="shared" si="203"/>
        <v>225.28071120000001</v>
      </c>
      <c r="CQ144" s="554">
        <f t="shared" si="203"/>
        <v>266.96823851299996</v>
      </c>
      <c r="CR144" s="554">
        <f t="shared" si="203"/>
        <v>309.221567195332</v>
      </c>
      <c r="CS144" s="554">
        <f t="shared" si="203"/>
        <v>361.21782490909698</v>
      </c>
    </row>
    <row r="145" spans="2:97">
      <c r="B145" s="532" t="s">
        <v>92</v>
      </c>
      <c r="C145" s="531"/>
      <c r="D145" s="531"/>
      <c r="E145" s="531"/>
      <c r="F145" s="531"/>
      <c r="G145" s="531"/>
      <c r="H145" s="531"/>
      <c r="I145" s="531"/>
      <c r="J145" s="532"/>
      <c r="K145" s="532"/>
      <c r="L145" s="532"/>
      <c r="M145" s="532"/>
      <c r="N145" s="531"/>
      <c r="O145" s="532"/>
      <c r="P145" s="532"/>
      <c r="Q145" s="532"/>
      <c r="R145" s="532"/>
      <c r="S145" s="531"/>
      <c r="T145" s="532">
        <f t="shared" ref="T145:AY145" si="204">+T85+T138</f>
        <v>-10.6</v>
      </c>
      <c r="U145" s="532">
        <f t="shared" si="204"/>
        <v>-8.9</v>
      </c>
      <c r="V145" s="532">
        <f t="shared" si="204"/>
        <v>-10.4</v>
      </c>
      <c r="W145" s="532">
        <f t="shared" si="204"/>
        <v>-8.2000000000000028</v>
      </c>
      <c r="X145" s="531">
        <f t="shared" si="204"/>
        <v>-38.1</v>
      </c>
      <c r="Y145" s="532">
        <f t="shared" si="204"/>
        <v>-11.9</v>
      </c>
      <c r="Z145" s="532">
        <f t="shared" si="204"/>
        <v>-9.3000000000000007</v>
      </c>
      <c r="AA145" s="532">
        <f t="shared" si="204"/>
        <v>-8.6</v>
      </c>
      <c r="AB145" s="532">
        <f t="shared" si="204"/>
        <v>-19.399999999999984</v>
      </c>
      <c r="AC145" s="531">
        <f t="shared" si="204"/>
        <v>-49.199999999999989</v>
      </c>
      <c r="AD145" s="550">
        <f t="shared" si="204"/>
        <v>-16</v>
      </c>
      <c r="AE145" s="551">
        <f t="shared" si="204"/>
        <v>-18.399999999999999</v>
      </c>
      <c r="AF145" s="551">
        <f t="shared" si="204"/>
        <v>-9.6</v>
      </c>
      <c r="AG145" s="552">
        <f t="shared" si="204"/>
        <v>-10.700000000000003</v>
      </c>
      <c r="AH145" s="531">
        <f t="shared" si="204"/>
        <v>-54.7</v>
      </c>
      <c r="AI145" s="550">
        <f t="shared" si="204"/>
        <v>-13.9</v>
      </c>
      <c r="AJ145" s="551">
        <f t="shared" si="204"/>
        <v>-10.5</v>
      </c>
      <c r="AK145" s="551">
        <f t="shared" si="204"/>
        <v>-9</v>
      </c>
      <c r="AL145" s="552">
        <f t="shared" si="204"/>
        <v>-10.4</v>
      </c>
      <c r="AM145" s="531">
        <f t="shared" si="204"/>
        <v>-43.8</v>
      </c>
      <c r="AN145" s="550">
        <f t="shared" si="204"/>
        <v>-18.2</v>
      </c>
      <c r="AO145" s="551">
        <f t="shared" si="204"/>
        <v>-13</v>
      </c>
      <c r="AP145" s="551">
        <f t="shared" si="204"/>
        <v>-11.7</v>
      </c>
      <c r="AQ145" s="552">
        <f t="shared" si="204"/>
        <v>-12.600000000000001</v>
      </c>
      <c r="AR145" s="531">
        <f t="shared" si="204"/>
        <v>-55.5</v>
      </c>
      <c r="AS145" s="550">
        <f t="shared" si="204"/>
        <v>-15.1</v>
      </c>
      <c r="AT145" s="551">
        <f t="shared" si="204"/>
        <v>-11</v>
      </c>
      <c r="AU145" s="551">
        <f t="shared" si="204"/>
        <v>-15.3</v>
      </c>
      <c r="AV145" s="552">
        <f t="shared" si="204"/>
        <v>-12.7</v>
      </c>
      <c r="AW145" s="531">
        <f t="shared" si="204"/>
        <v>-54.100000000000009</v>
      </c>
      <c r="AX145" s="550">
        <f t="shared" si="204"/>
        <v>-17</v>
      </c>
      <c r="AY145" s="551">
        <f t="shared" si="204"/>
        <v>-18.7</v>
      </c>
      <c r="AZ145" s="551">
        <f t="shared" ref="AZ145:CE145" si="205">+AZ85+AZ138</f>
        <v>-11.9</v>
      </c>
      <c r="BA145" s="552">
        <f t="shared" si="205"/>
        <v>-11.5</v>
      </c>
      <c r="BB145" s="531">
        <f t="shared" si="205"/>
        <v>-59.1</v>
      </c>
      <c r="BC145" s="550">
        <f t="shared" si="205"/>
        <v>-18.3</v>
      </c>
      <c r="BD145" s="551">
        <f t="shared" si="205"/>
        <v>-14.4</v>
      </c>
      <c r="BE145" s="551">
        <f t="shared" si="205"/>
        <v>-14.6</v>
      </c>
      <c r="BF145" s="552">
        <f t="shared" si="205"/>
        <v>-17</v>
      </c>
      <c r="BG145" s="531">
        <f t="shared" si="205"/>
        <v>-64.300000000000011</v>
      </c>
      <c r="BH145" s="550">
        <f t="shared" si="205"/>
        <v>-17.7</v>
      </c>
      <c r="BI145" s="551">
        <f t="shared" si="205"/>
        <v>-22.3</v>
      </c>
      <c r="BJ145" s="551">
        <f t="shared" si="205"/>
        <v>-12.1</v>
      </c>
      <c r="BK145" s="552">
        <f t="shared" si="205"/>
        <v>-17.899999999999999</v>
      </c>
      <c r="BL145" s="444">
        <f t="shared" si="205"/>
        <v>-64.428571428571431</v>
      </c>
      <c r="BM145" s="550">
        <f t="shared" si="205"/>
        <v>-21.3</v>
      </c>
      <c r="BN145" s="551">
        <f t="shared" si="205"/>
        <v>-15</v>
      </c>
      <c r="BO145" s="551">
        <f t="shared" si="205"/>
        <v>-10.3</v>
      </c>
      <c r="BP145" s="552">
        <f t="shared" si="205"/>
        <v>-13</v>
      </c>
      <c r="BQ145" s="444">
        <f t="shared" si="205"/>
        <v>-59.599999999999994</v>
      </c>
      <c r="BR145" s="551">
        <f t="shared" si="205"/>
        <v>-19.2</v>
      </c>
      <c r="BS145" s="551">
        <f t="shared" si="205"/>
        <v>-12.899999999999999</v>
      </c>
      <c r="BT145" s="551">
        <f t="shared" si="205"/>
        <v>-12.6</v>
      </c>
      <c r="BU145" s="552">
        <f t="shared" si="205"/>
        <v>-13.3</v>
      </c>
      <c r="BV145" s="444">
        <f t="shared" si="205"/>
        <v>-58</v>
      </c>
      <c r="BW145" s="551">
        <f t="shared" si="205"/>
        <v>-16.3</v>
      </c>
      <c r="BX145" s="551">
        <f t="shared" si="205"/>
        <v>-14.5</v>
      </c>
      <c r="BY145" s="551">
        <f t="shared" si="205"/>
        <v>-13</v>
      </c>
      <c r="BZ145" s="552">
        <f t="shared" si="205"/>
        <v>-13.7</v>
      </c>
      <c r="CA145" s="444">
        <f t="shared" si="205"/>
        <v>-57.5</v>
      </c>
      <c r="CB145" s="551">
        <f t="shared" si="205"/>
        <v>-18.5</v>
      </c>
      <c r="CC145" s="551">
        <f t="shared" si="205"/>
        <v>-12.5</v>
      </c>
      <c r="CD145" s="551">
        <f t="shared" si="205"/>
        <v>-11.5</v>
      </c>
      <c r="CE145" s="552">
        <f t="shared" si="205"/>
        <v>-2.9999999999999991</v>
      </c>
      <c r="CF145" s="444">
        <f t="shared" ref="CF145:CS145" si="206">+CF85+CF138</f>
        <v>-45.5</v>
      </c>
      <c r="CG145" s="551">
        <f t="shared" si="206"/>
        <v>-24.5</v>
      </c>
      <c r="CH145" s="551">
        <f t="shared" si="206"/>
        <v>-13</v>
      </c>
      <c r="CI145" s="551">
        <f t="shared" si="206"/>
        <v>-10.5</v>
      </c>
      <c r="CJ145" s="552">
        <f t="shared" si="206"/>
        <v>-10.1</v>
      </c>
      <c r="CK145" s="444">
        <f t="shared" si="206"/>
        <v>-58.1</v>
      </c>
      <c r="CL145" s="551">
        <f t="shared" si="206"/>
        <v>-17.599999999999998</v>
      </c>
      <c r="CM145" s="551">
        <f t="shared" si="206"/>
        <v>-9</v>
      </c>
      <c r="CN145" s="551">
        <f t="shared" si="206"/>
        <v>-10</v>
      </c>
      <c r="CO145" s="552">
        <f t="shared" si="206"/>
        <v>-10</v>
      </c>
      <c r="CP145" s="444">
        <f t="shared" si="206"/>
        <v>-46.599999999999994</v>
      </c>
      <c r="CQ145" s="444">
        <f t="shared" si="206"/>
        <v>-55</v>
      </c>
      <c r="CR145" s="444">
        <f t="shared" si="206"/>
        <v>-56</v>
      </c>
      <c r="CS145" s="444">
        <f t="shared" si="206"/>
        <v>-57</v>
      </c>
    </row>
    <row r="146" spans="2:97">
      <c r="B146" s="545" t="s">
        <v>93</v>
      </c>
      <c r="C146" s="546"/>
      <c r="D146" s="546"/>
      <c r="E146" s="546"/>
      <c r="F146" s="546"/>
      <c r="G146" s="546"/>
      <c r="H146" s="546"/>
      <c r="I146" s="546"/>
      <c r="J146" s="545"/>
      <c r="K146" s="545"/>
      <c r="L146" s="545"/>
      <c r="M146" s="545"/>
      <c r="N146" s="546"/>
      <c r="O146" s="545"/>
      <c r="P146" s="545"/>
      <c r="Q146" s="545"/>
      <c r="R146" s="545"/>
      <c r="S146" s="546"/>
      <c r="T146" s="545">
        <f t="shared" ref="T146:AY146" si="207">+T144+T145</f>
        <v>38.999999999999993</v>
      </c>
      <c r="U146" s="545">
        <f t="shared" si="207"/>
        <v>31.1</v>
      </c>
      <c r="V146" s="545">
        <f t="shared" si="207"/>
        <v>23.900000000000006</v>
      </c>
      <c r="W146" s="545">
        <f t="shared" si="207"/>
        <v>32.000000000000007</v>
      </c>
      <c r="X146" s="546">
        <f t="shared" si="207"/>
        <v>126.00000000000003</v>
      </c>
      <c r="Y146" s="545">
        <f t="shared" si="207"/>
        <v>29.9</v>
      </c>
      <c r="Z146" s="545">
        <f t="shared" si="207"/>
        <v>34</v>
      </c>
      <c r="AA146" s="545">
        <f t="shared" si="207"/>
        <v>30.199999999999996</v>
      </c>
      <c r="AB146" s="545">
        <f t="shared" si="207"/>
        <v>20.800000000000026</v>
      </c>
      <c r="AC146" s="546">
        <f t="shared" si="207"/>
        <v>114.90000000000003</v>
      </c>
      <c r="AD146" s="557">
        <f t="shared" si="207"/>
        <v>36.4</v>
      </c>
      <c r="AE146" s="545">
        <f t="shared" si="207"/>
        <v>29.300000000000004</v>
      </c>
      <c r="AF146" s="545">
        <f t="shared" si="207"/>
        <v>35.9</v>
      </c>
      <c r="AG146" s="558">
        <f t="shared" si="207"/>
        <v>29.300000000000026</v>
      </c>
      <c r="AH146" s="546">
        <f t="shared" si="207"/>
        <v>130.90000000000003</v>
      </c>
      <c r="AI146" s="557">
        <f t="shared" si="207"/>
        <v>39.9</v>
      </c>
      <c r="AJ146" s="545">
        <f t="shared" si="207"/>
        <v>29.700000000000003</v>
      </c>
      <c r="AK146" s="545">
        <f t="shared" si="207"/>
        <v>19.600000000000001</v>
      </c>
      <c r="AL146" s="558">
        <f t="shared" si="207"/>
        <v>14.499999999999998</v>
      </c>
      <c r="AM146" s="546">
        <f t="shared" si="207"/>
        <v>103.7</v>
      </c>
      <c r="AN146" s="557">
        <f t="shared" si="207"/>
        <v>23.8</v>
      </c>
      <c r="AO146" s="545">
        <f t="shared" si="207"/>
        <v>40.5</v>
      </c>
      <c r="AP146" s="545">
        <f t="shared" si="207"/>
        <v>34.5</v>
      </c>
      <c r="AQ146" s="558">
        <f t="shared" si="207"/>
        <v>30.999999999999993</v>
      </c>
      <c r="AR146" s="546">
        <f t="shared" si="207"/>
        <v>129.80000000000001</v>
      </c>
      <c r="AS146" s="557">
        <f t="shared" si="207"/>
        <v>47.199999999999996</v>
      </c>
      <c r="AT146" s="545">
        <f t="shared" si="207"/>
        <v>49.4</v>
      </c>
      <c r="AU146" s="545">
        <f t="shared" si="207"/>
        <v>46</v>
      </c>
      <c r="AV146" s="558">
        <f t="shared" si="207"/>
        <v>49.400000000000006</v>
      </c>
      <c r="AW146" s="546">
        <f t="shared" si="207"/>
        <v>192</v>
      </c>
      <c r="AX146" s="557">
        <f t="shared" si="207"/>
        <v>60.599999999999994</v>
      </c>
      <c r="AY146" s="545">
        <f t="shared" si="207"/>
        <v>64.400000000000006</v>
      </c>
      <c r="AZ146" s="545">
        <f t="shared" ref="AZ146:CE146" si="208">+AZ144+AZ145</f>
        <v>60.000000000000007</v>
      </c>
      <c r="BA146" s="558">
        <f t="shared" si="208"/>
        <v>54.3</v>
      </c>
      <c r="BB146" s="546">
        <f t="shared" si="208"/>
        <v>239.29999999999998</v>
      </c>
      <c r="BC146" s="557">
        <f t="shared" si="208"/>
        <v>63.000000000000014</v>
      </c>
      <c r="BD146" s="545">
        <f t="shared" si="208"/>
        <v>71.899999999999991</v>
      </c>
      <c r="BE146" s="545">
        <f t="shared" si="208"/>
        <v>69.000000000000014</v>
      </c>
      <c r="BF146" s="558">
        <f t="shared" si="208"/>
        <v>67</v>
      </c>
      <c r="BG146" s="546">
        <f t="shared" si="208"/>
        <v>270.89999999999998</v>
      </c>
      <c r="BH146" s="557">
        <f t="shared" si="208"/>
        <v>74.600000000000009</v>
      </c>
      <c r="BI146" s="545">
        <f t="shared" si="208"/>
        <v>75.100000000000009</v>
      </c>
      <c r="BJ146" s="545">
        <f t="shared" si="208"/>
        <v>79.000000000000014</v>
      </c>
      <c r="BK146" s="558">
        <f t="shared" si="208"/>
        <v>77.099999999999994</v>
      </c>
      <c r="BL146" s="546">
        <f t="shared" si="208"/>
        <v>311.37142857142857</v>
      </c>
      <c r="BM146" s="557">
        <f t="shared" si="208"/>
        <v>82.600000000000009</v>
      </c>
      <c r="BN146" s="545">
        <f t="shared" si="208"/>
        <v>90.600000000000009</v>
      </c>
      <c r="BO146" s="545">
        <f t="shared" si="208"/>
        <v>78</v>
      </c>
      <c r="BP146" s="558">
        <f t="shared" si="208"/>
        <v>81.2</v>
      </c>
      <c r="BQ146" s="546">
        <f t="shared" si="208"/>
        <v>332.4</v>
      </c>
      <c r="BR146" s="545">
        <f t="shared" si="208"/>
        <v>83.899999999999991</v>
      </c>
      <c r="BS146" s="545">
        <f t="shared" si="208"/>
        <v>100.4</v>
      </c>
      <c r="BT146" s="545">
        <f t="shared" si="208"/>
        <v>89.100000000000009</v>
      </c>
      <c r="BU146" s="558">
        <f t="shared" si="208"/>
        <v>87</v>
      </c>
      <c r="BV146" s="546">
        <f t="shared" si="208"/>
        <v>360.4</v>
      </c>
      <c r="BW146" s="545">
        <f t="shared" si="208"/>
        <v>78.600000000000009</v>
      </c>
      <c r="BX146" s="545">
        <f t="shared" si="208"/>
        <v>89.699999999999989</v>
      </c>
      <c r="BY146" s="545">
        <f t="shared" si="208"/>
        <v>89.1</v>
      </c>
      <c r="BZ146" s="558">
        <f t="shared" si="208"/>
        <v>93.2</v>
      </c>
      <c r="CA146" s="546">
        <f t="shared" si="208"/>
        <v>350.59999999999997</v>
      </c>
      <c r="CB146" s="545">
        <f t="shared" si="208"/>
        <v>82.4</v>
      </c>
      <c r="CC146" s="545">
        <f t="shared" si="208"/>
        <v>96.5</v>
      </c>
      <c r="CD146" s="545">
        <f t="shared" si="208"/>
        <v>96.5</v>
      </c>
      <c r="CE146" s="558">
        <f t="shared" si="208"/>
        <v>103.5</v>
      </c>
      <c r="CF146" s="546">
        <f t="shared" ref="CF146:CS146" si="209">+CF144+CF145</f>
        <v>378.9</v>
      </c>
      <c r="CG146" s="545">
        <f t="shared" si="209"/>
        <v>102.8</v>
      </c>
      <c r="CH146" s="545">
        <f t="shared" si="209"/>
        <v>115.1</v>
      </c>
      <c r="CI146" s="545">
        <f t="shared" si="209"/>
        <v>109.89999999999999</v>
      </c>
      <c r="CJ146" s="558">
        <f t="shared" si="209"/>
        <v>97.4</v>
      </c>
      <c r="CK146" s="546">
        <f t="shared" si="209"/>
        <v>425.19999999999993</v>
      </c>
      <c r="CL146" s="545">
        <f t="shared" si="209"/>
        <v>80.400000000000006</v>
      </c>
      <c r="CM146" s="545">
        <f t="shared" si="209"/>
        <v>14.510415200000004</v>
      </c>
      <c r="CN146" s="545">
        <f t="shared" si="209"/>
        <v>33.653119800000006</v>
      </c>
      <c r="CO146" s="558">
        <f t="shared" si="209"/>
        <v>50.117176200000003</v>
      </c>
      <c r="CP146" s="546">
        <f t="shared" si="209"/>
        <v>178.68071120000002</v>
      </c>
      <c r="CQ146" s="546">
        <f t="shared" si="209"/>
        <v>211.96823851299996</v>
      </c>
      <c r="CR146" s="546">
        <f t="shared" si="209"/>
        <v>253.221567195332</v>
      </c>
      <c r="CS146" s="546">
        <f t="shared" si="209"/>
        <v>304.21782490909698</v>
      </c>
    </row>
    <row r="147" spans="2:97">
      <c r="B147" s="532"/>
      <c r="C147" s="547"/>
      <c r="D147" s="547"/>
      <c r="E147" s="547"/>
      <c r="F147" s="547"/>
      <c r="G147" s="547"/>
      <c r="H147" s="547"/>
      <c r="I147" s="547"/>
      <c r="J147" s="548"/>
      <c r="K147" s="548"/>
      <c r="L147" s="548"/>
      <c r="M147" s="548"/>
      <c r="N147" s="547"/>
      <c r="O147" s="548"/>
      <c r="P147" s="548"/>
      <c r="Q147" s="548"/>
      <c r="R147" s="548"/>
      <c r="S147" s="547"/>
      <c r="T147" s="548"/>
      <c r="U147" s="548"/>
      <c r="V147" s="548"/>
      <c r="W147" s="548"/>
      <c r="X147" s="547"/>
      <c r="Y147" s="548"/>
      <c r="Z147" s="548"/>
      <c r="AA147" s="548"/>
      <c r="AB147" s="548"/>
      <c r="AC147" s="547"/>
      <c r="AD147" s="559"/>
      <c r="AE147" s="560"/>
      <c r="AF147" s="560"/>
      <c r="AG147" s="548"/>
      <c r="AH147" s="547"/>
      <c r="AI147" s="559"/>
      <c r="AJ147" s="560"/>
      <c r="AK147" s="560"/>
      <c r="AL147" s="548"/>
      <c r="AM147" s="547"/>
      <c r="AN147" s="559"/>
      <c r="AO147" s="560"/>
      <c r="AP147" s="560"/>
      <c r="AQ147" s="548"/>
      <c r="AR147" s="547"/>
      <c r="AS147" s="559"/>
      <c r="AT147" s="560"/>
      <c r="AU147" s="560"/>
      <c r="AV147" s="548"/>
      <c r="AW147" s="547"/>
      <c r="AX147" s="559"/>
      <c r="AY147" s="560"/>
      <c r="AZ147" s="560"/>
      <c r="BA147" s="548"/>
      <c r="BB147" s="547"/>
      <c r="BC147" s="559"/>
      <c r="BD147" s="560"/>
      <c r="BE147" s="560"/>
      <c r="BF147" s="548"/>
      <c r="BG147" s="547"/>
      <c r="BH147" s="559"/>
      <c r="BI147" s="560"/>
      <c r="BJ147" s="560"/>
      <c r="BK147" s="548"/>
      <c r="BL147" s="547"/>
      <c r="BM147" s="559"/>
      <c r="BN147" s="560"/>
      <c r="BO147" s="560"/>
      <c r="BP147" s="548"/>
      <c r="BQ147" s="547"/>
      <c r="BR147" s="560"/>
      <c r="BS147" s="548"/>
      <c r="BT147" s="560"/>
      <c r="BU147" s="548"/>
      <c r="BV147" s="547"/>
      <c r="BW147" s="560"/>
      <c r="BX147" s="548"/>
      <c r="BY147" s="560"/>
      <c r="BZ147" s="548"/>
      <c r="CA147" s="547"/>
      <c r="CB147" s="560"/>
      <c r="CC147" s="548"/>
      <c r="CD147" s="560"/>
      <c r="CE147" s="548"/>
      <c r="CF147" s="547"/>
      <c r="CG147" s="560"/>
      <c r="CH147" s="548"/>
      <c r="CI147" s="560"/>
      <c r="CJ147" s="548"/>
      <c r="CK147" s="547"/>
      <c r="CL147" s="560"/>
      <c r="CM147" s="548"/>
      <c r="CN147" s="560"/>
      <c r="CO147" s="548"/>
      <c r="CP147" s="547"/>
      <c r="CQ147" s="547"/>
      <c r="CR147" s="547"/>
      <c r="CS147" s="547"/>
    </row>
    <row r="148" spans="2:97">
      <c r="B148" s="561" t="s">
        <v>373</v>
      </c>
      <c r="C148" s="547"/>
      <c r="D148" s="547"/>
      <c r="E148" s="547"/>
      <c r="F148" s="547"/>
      <c r="G148" s="547"/>
      <c r="H148" s="547"/>
      <c r="I148" s="547"/>
      <c r="J148" s="548"/>
      <c r="K148" s="548"/>
      <c r="L148" s="548"/>
      <c r="M148" s="548"/>
      <c r="N148" s="547"/>
      <c r="O148" s="548"/>
      <c r="P148" s="548"/>
      <c r="Q148" s="548"/>
      <c r="R148" s="548"/>
      <c r="S148" s="547"/>
      <c r="T148" s="548"/>
      <c r="U148" s="548"/>
      <c r="V148" s="548"/>
      <c r="W148" s="548"/>
      <c r="X148" s="547"/>
      <c r="Y148" s="548"/>
      <c r="Z148" s="548"/>
      <c r="AA148" s="548"/>
      <c r="AB148" s="548"/>
      <c r="AC148" s="547"/>
      <c r="AD148" s="559"/>
      <c r="AE148" s="560"/>
      <c r="AF148" s="560"/>
      <c r="AG148" s="548"/>
      <c r="AH148" s="547"/>
      <c r="AI148" s="559"/>
      <c r="AJ148" s="560"/>
      <c r="AK148" s="560"/>
      <c r="AL148" s="548"/>
      <c r="AM148" s="547"/>
      <c r="AN148" s="559"/>
      <c r="AO148" s="560"/>
      <c r="AP148" s="560"/>
      <c r="AQ148" s="548"/>
      <c r="AR148" s="562"/>
      <c r="AS148" s="559"/>
      <c r="AT148" s="560"/>
      <c r="AU148" s="560"/>
      <c r="AV148" s="548"/>
      <c r="AW148" s="562"/>
      <c r="AX148" s="559"/>
      <c r="AY148" s="560"/>
      <c r="AZ148" s="560"/>
      <c r="BA148" s="548"/>
      <c r="BB148" s="547"/>
      <c r="BC148" s="559"/>
      <c r="BD148" s="560"/>
      <c r="BE148" s="560"/>
      <c r="BF148" s="548"/>
      <c r="BG148" s="547"/>
      <c r="BH148" s="559"/>
      <c r="BI148" s="560"/>
      <c r="BJ148" s="560"/>
      <c r="BK148" s="548"/>
      <c r="BL148" s="547"/>
      <c r="BM148" s="559"/>
      <c r="BN148" s="560"/>
      <c r="BO148" s="560"/>
      <c r="BP148" s="548"/>
      <c r="BQ148" s="547"/>
      <c r="BR148" s="560"/>
      <c r="BS148" s="548"/>
      <c r="BT148" s="560"/>
      <c r="BU148" s="548"/>
      <c r="BV148" s="547"/>
      <c r="BW148" s="560"/>
      <c r="BX148" s="548"/>
      <c r="BY148" s="560"/>
      <c r="BZ148" s="548"/>
      <c r="CA148" s="547"/>
      <c r="CB148" s="560"/>
      <c r="CC148" s="548"/>
      <c r="CD148" s="560"/>
      <c r="CE148" s="548"/>
      <c r="CF148" s="547"/>
      <c r="CG148" s="560"/>
      <c r="CH148" s="548"/>
      <c r="CI148" s="560"/>
      <c r="CJ148" s="548"/>
      <c r="CK148" s="547"/>
      <c r="CL148" s="560"/>
      <c r="CM148" s="548"/>
      <c r="CN148" s="560"/>
      <c r="CO148" s="548"/>
      <c r="CP148" s="547"/>
      <c r="CQ148" s="547"/>
      <c r="CR148" s="547"/>
      <c r="CS148" s="547"/>
    </row>
    <row r="149" spans="2:97">
      <c r="B149" s="532" t="s">
        <v>90</v>
      </c>
      <c r="C149" s="563" t="str">
        <f t="shared" ref="C149:AH149" si="210">IF(ISERROR(C142/C13),"",(C142/C13))</f>
        <v/>
      </c>
      <c r="D149" s="563" t="str">
        <f t="shared" si="210"/>
        <v/>
      </c>
      <c r="E149" s="563" t="str">
        <f t="shared" si="210"/>
        <v/>
      </c>
      <c r="F149" s="563" t="str">
        <f t="shared" si="210"/>
        <v/>
      </c>
      <c r="G149" s="563" t="str">
        <f t="shared" si="210"/>
        <v/>
      </c>
      <c r="H149" s="563" t="str">
        <f t="shared" si="210"/>
        <v/>
      </c>
      <c r="I149" s="563" t="str">
        <f t="shared" si="210"/>
        <v/>
      </c>
      <c r="J149" s="564" t="str">
        <f t="shared" si="210"/>
        <v/>
      </c>
      <c r="K149" s="564" t="str">
        <f t="shared" si="210"/>
        <v/>
      </c>
      <c r="L149" s="564" t="str">
        <f t="shared" si="210"/>
        <v/>
      </c>
      <c r="M149" s="564" t="str">
        <f t="shared" si="210"/>
        <v/>
      </c>
      <c r="N149" s="563" t="str">
        <f t="shared" si="210"/>
        <v/>
      </c>
      <c r="O149" s="564" t="str">
        <f t="shared" si="210"/>
        <v/>
      </c>
      <c r="P149" s="564" t="str">
        <f t="shared" si="210"/>
        <v/>
      </c>
      <c r="Q149" s="564" t="str">
        <f t="shared" si="210"/>
        <v/>
      </c>
      <c r="R149" s="564" t="str">
        <f t="shared" si="210"/>
        <v/>
      </c>
      <c r="S149" s="563" t="str">
        <f t="shared" si="210"/>
        <v/>
      </c>
      <c r="T149" s="564">
        <f t="shared" si="210"/>
        <v>0.17899291896144764</v>
      </c>
      <c r="U149" s="564">
        <f t="shared" si="210"/>
        <v>0.14920774647887325</v>
      </c>
      <c r="V149" s="564">
        <f t="shared" si="210"/>
        <v>0.14467253176930597</v>
      </c>
      <c r="W149" s="564">
        <f t="shared" si="210"/>
        <v>0.132082844861274</v>
      </c>
      <c r="X149" s="563">
        <f t="shared" si="210"/>
        <v>0.15160845100329123</v>
      </c>
      <c r="Y149" s="564">
        <f t="shared" si="210"/>
        <v>0.15375</v>
      </c>
      <c r="Z149" s="564">
        <f t="shared" si="210"/>
        <v>0.15896795672076572</v>
      </c>
      <c r="AA149" s="564">
        <f t="shared" si="210"/>
        <v>0.14637305699481865</v>
      </c>
      <c r="AB149" s="564">
        <f t="shared" si="210"/>
        <v>0.12803030303030308</v>
      </c>
      <c r="AC149" s="563">
        <f t="shared" si="210"/>
        <v>0.14632646787580697</v>
      </c>
      <c r="AD149" s="565">
        <f t="shared" si="210"/>
        <v>0.15368639667705089</v>
      </c>
      <c r="AE149" s="566">
        <f t="shared" si="210"/>
        <v>0.13089350478074513</v>
      </c>
      <c r="AF149" s="566">
        <f t="shared" si="210"/>
        <v>0.14074874010079194</v>
      </c>
      <c r="AG149" s="567">
        <f t="shared" si="210"/>
        <v>0.14506927465362676</v>
      </c>
      <c r="AH149" s="563">
        <f t="shared" si="210"/>
        <v>0.14237045006275775</v>
      </c>
      <c r="AI149" s="565">
        <f t="shared" ref="AI149:BN149" si="211">IF(ISERROR(AI142/AI13),"",(AI142/AI13))</f>
        <v>0.17751479289940827</v>
      </c>
      <c r="AJ149" s="566">
        <f t="shared" si="211"/>
        <v>0.13760217983651227</v>
      </c>
      <c r="AK149" s="566">
        <f t="shared" si="211"/>
        <v>0.10297029702970298</v>
      </c>
      <c r="AL149" s="567">
        <f t="shared" si="211"/>
        <v>7.3522345026429611E-2</v>
      </c>
      <c r="AM149" s="563">
        <f t="shared" si="211"/>
        <v>0.12604661688164742</v>
      </c>
      <c r="AN149" s="565">
        <f t="shared" si="211"/>
        <v>0.14620162446249402</v>
      </c>
      <c r="AO149" s="566">
        <f t="shared" si="211"/>
        <v>0.17092651757188496</v>
      </c>
      <c r="AP149" s="566">
        <f t="shared" si="211"/>
        <v>0.1463310580204778</v>
      </c>
      <c r="AQ149" s="567">
        <f t="shared" si="211"/>
        <v>0.12806101967081487</v>
      </c>
      <c r="AR149" s="563">
        <f t="shared" si="211"/>
        <v>0.14800678541136555</v>
      </c>
      <c r="AS149" s="565">
        <f t="shared" si="211"/>
        <v>0.1843079200592154</v>
      </c>
      <c r="AT149" s="566">
        <f t="shared" si="211"/>
        <v>0.16683866529067767</v>
      </c>
      <c r="AU149" s="566">
        <f t="shared" si="211"/>
        <v>0.16281588447653431</v>
      </c>
      <c r="AV149" s="567">
        <f t="shared" si="211"/>
        <v>0.17596418732782371</v>
      </c>
      <c r="AW149" s="563">
        <f t="shared" si="211"/>
        <v>0.17238323141008599</v>
      </c>
      <c r="AX149" s="565">
        <f t="shared" si="211"/>
        <v>0.1981330924420355</v>
      </c>
      <c r="AY149" s="566">
        <f t="shared" si="211"/>
        <v>0.21531966224366708</v>
      </c>
      <c r="AZ149" s="566">
        <f t="shared" si="211"/>
        <v>0.18158649251353937</v>
      </c>
      <c r="BA149" s="567">
        <f t="shared" si="211"/>
        <v>0.1728474685585295</v>
      </c>
      <c r="BB149" s="563">
        <f t="shared" si="211"/>
        <v>0.19243612642696281</v>
      </c>
      <c r="BC149" s="565">
        <f t="shared" si="211"/>
        <v>0.19882869692532945</v>
      </c>
      <c r="BD149" s="566">
        <f t="shared" si="211"/>
        <v>0.20776189086664723</v>
      </c>
      <c r="BE149" s="566">
        <f t="shared" si="211"/>
        <v>0.20837124658780712</v>
      </c>
      <c r="BF149" s="567">
        <f t="shared" si="211"/>
        <v>0.20087976539589442</v>
      </c>
      <c r="BG149" s="563">
        <f t="shared" si="211"/>
        <v>0.20392648903978153</v>
      </c>
      <c r="BH149" s="565">
        <f t="shared" si="211"/>
        <v>0.20250800426894344</v>
      </c>
      <c r="BI149" s="566">
        <f t="shared" si="211"/>
        <v>0.21011058451816744</v>
      </c>
      <c r="BJ149" s="566">
        <f t="shared" si="211"/>
        <v>0.20706930141942667</v>
      </c>
      <c r="BK149" s="567">
        <f t="shared" si="211"/>
        <v>0.21059673534921061</v>
      </c>
      <c r="BL149" s="563">
        <f t="shared" si="211"/>
        <v>0.20758268351707448</v>
      </c>
      <c r="BM149" s="565">
        <f t="shared" si="211"/>
        <v>0.23001547189272825</v>
      </c>
      <c r="BN149" s="566">
        <f t="shared" si="211"/>
        <v>0.23182511438739198</v>
      </c>
      <c r="BO149" s="566">
        <f t="shared" ref="BO149:CS149" si="212">IF(ISERROR(BO142/BO13),"",(BO142/BO13))</f>
        <v>0.20396366639141206</v>
      </c>
      <c r="BP149" s="567">
        <f t="shared" si="212"/>
        <v>0.2124284971398856</v>
      </c>
      <c r="BQ149" s="563">
        <f t="shared" si="212"/>
        <v>0.21986789614806096</v>
      </c>
      <c r="BR149" s="566">
        <f t="shared" si="212"/>
        <v>0.21937666102923412</v>
      </c>
      <c r="BS149" s="566">
        <f t="shared" si="212"/>
        <v>0.22872579918955424</v>
      </c>
      <c r="BT149" s="566">
        <f t="shared" si="212"/>
        <v>0.2142857142857143</v>
      </c>
      <c r="BU149" s="567">
        <f t="shared" si="212"/>
        <v>0.21500863984201429</v>
      </c>
      <c r="BV149" s="563">
        <f t="shared" si="212"/>
        <v>0.21953981878874582</v>
      </c>
      <c r="BW149" s="566">
        <f t="shared" si="212"/>
        <v>0.20242214532871972</v>
      </c>
      <c r="BX149" s="566">
        <f t="shared" si="212"/>
        <v>0.22332686711930164</v>
      </c>
      <c r="BY149" s="566">
        <f t="shared" si="212"/>
        <v>0.21671081146159402</v>
      </c>
      <c r="BZ149" s="567">
        <f t="shared" si="212"/>
        <v>0.22268907563025211</v>
      </c>
      <c r="CA149" s="563">
        <f t="shared" si="212"/>
        <v>0.21641476485819233</v>
      </c>
      <c r="CB149" s="566">
        <f t="shared" si="212"/>
        <v>0.19620526088831391</v>
      </c>
      <c r="CC149" s="566">
        <f t="shared" si="212"/>
        <v>0.19974254451834367</v>
      </c>
      <c r="CD149" s="566">
        <f t="shared" si="212"/>
        <v>0.20555555555555555</v>
      </c>
      <c r="CE149" s="567">
        <f t="shared" si="212"/>
        <v>0.20894239036973347</v>
      </c>
      <c r="CF149" s="563">
        <f t="shared" si="212"/>
        <v>0.20259064549346917</v>
      </c>
      <c r="CG149" s="566">
        <f t="shared" si="212"/>
        <v>0.22193726573288619</v>
      </c>
      <c r="CH149" s="566">
        <f t="shared" si="212"/>
        <v>0.2211671612265084</v>
      </c>
      <c r="CI149" s="566">
        <f t="shared" si="212"/>
        <v>0.2123912582219393</v>
      </c>
      <c r="CJ149" s="567">
        <f t="shared" si="212"/>
        <v>0.18777009507346587</v>
      </c>
      <c r="CK149" s="563">
        <f t="shared" si="212"/>
        <v>0.21130233752889799</v>
      </c>
      <c r="CL149" s="566">
        <f t="shared" si="212"/>
        <v>0.19749622274983811</v>
      </c>
      <c r="CM149" s="566">
        <f t="shared" si="212"/>
        <v>0.08</v>
      </c>
      <c r="CN149" s="566">
        <f t="shared" si="212"/>
        <v>0.13</v>
      </c>
      <c r="CO149" s="567">
        <f t="shared" si="212"/>
        <v>0.15</v>
      </c>
      <c r="CP149" s="563">
        <f t="shared" si="212"/>
        <v>0.14800299821042198</v>
      </c>
      <c r="CQ149" s="563">
        <f t="shared" si="212"/>
        <v>0.155</v>
      </c>
      <c r="CR149" s="563">
        <f t="shared" si="212"/>
        <v>0.16299999999999998</v>
      </c>
      <c r="CS149" s="563">
        <f t="shared" si="212"/>
        <v>0.17199999999999999</v>
      </c>
    </row>
    <row r="150" spans="2:97">
      <c r="B150" s="532" t="s">
        <v>91</v>
      </c>
      <c r="C150" s="563" t="str">
        <f t="shared" ref="C150:AH150" si="213">IF(ISERROR(C143/C19),"",(C143/C19))</f>
        <v/>
      </c>
      <c r="D150" s="563" t="str">
        <f t="shared" si="213"/>
        <v/>
      </c>
      <c r="E150" s="563" t="str">
        <f t="shared" si="213"/>
        <v/>
      </c>
      <c r="F150" s="563" t="str">
        <f t="shared" si="213"/>
        <v/>
      </c>
      <c r="G150" s="563" t="str">
        <f t="shared" si="213"/>
        <v/>
      </c>
      <c r="H150" s="563" t="str">
        <f t="shared" si="213"/>
        <v/>
      </c>
      <c r="I150" s="563" t="str">
        <f t="shared" si="213"/>
        <v/>
      </c>
      <c r="J150" s="564" t="str">
        <f t="shared" si="213"/>
        <v/>
      </c>
      <c r="K150" s="564" t="str">
        <f t="shared" si="213"/>
        <v/>
      </c>
      <c r="L150" s="564" t="str">
        <f t="shared" si="213"/>
        <v/>
      </c>
      <c r="M150" s="564" t="str">
        <f t="shared" si="213"/>
        <v/>
      </c>
      <c r="N150" s="563" t="str">
        <f t="shared" si="213"/>
        <v/>
      </c>
      <c r="O150" s="564" t="str">
        <f t="shared" si="213"/>
        <v/>
      </c>
      <c r="P150" s="564" t="str">
        <f t="shared" si="213"/>
        <v/>
      </c>
      <c r="Q150" s="564" t="str">
        <f t="shared" si="213"/>
        <v/>
      </c>
      <c r="R150" s="564" t="str">
        <f t="shared" si="213"/>
        <v/>
      </c>
      <c r="S150" s="563" t="str">
        <f t="shared" si="213"/>
        <v/>
      </c>
      <c r="T150" s="564">
        <f t="shared" si="213"/>
        <v>5.6241426611796951E-2</v>
      </c>
      <c r="U150" s="564">
        <f t="shared" si="213"/>
        <v>0.13034188034188035</v>
      </c>
      <c r="V150" s="564">
        <f t="shared" si="213"/>
        <v>9.853249475890985E-2</v>
      </c>
      <c r="W150" s="564">
        <f t="shared" si="213"/>
        <v>0.10355987055016184</v>
      </c>
      <c r="X150" s="563">
        <f t="shared" si="213"/>
        <v>9.2931937172774856E-2</v>
      </c>
      <c r="Y150" s="564">
        <f t="shared" si="213"/>
        <v>9.2105263157894732E-2</v>
      </c>
      <c r="Z150" s="564">
        <f t="shared" si="213"/>
        <v>8.673469387755102E-2</v>
      </c>
      <c r="AA150" s="564">
        <f t="shared" si="213"/>
        <v>8.5217391304347828E-2</v>
      </c>
      <c r="AB150" s="564">
        <f t="shared" si="213"/>
        <v>0.10289389067524118</v>
      </c>
      <c r="AC150" s="563">
        <f t="shared" si="213"/>
        <v>9.1929218817436348E-2</v>
      </c>
      <c r="AD150" s="565">
        <f t="shared" si="213"/>
        <v>0.11958146487294469</v>
      </c>
      <c r="AE150" s="566">
        <f t="shared" si="213"/>
        <v>0.11940298507462686</v>
      </c>
      <c r="AF150" s="566">
        <f t="shared" si="213"/>
        <v>0.10191082802547771</v>
      </c>
      <c r="AG150" s="567">
        <f t="shared" si="213"/>
        <v>8.2551594746716722E-2</v>
      </c>
      <c r="AH150" s="563">
        <f t="shared" si="213"/>
        <v>0.1072</v>
      </c>
      <c r="AI150" s="565">
        <f t="shared" ref="AI150:BN150" si="214">IF(ISERROR(AI143/AI19),"",(AI143/AI19))</f>
        <v>0.1399046104928458</v>
      </c>
      <c r="AJ150" s="566">
        <f t="shared" si="214"/>
        <v>0.15590551181102363</v>
      </c>
      <c r="AK150" s="566">
        <f t="shared" si="214"/>
        <v>0.12703583061889251</v>
      </c>
      <c r="AL150" s="567">
        <f t="shared" si="214"/>
        <v>0.15</v>
      </c>
      <c r="AM150" s="563">
        <f t="shared" si="214"/>
        <v>0.14336775218427322</v>
      </c>
      <c r="AN150" s="565">
        <f t="shared" si="214"/>
        <v>0.18210862619808307</v>
      </c>
      <c r="AO150" s="566">
        <f t="shared" si="214"/>
        <v>0.16090225563909774</v>
      </c>
      <c r="AP150" s="566">
        <f t="shared" si="214"/>
        <v>0.17024320457796852</v>
      </c>
      <c r="AQ150" s="567">
        <f t="shared" si="214"/>
        <v>0.16548797736916557</v>
      </c>
      <c r="AR150" s="563">
        <f t="shared" si="214"/>
        <v>0.16944753429736747</v>
      </c>
      <c r="AS150" s="565">
        <f t="shared" si="214"/>
        <v>0.16534391534391535</v>
      </c>
      <c r="AT150" s="566">
        <f t="shared" si="214"/>
        <v>0.15434500648508429</v>
      </c>
      <c r="AU150" s="566">
        <f t="shared" si="214"/>
        <v>0.1806020066889632</v>
      </c>
      <c r="AV150" s="567">
        <f t="shared" si="214"/>
        <v>0.14267185473411156</v>
      </c>
      <c r="AW150" s="563">
        <f t="shared" si="214"/>
        <v>0.16150234741784036</v>
      </c>
      <c r="AX150" s="565">
        <f t="shared" si="214"/>
        <v>0.14047619047619048</v>
      </c>
      <c r="AY150" s="566">
        <f t="shared" si="214"/>
        <v>0.14147521160822249</v>
      </c>
      <c r="AZ150" s="566">
        <f t="shared" si="214"/>
        <v>0.16090712742980562</v>
      </c>
      <c r="BA150" s="567">
        <f t="shared" si="214"/>
        <v>0.13555555555555554</v>
      </c>
      <c r="BB150" s="563">
        <f t="shared" si="214"/>
        <v>0.14486115087317492</v>
      </c>
      <c r="BC150" s="565">
        <f t="shared" si="214"/>
        <v>0.14517876489707476</v>
      </c>
      <c r="BD150" s="566">
        <f t="shared" si="214"/>
        <v>0.15345528455284552</v>
      </c>
      <c r="BE150" s="566">
        <f t="shared" si="214"/>
        <v>0.14929859719438879</v>
      </c>
      <c r="BF150" s="567">
        <f t="shared" si="214"/>
        <v>0.1510721247563353</v>
      </c>
      <c r="BG150" s="563">
        <f t="shared" si="214"/>
        <v>0.149834647672348</v>
      </c>
      <c r="BH150" s="565">
        <f t="shared" si="214"/>
        <v>0.15545023696682464</v>
      </c>
      <c r="BI150" s="566">
        <f t="shared" si="214"/>
        <v>0.16146788990825689</v>
      </c>
      <c r="BJ150" s="566">
        <f t="shared" si="214"/>
        <v>0.15265082266910418</v>
      </c>
      <c r="BK150" s="567">
        <f t="shared" si="214"/>
        <v>0.1448888888888889</v>
      </c>
      <c r="BL150" s="563">
        <f t="shared" si="214"/>
        <v>0.15352887259395051</v>
      </c>
      <c r="BM150" s="565">
        <f t="shared" si="214"/>
        <v>0.14066985645933014</v>
      </c>
      <c r="BN150" s="566">
        <f t="shared" si="214"/>
        <v>0.14090019569471623</v>
      </c>
      <c r="BO150" s="566">
        <f t="shared" ref="BO150:CS150" si="215">IF(ISERROR(BO143/BO19),"",(BO143/BO19))</f>
        <v>0.14003944773175542</v>
      </c>
      <c r="BP150" s="567">
        <f t="shared" si="215"/>
        <v>0.12147716229348882</v>
      </c>
      <c r="BQ150" s="563">
        <f t="shared" si="215"/>
        <v>0.13576642335766423</v>
      </c>
      <c r="BR150" s="566">
        <f t="shared" si="215"/>
        <v>0.12070657507360157</v>
      </c>
      <c r="BS150" s="566">
        <f t="shared" si="215"/>
        <v>0.12024665981500514</v>
      </c>
      <c r="BT150" s="566">
        <f t="shared" si="215"/>
        <v>0.12609970674486803</v>
      </c>
      <c r="BU150" s="567">
        <f t="shared" si="215"/>
        <v>0.14208826695371365</v>
      </c>
      <c r="BV150" s="563">
        <f t="shared" si="215"/>
        <v>0.12702839756592291</v>
      </c>
      <c r="BW150" s="566">
        <f t="shared" si="215"/>
        <v>0.14238773274917854</v>
      </c>
      <c r="BX150" s="566">
        <f t="shared" si="215"/>
        <v>0.12872340425531914</v>
      </c>
      <c r="BY150" s="566">
        <f t="shared" si="215"/>
        <v>0.13066954643628509</v>
      </c>
      <c r="BZ150" s="567">
        <f t="shared" si="215"/>
        <v>0.11651469098277609</v>
      </c>
      <c r="CA150" s="563">
        <f t="shared" si="215"/>
        <v>0.1293149229952204</v>
      </c>
      <c r="CB150" s="566">
        <f t="shared" si="215"/>
        <v>0.10366492146596859</v>
      </c>
      <c r="CC150" s="566">
        <f t="shared" si="215"/>
        <v>0.15634218289085547</v>
      </c>
      <c r="CD150" s="566">
        <f t="shared" si="215"/>
        <v>0.14391829155060351</v>
      </c>
      <c r="CE150" s="567">
        <f t="shared" si="215"/>
        <v>8.1722319859402467E-2</v>
      </c>
      <c r="CF150" s="563">
        <f t="shared" si="215"/>
        <v>0.12085025077621207</v>
      </c>
      <c r="CG150" s="566">
        <f t="shared" si="215"/>
        <v>0.12101390024529846</v>
      </c>
      <c r="CH150" s="566">
        <f t="shared" si="215"/>
        <v>0.13040000000000002</v>
      </c>
      <c r="CI150" s="566">
        <f t="shared" si="215"/>
        <v>0.16305220883534138</v>
      </c>
      <c r="CJ150" s="567">
        <f t="shared" si="215"/>
        <v>0.16940789473684212</v>
      </c>
      <c r="CK150" s="563">
        <f t="shared" si="215"/>
        <v>0.1459262261856506</v>
      </c>
      <c r="CL150" s="566">
        <f t="shared" si="215"/>
        <v>6.3106796116504854E-2</v>
      </c>
      <c r="CM150" s="566">
        <f t="shared" si="215"/>
        <v>0.04</v>
      </c>
      <c r="CN150" s="566">
        <f t="shared" si="215"/>
        <v>0.06</v>
      </c>
      <c r="CO150" s="567">
        <f t="shared" si="215"/>
        <v>0.08</v>
      </c>
      <c r="CP150" s="563">
        <f t="shared" si="215"/>
        <v>6.2724675185147238E-2</v>
      </c>
      <c r="CQ150" s="563">
        <f t="shared" si="215"/>
        <v>0.1</v>
      </c>
      <c r="CR150" s="563">
        <f t="shared" si="215"/>
        <v>0.11600000000000001</v>
      </c>
      <c r="CS150" s="563">
        <f t="shared" si="215"/>
        <v>0.127</v>
      </c>
    </row>
    <row r="151" spans="2:97">
      <c r="B151" s="553" t="s">
        <v>272</v>
      </c>
      <c r="C151" s="568"/>
      <c r="D151" s="568"/>
      <c r="E151" s="568"/>
      <c r="F151" s="568"/>
      <c r="G151" s="568"/>
      <c r="H151" s="568"/>
      <c r="I151" s="568"/>
      <c r="J151" s="569"/>
      <c r="K151" s="569"/>
      <c r="L151" s="569"/>
      <c r="M151" s="569"/>
      <c r="N151" s="568"/>
      <c r="O151" s="569"/>
      <c r="P151" s="569"/>
      <c r="Q151" s="569"/>
      <c r="R151" s="569"/>
      <c r="S151" s="568"/>
      <c r="T151" s="569">
        <f t="shared" ref="T151:AY151" si="216">(T142+T143)/(T13+T19)</f>
        <v>0.15163558544787523</v>
      </c>
      <c r="U151" s="569">
        <f t="shared" si="216"/>
        <v>0.145985401459854</v>
      </c>
      <c r="V151" s="569">
        <f t="shared" si="216"/>
        <v>0.13594926674593738</v>
      </c>
      <c r="W151" s="569">
        <f t="shared" si="216"/>
        <v>0.1265344664778093</v>
      </c>
      <c r="X151" s="568">
        <f t="shared" si="216"/>
        <v>0.14012466911450777</v>
      </c>
      <c r="Y151" s="569">
        <f t="shared" si="216"/>
        <v>0.14256480218281037</v>
      </c>
      <c r="Z151" s="569">
        <f t="shared" si="216"/>
        <v>0.14476763624205952</v>
      </c>
      <c r="AA151" s="569">
        <f t="shared" si="216"/>
        <v>0.13420961604980974</v>
      </c>
      <c r="AB151" s="569">
        <f t="shared" si="216"/>
        <v>0.12323727774371555</v>
      </c>
      <c r="AC151" s="568">
        <f t="shared" si="216"/>
        <v>0.1358893673401789</v>
      </c>
      <c r="AD151" s="570">
        <f t="shared" si="216"/>
        <v>0.14727374929735809</v>
      </c>
      <c r="AE151" s="569">
        <f t="shared" si="216"/>
        <v>0.12881447475020255</v>
      </c>
      <c r="AF151" s="569">
        <f t="shared" si="216"/>
        <v>0.13358778625954199</v>
      </c>
      <c r="AG151" s="571">
        <f t="shared" si="216"/>
        <v>0.13391362571141618</v>
      </c>
      <c r="AH151" s="568">
        <f t="shared" si="216"/>
        <v>0.13593086275084226</v>
      </c>
      <c r="AI151" s="570">
        <f t="shared" si="216"/>
        <v>0.17003792667509482</v>
      </c>
      <c r="AJ151" s="569">
        <f t="shared" si="216"/>
        <v>0.14169897779344379</v>
      </c>
      <c r="AK151" s="569">
        <f t="shared" si="216"/>
        <v>0.108580106302202</v>
      </c>
      <c r="AL151" s="571">
        <f t="shared" si="216"/>
        <v>9.1510474090407926E-2</v>
      </c>
      <c r="AM151" s="568">
        <f t="shared" si="216"/>
        <v>0.12988728425501936</v>
      </c>
      <c r="AN151" s="570">
        <f t="shared" si="216"/>
        <v>0.1544685546156675</v>
      </c>
      <c r="AO151" s="569">
        <f t="shared" si="216"/>
        <v>0.16882297254654466</v>
      </c>
      <c r="AP151" s="569">
        <f t="shared" si="216"/>
        <v>0.15182385803483403</v>
      </c>
      <c r="AQ151" s="571">
        <f t="shared" si="216"/>
        <v>0.13633520950594119</v>
      </c>
      <c r="AR151" s="568">
        <f t="shared" si="216"/>
        <v>0.15277434248495342</v>
      </c>
      <c r="AS151" s="570">
        <f t="shared" si="216"/>
        <v>0.18016194331983806</v>
      </c>
      <c r="AT151" s="569">
        <f t="shared" si="216"/>
        <v>0.16421968461120173</v>
      </c>
      <c r="AU151" s="569">
        <f t="shared" si="216"/>
        <v>0.16716662121625306</v>
      </c>
      <c r="AV151" s="571">
        <f t="shared" si="216"/>
        <v>0.16897959183673469</v>
      </c>
      <c r="AW151" s="568">
        <f t="shared" si="216"/>
        <v>0.1699820417184694</v>
      </c>
      <c r="AX151" s="570">
        <f t="shared" si="216"/>
        <v>0.18649363133862051</v>
      </c>
      <c r="AY151" s="569">
        <f t="shared" si="216"/>
        <v>0.20057929036929761</v>
      </c>
      <c r="AZ151" s="569">
        <f t="shared" ref="AZ151:CE151" si="217">(AZ142+AZ143)/(AZ13+AZ19)</f>
        <v>0.1768757687576876</v>
      </c>
      <c r="BA151" s="571">
        <f t="shared" si="217"/>
        <v>0.1644588852786803</v>
      </c>
      <c r="BB151" s="568">
        <f t="shared" si="217"/>
        <v>0.18228466707391569</v>
      </c>
      <c r="BC151" s="570">
        <f t="shared" si="217"/>
        <v>0.18741355463347167</v>
      </c>
      <c r="BD151" s="569">
        <f t="shared" si="217"/>
        <v>0.19564724552255722</v>
      </c>
      <c r="BE151" s="569">
        <f t="shared" si="217"/>
        <v>0.19464493597206056</v>
      </c>
      <c r="BF151" s="571">
        <f t="shared" si="217"/>
        <v>0.18935978358881875</v>
      </c>
      <c r="BG151" s="568">
        <f t="shared" si="217"/>
        <v>0.19176201372997712</v>
      </c>
      <c r="BH151" s="570">
        <f t="shared" si="217"/>
        <v>0.19217155944201542</v>
      </c>
      <c r="BI151" s="569">
        <f t="shared" si="217"/>
        <v>0.19926350245499183</v>
      </c>
      <c r="BJ151" s="569">
        <f t="shared" si="217"/>
        <v>0.19436739918924686</v>
      </c>
      <c r="BK151" s="571">
        <f t="shared" si="217"/>
        <v>0.19539284245166599</v>
      </c>
      <c r="BL151" s="568">
        <f t="shared" si="217"/>
        <v>0.19532224532224532</v>
      </c>
      <c r="BM151" s="570">
        <f t="shared" si="217"/>
        <v>0.21105017265894782</v>
      </c>
      <c r="BN151" s="569">
        <f t="shared" si="217"/>
        <v>0.21307506053268768</v>
      </c>
      <c r="BO151" s="569">
        <f t="shared" si="217"/>
        <v>0.19001506348181624</v>
      </c>
      <c r="BP151" s="571">
        <f t="shared" si="217"/>
        <v>0.19323076923076923</v>
      </c>
      <c r="BQ151" s="568">
        <f t="shared" si="217"/>
        <v>0.20205144064738931</v>
      </c>
      <c r="BR151" s="569">
        <f t="shared" si="217"/>
        <v>0.19988367584335015</v>
      </c>
      <c r="BS151" s="569">
        <f t="shared" si="217"/>
        <v>0.20923361034164359</v>
      </c>
      <c r="BT151" s="569">
        <f t="shared" si="217"/>
        <v>0.19682601122508228</v>
      </c>
      <c r="BU151" s="571">
        <f t="shared" si="217"/>
        <v>0.20140562248995983</v>
      </c>
      <c r="BV151" s="568">
        <f t="shared" si="217"/>
        <v>0.20193050193050191</v>
      </c>
      <c r="BW151" s="569">
        <f t="shared" si="217"/>
        <v>0.19136922766686831</v>
      </c>
      <c r="BX151" s="569">
        <f t="shared" si="217"/>
        <v>0.20576619273301736</v>
      </c>
      <c r="BY151" s="569">
        <f t="shared" si="217"/>
        <v>0.20102382358732035</v>
      </c>
      <c r="BZ151" s="571">
        <f t="shared" si="217"/>
        <v>0.2028078163536331</v>
      </c>
      <c r="CA151" s="568">
        <f t="shared" si="217"/>
        <v>0.20031414126540029</v>
      </c>
      <c r="CB151" s="569">
        <f t="shared" si="217"/>
        <v>0.18040407652422674</v>
      </c>
      <c r="CC151" s="569">
        <f t="shared" si="217"/>
        <v>0.1919690031701303</v>
      </c>
      <c r="CD151" s="569">
        <f t="shared" si="217"/>
        <v>0.19365250134480902</v>
      </c>
      <c r="CE151" s="571">
        <f t="shared" si="217"/>
        <v>0.18393782383419688</v>
      </c>
      <c r="CF151" s="568">
        <f t="shared" ref="CF151:CS151" si="218">(CF142+CF143)/(CF13+CF19)</f>
        <v>0.18747239155402418</v>
      </c>
      <c r="CG151" s="569">
        <f t="shared" si="218"/>
        <v>0.20232040686586142</v>
      </c>
      <c r="CH151" s="569">
        <f t="shared" si="218"/>
        <v>0.20317208564631245</v>
      </c>
      <c r="CI151" s="569">
        <f t="shared" si="218"/>
        <v>0.20208123531386371</v>
      </c>
      <c r="CJ151" s="571">
        <f t="shared" si="218"/>
        <v>0.18394934976043806</v>
      </c>
      <c r="CK151" s="568">
        <f t="shared" si="218"/>
        <v>0.19808188860199186</v>
      </c>
      <c r="CL151" s="569">
        <f t="shared" si="218"/>
        <v>0.17305315203955501</v>
      </c>
      <c r="CM151" s="569">
        <f t="shared" si="218"/>
        <v>7.3226113011032004E-2</v>
      </c>
      <c r="CN151" s="569">
        <f t="shared" si="218"/>
        <v>0.11782759208924568</v>
      </c>
      <c r="CO151" s="571">
        <f t="shared" si="218"/>
        <v>0.13730492443534925</v>
      </c>
      <c r="CP151" s="568">
        <f t="shared" si="218"/>
        <v>0.13285520503206372</v>
      </c>
      <c r="CQ151" s="568">
        <f t="shared" si="218"/>
        <v>0.14496510004118585</v>
      </c>
      <c r="CR151" s="568">
        <f t="shared" si="218"/>
        <v>0.15433633561077786</v>
      </c>
      <c r="CS151" s="568">
        <f t="shared" si="218"/>
        <v>0.16359414039274311</v>
      </c>
    </row>
    <row r="152" spans="2:97">
      <c r="B152" s="572" t="s">
        <v>174</v>
      </c>
      <c r="C152" s="573"/>
      <c r="D152" s="573"/>
      <c r="E152" s="573"/>
      <c r="F152" s="573"/>
      <c r="G152" s="573"/>
      <c r="H152" s="573"/>
      <c r="I152" s="573"/>
      <c r="J152" s="574"/>
      <c r="K152" s="574"/>
      <c r="L152" s="574"/>
      <c r="M152" s="574"/>
      <c r="N152" s="573"/>
      <c r="O152" s="574"/>
      <c r="P152" s="574"/>
      <c r="Q152" s="574"/>
      <c r="R152" s="574"/>
      <c r="S152" s="573"/>
      <c r="T152" s="574">
        <f t="shared" ref="T152:AY152" si="219">IF(ISERROR(T146/T26),"",(T146/T26))</f>
        <v>0.12703583061889248</v>
      </c>
      <c r="U152" s="574">
        <f t="shared" si="219"/>
        <v>9.8417721518987353E-2</v>
      </c>
      <c r="V152" s="574">
        <f t="shared" si="219"/>
        <v>8.267035627810447E-2</v>
      </c>
      <c r="W152" s="574">
        <f t="shared" si="219"/>
        <v>0.11387900355871888</v>
      </c>
      <c r="X152" s="573">
        <f t="shared" si="219"/>
        <v>0.10560724163942671</v>
      </c>
      <c r="Y152" s="574">
        <f t="shared" si="219"/>
        <v>0.10580325548478416</v>
      </c>
      <c r="Z152" s="574">
        <f t="shared" si="219"/>
        <v>0.11732229123533471</v>
      </c>
      <c r="AA152" s="574">
        <f t="shared" si="219"/>
        <v>0.10743507648523655</v>
      </c>
      <c r="AB152" s="574">
        <f t="shared" si="219"/>
        <v>6.5491183879093293E-2</v>
      </c>
      <c r="AC152" s="573">
        <f t="shared" si="219"/>
        <v>9.8112885321492649E-2</v>
      </c>
      <c r="AD152" s="575">
        <f t="shared" si="219"/>
        <v>0.10566037735849058</v>
      </c>
      <c r="AE152" s="574">
        <f t="shared" si="219"/>
        <v>8.1502086230876222E-2</v>
      </c>
      <c r="AF152" s="574">
        <f t="shared" si="219"/>
        <v>0.10832830416415207</v>
      </c>
      <c r="AG152" s="576">
        <f t="shared" si="219"/>
        <v>0.10120898100172716</v>
      </c>
      <c r="AH152" s="573">
        <f t="shared" si="219"/>
        <v>9.8799909427126589E-2</v>
      </c>
      <c r="AI152" s="575">
        <f t="shared" si="219"/>
        <v>0.12984054669703873</v>
      </c>
      <c r="AJ152" s="574">
        <f t="shared" si="219"/>
        <v>0.10710421925712225</v>
      </c>
      <c r="AK152" s="574">
        <f t="shared" si="219"/>
        <v>7.6234928043562827E-2</v>
      </c>
      <c r="AL152" s="576">
        <f t="shared" si="219"/>
        <v>5.4388597149287309E-2</v>
      </c>
      <c r="AM152" s="573">
        <f t="shared" si="219"/>
        <v>9.3566723811242425E-2</v>
      </c>
      <c r="AN152" s="575">
        <f t="shared" si="219"/>
        <v>9.0494296577946748E-2</v>
      </c>
      <c r="AO152" s="574">
        <f t="shared" si="219"/>
        <v>0.13274336283185842</v>
      </c>
      <c r="AP152" s="574">
        <f t="shared" si="219"/>
        <v>0.11714770797962648</v>
      </c>
      <c r="AQ152" s="576">
        <f t="shared" si="219"/>
        <v>9.9678456591639847E-2</v>
      </c>
      <c r="AR152" s="573">
        <f t="shared" si="219"/>
        <v>0.11059986366734832</v>
      </c>
      <c r="AS152" s="575">
        <f t="shared" si="219"/>
        <v>0.14234016887816647</v>
      </c>
      <c r="AT152" s="574">
        <f t="shared" si="219"/>
        <v>0.1396663839411931</v>
      </c>
      <c r="AU152" s="574">
        <f t="shared" si="219"/>
        <v>0.13075611142694712</v>
      </c>
      <c r="AV152" s="576">
        <f t="shared" si="219"/>
        <v>0.13903743315508021</v>
      </c>
      <c r="AW152" s="573">
        <f t="shared" si="219"/>
        <v>0.13789141051422008</v>
      </c>
      <c r="AX152" s="575">
        <f t="shared" si="219"/>
        <v>0.15146213446638337</v>
      </c>
      <c r="AY152" s="574">
        <f t="shared" si="219"/>
        <v>0.16132264529058118</v>
      </c>
      <c r="AZ152" s="574">
        <f t="shared" ref="AZ152:CE152" si="220">IF(ISERROR(AZ146/AZ26),"",(AZ146/AZ26))</f>
        <v>0.15321756894790603</v>
      </c>
      <c r="BA152" s="576">
        <f t="shared" si="220"/>
        <v>0.14020139426800929</v>
      </c>
      <c r="BB152" s="573">
        <f t="shared" si="220"/>
        <v>0.15162843746039792</v>
      </c>
      <c r="BC152" s="575">
        <f t="shared" si="220"/>
        <v>0.15126050420168072</v>
      </c>
      <c r="BD152" s="574">
        <f t="shared" si="220"/>
        <v>0.17013724562233787</v>
      </c>
      <c r="BE152" s="574">
        <f t="shared" si="220"/>
        <v>0.16735386854232359</v>
      </c>
      <c r="BF152" s="576">
        <f t="shared" si="220"/>
        <v>0.15698219306466729</v>
      </c>
      <c r="BG152" s="573">
        <f t="shared" si="220"/>
        <v>0.16142295316410438</v>
      </c>
      <c r="BH152" s="575">
        <f t="shared" si="220"/>
        <v>0.16157678145982241</v>
      </c>
      <c r="BI152" s="574">
        <f t="shared" si="220"/>
        <v>0.15975324399064031</v>
      </c>
      <c r="BJ152" s="574">
        <f t="shared" si="220"/>
        <v>0.17481743748616951</v>
      </c>
      <c r="BK152" s="576">
        <f t="shared" si="220"/>
        <v>0.16341670199236963</v>
      </c>
      <c r="BL152" s="573">
        <f t="shared" si="220"/>
        <v>0.16780998575663086</v>
      </c>
      <c r="BM152" s="575">
        <f t="shared" si="220"/>
        <v>0.17507418397626115</v>
      </c>
      <c r="BN152" s="574">
        <f t="shared" si="220"/>
        <v>0.19045616985495062</v>
      </c>
      <c r="BO152" s="574">
        <f t="shared" si="220"/>
        <v>0.1737967914438503</v>
      </c>
      <c r="BP152" s="576">
        <f t="shared" si="220"/>
        <v>0.17466121746612176</v>
      </c>
      <c r="BQ152" s="573">
        <f t="shared" si="220"/>
        <v>0.17859445519019987</v>
      </c>
      <c r="BR152" s="574">
        <f t="shared" si="220"/>
        <v>0.16857544705645972</v>
      </c>
      <c r="BS152" s="574">
        <f t="shared" si="220"/>
        <v>0.19211634137007272</v>
      </c>
      <c r="BT152" s="574">
        <f t="shared" si="220"/>
        <v>0.17802197802197806</v>
      </c>
      <c r="BU152" s="576">
        <f t="shared" si="220"/>
        <v>0.17993795243019647</v>
      </c>
      <c r="BV152" s="573">
        <f t="shared" si="220"/>
        <v>0.17981340118744699</v>
      </c>
      <c r="BW152" s="574">
        <f t="shared" si="220"/>
        <v>0.16416040100250628</v>
      </c>
      <c r="BX152" s="574">
        <f t="shared" si="220"/>
        <v>0.18257683696315896</v>
      </c>
      <c r="BY152" s="574">
        <f t="shared" si="220"/>
        <v>0.18128179043743642</v>
      </c>
      <c r="BZ152" s="576">
        <f t="shared" si="220"/>
        <v>0.18213797146765681</v>
      </c>
      <c r="CA152" s="573">
        <f t="shared" si="220"/>
        <v>0.17767192013378605</v>
      </c>
      <c r="CB152" s="574">
        <f t="shared" si="220"/>
        <v>0.15256433993704874</v>
      </c>
      <c r="CC152" s="574">
        <f t="shared" si="220"/>
        <v>0.17625570776255703</v>
      </c>
      <c r="CD152" s="574">
        <f t="shared" si="220"/>
        <v>0.17853839037927843</v>
      </c>
      <c r="CE152" s="576">
        <f t="shared" si="220"/>
        <v>0.18449197860962566</v>
      </c>
      <c r="CF152" s="573">
        <f t="shared" ref="CF152:CS152" si="221">IF(ISERROR(CF146/CF26),"",(CF146/CF26))</f>
        <v>0.17308482938193775</v>
      </c>
      <c r="CG152" s="574">
        <f t="shared" si="221"/>
        <v>0.16855222167568454</v>
      </c>
      <c r="CH152" s="574">
        <f t="shared" si="221"/>
        <v>0.18899835796387521</v>
      </c>
      <c r="CI152" s="574">
        <f t="shared" si="221"/>
        <v>0.1919650655021834</v>
      </c>
      <c r="CJ152" s="576">
        <f t="shared" si="221"/>
        <v>0.1726032252348042</v>
      </c>
      <c r="CK152" s="573">
        <f t="shared" si="221"/>
        <v>0.18049836566625627</v>
      </c>
      <c r="CL152" s="574">
        <f t="shared" si="221"/>
        <v>0.14861367837338263</v>
      </c>
      <c r="CM152" s="574">
        <f t="shared" si="221"/>
        <v>4.8196791401221004E-2</v>
      </c>
      <c r="CN152" s="574">
        <f t="shared" si="221"/>
        <v>9.5746081033791119E-2</v>
      </c>
      <c r="CO152" s="576">
        <f t="shared" si="221"/>
        <v>0.12052120470280424</v>
      </c>
      <c r="CP152" s="573">
        <f t="shared" si="221"/>
        <v>0.11102414908542761</v>
      </c>
      <c r="CQ152" s="573">
        <f t="shared" si="221"/>
        <v>0.12039521454154538</v>
      </c>
      <c r="CR152" s="573">
        <f t="shared" si="221"/>
        <v>0.13177940290759671</v>
      </c>
      <c r="CS152" s="573">
        <f t="shared" si="221"/>
        <v>0.14316052101866289</v>
      </c>
    </row>
    <row r="153" spans="2:97">
      <c r="B153" s="577"/>
      <c r="C153" s="578"/>
      <c r="D153" s="578"/>
      <c r="E153" s="578"/>
      <c r="F153" s="578"/>
      <c r="G153" s="578"/>
      <c r="H153" s="578"/>
      <c r="I153" s="578"/>
      <c r="J153" s="579"/>
      <c r="K153" s="579"/>
      <c r="L153" s="579"/>
      <c r="M153" s="579"/>
      <c r="N153" s="578"/>
      <c r="O153" s="579"/>
      <c r="P153" s="579"/>
      <c r="Q153" s="579"/>
      <c r="R153" s="579"/>
      <c r="S153" s="578"/>
      <c r="T153" s="579"/>
      <c r="U153" s="579"/>
      <c r="V153" s="579"/>
      <c r="W153" s="579"/>
      <c r="X153" s="578"/>
      <c r="Y153" s="579"/>
      <c r="Z153" s="579"/>
      <c r="AA153" s="579"/>
      <c r="AB153" s="579"/>
      <c r="AC153" s="578"/>
      <c r="AD153" s="579"/>
      <c r="AE153" s="579"/>
      <c r="AF153" s="579"/>
      <c r="AG153" s="579"/>
      <c r="AH153" s="578"/>
      <c r="AI153" s="579"/>
      <c r="AJ153" s="579"/>
      <c r="AK153" s="579"/>
      <c r="AL153" s="579"/>
      <c r="AM153" s="578"/>
      <c r="AN153" s="579"/>
      <c r="AO153" s="579"/>
      <c r="AP153" s="579"/>
      <c r="AQ153" s="579"/>
      <c r="AR153" s="578"/>
      <c r="AS153" s="579"/>
      <c r="AT153" s="579"/>
      <c r="AU153" s="579"/>
      <c r="AV153" s="579"/>
      <c r="AW153" s="578"/>
      <c r="AX153" s="579"/>
      <c r="AY153" s="579"/>
      <c r="AZ153" s="579"/>
      <c r="BA153" s="579"/>
      <c r="BB153" s="578"/>
      <c r="BC153" s="579"/>
      <c r="BD153" s="579"/>
      <c r="BE153" s="579"/>
      <c r="BF153" s="579"/>
      <c r="BG153" s="578"/>
      <c r="BH153" s="580"/>
      <c r="BI153" s="579"/>
      <c r="BJ153" s="579"/>
      <c r="BK153" s="579"/>
      <c r="BL153" s="578"/>
      <c r="BM153" s="580"/>
      <c r="BN153" s="579"/>
      <c r="BO153" s="579"/>
      <c r="BP153" s="579"/>
      <c r="BQ153" s="578"/>
      <c r="BR153" s="579"/>
      <c r="BS153" s="579"/>
      <c r="BT153" s="579"/>
      <c r="BU153" s="579"/>
      <c r="BV153" s="578"/>
      <c r="BW153" s="579"/>
      <c r="BX153" s="579"/>
      <c r="BY153" s="579"/>
      <c r="BZ153" s="579"/>
      <c r="CA153" s="578"/>
      <c r="CB153" s="579"/>
      <c r="CC153" s="579"/>
      <c r="CD153" s="579"/>
      <c r="CE153" s="579"/>
      <c r="CF153" s="578"/>
      <c r="CG153" s="579"/>
      <c r="CH153" s="579"/>
      <c r="CI153" s="579"/>
      <c r="CJ153" s="579"/>
      <c r="CK153" s="578"/>
      <c r="CL153" s="579"/>
      <c r="CM153" s="579"/>
      <c r="CN153" s="579"/>
      <c r="CO153" s="579"/>
      <c r="CP153" s="578"/>
      <c r="CQ153" s="578"/>
      <c r="CR153" s="578"/>
      <c r="CS153" s="578"/>
    </row>
    <row r="154" spans="2:97" hidden="1" outlineLevel="1">
      <c r="B154" s="481" t="s">
        <v>560</v>
      </c>
      <c r="C154" s="578"/>
      <c r="D154" s="578"/>
      <c r="E154" s="578"/>
      <c r="F154" s="578"/>
      <c r="G154" s="578"/>
      <c r="H154" s="578"/>
      <c r="I154" s="578"/>
      <c r="J154" s="579"/>
      <c r="K154" s="579"/>
      <c r="L154" s="579"/>
      <c r="M154" s="579"/>
      <c r="N154" s="578"/>
      <c r="O154" s="579"/>
      <c r="P154" s="579"/>
      <c r="Q154" s="579"/>
      <c r="R154" s="579"/>
      <c r="S154" s="578"/>
      <c r="T154" s="579"/>
      <c r="U154" s="579"/>
      <c r="V154" s="579"/>
      <c r="W154" s="579"/>
      <c r="X154" s="578"/>
      <c r="Y154" s="579"/>
      <c r="Z154" s="579"/>
      <c r="AA154" s="579"/>
      <c r="AB154" s="579"/>
      <c r="AC154" s="578"/>
      <c r="AD154" s="579"/>
      <c r="AE154" s="579"/>
      <c r="AF154" s="579"/>
      <c r="AG154" s="579"/>
      <c r="AH154" s="578"/>
      <c r="AI154" s="579"/>
      <c r="AJ154" s="579"/>
      <c r="AK154" s="579"/>
      <c r="AL154" s="579"/>
      <c r="AM154" s="578"/>
      <c r="AN154" s="579"/>
      <c r="AO154" s="579"/>
      <c r="AP154" s="579"/>
      <c r="AQ154" s="579"/>
      <c r="AR154" s="578"/>
      <c r="AS154" s="579"/>
      <c r="AT154" s="579"/>
      <c r="AU154" s="579"/>
      <c r="AV154" s="579"/>
      <c r="AW154" s="578"/>
      <c r="AX154" s="579"/>
      <c r="AY154" s="579"/>
      <c r="AZ154" s="579"/>
      <c r="BA154" s="579"/>
      <c r="BB154" s="578"/>
      <c r="BC154" s="579"/>
      <c r="BD154" s="579"/>
      <c r="BE154" s="579"/>
      <c r="BF154" s="579"/>
      <c r="BG154" s="578"/>
      <c r="BH154" s="580"/>
      <c r="BI154" s="579"/>
      <c r="BJ154" s="579"/>
      <c r="BK154" s="579"/>
      <c r="BL154" s="578"/>
      <c r="BM154" s="580"/>
      <c r="BN154" s="579"/>
      <c r="BO154" s="579"/>
      <c r="BP154" s="579"/>
      <c r="BQ154" s="578"/>
      <c r="BR154" s="579"/>
      <c r="BS154" s="579"/>
      <c r="BT154" s="579"/>
      <c r="BU154" s="579"/>
      <c r="BV154" s="578"/>
      <c r="BW154" s="579"/>
      <c r="BX154" s="579"/>
      <c r="BY154" s="579"/>
      <c r="BZ154" s="579"/>
      <c r="CA154" s="578"/>
      <c r="CB154" s="579"/>
      <c r="CC154" s="579"/>
      <c r="CD154" s="579"/>
      <c r="CE154" s="579"/>
      <c r="CF154" s="578"/>
      <c r="CG154" s="579"/>
      <c r="CH154" s="579"/>
      <c r="CI154" s="579"/>
      <c r="CJ154" s="579"/>
      <c r="CK154" s="578"/>
      <c r="CL154" s="579"/>
      <c r="CM154" s="579"/>
      <c r="CN154" s="579"/>
      <c r="CO154" s="579"/>
      <c r="CP154" s="578"/>
      <c r="CQ154" s="578"/>
      <c r="CR154" s="578"/>
      <c r="CS154" s="578"/>
    </row>
    <row r="155" spans="2:97" hidden="1" outlineLevel="1">
      <c r="B155" s="433" t="s">
        <v>90</v>
      </c>
      <c r="C155" s="563"/>
      <c r="D155" s="563"/>
      <c r="E155" s="563"/>
      <c r="F155" s="563"/>
      <c r="G155" s="563"/>
      <c r="H155" s="563"/>
      <c r="I155" s="563"/>
      <c r="J155" s="566"/>
      <c r="K155" s="566"/>
      <c r="L155" s="566"/>
      <c r="M155" s="566"/>
      <c r="N155" s="563"/>
      <c r="O155" s="566"/>
      <c r="P155" s="566"/>
      <c r="Q155" s="566"/>
      <c r="R155" s="566"/>
      <c r="S155" s="563"/>
      <c r="T155" s="566"/>
      <c r="U155" s="566"/>
      <c r="V155" s="566"/>
      <c r="W155" s="566"/>
      <c r="X155" s="563"/>
      <c r="Y155" s="566"/>
      <c r="Z155" s="566"/>
      <c r="AA155" s="566"/>
      <c r="AB155" s="566"/>
      <c r="AC155" s="563"/>
      <c r="AD155" s="566"/>
      <c r="AE155" s="566"/>
      <c r="AF155" s="566"/>
      <c r="AG155" s="566"/>
      <c r="AH155" s="563"/>
      <c r="AI155" s="566"/>
      <c r="AJ155" s="566"/>
      <c r="AK155" s="566"/>
      <c r="AL155" s="566"/>
      <c r="AM155" s="563"/>
      <c r="AN155" s="566"/>
      <c r="AO155" s="566"/>
      <c r="AP155" s="566"/>
      <c r="AQ155" s="566"/>
      <c r="AR155" s="563"/>
      <c r="AS155" s="566"/>
      <c r="AT155" s="566"/>
      <c r="AU155" s="566"/>
      <c r="AV155" s="566"/>
      <c r="AW155" s="563"/>
      <c r="AX155" s="566"/>
      <c r="AY155" s="566"/>
      <c r="AZ155" s="566"/>
      <c r="BA155" s="566"/>
      <c r="BB155" s="563"/>
      <c r="BC155" s="566"/>
      <c r="BD155" s="566"/>
      <c r="BE155" s="566"/>
      <c r="BF155" s="566"/>
      <c r="BG155" s="563"/>
      <c r="BH155" s="565"/>
      <c r="BI155" s="566"/>
      <c r="BJ155" s="566"/>
      <c r="BK155" s="566"/>
      <c r="BL155" s="563">
        <f t="shared" ref="BL155:CP155" si="222">(BL142-BG142)/(BL13-BG13)</f>
        <v>0.24491333835719661</v>
      </c>
      <c r="BM155" s="565">
        <f t="shared" si="222"/>
        <v>1.0230769230769274</v>
      </c>
      <c r="BN155" s="566">
        <f t="shared" si="222"/>
        <v>0.83823529411764963</v>
      </c>
      <c r="BO155" s="566">
        <f t="shared" si="222"/>
        <v>-7.5000000000003911E-2</v>
      </c>
      <c r="BP155" s="566">
        <f t="shared" si="222"/>
        <v>0.27522935779816426</v>
      </c>
      <c r="BQ155" s="563">
        <f t="shared" si="222"/>
        <v>0.66024096385542475</v>
      </c>
      <c r="BR155" s="566">
        <f t="shared" si="222"/>
        <v>6.1302681992336891E-2</v>
      </c>
      <c r="BS155" s="566">
        <f t="shared" si="222"/>
        <v>0.20472440944881867</v>
      </c>
      <c r="BT155" s="566">
        <f t="shared" si="222"/>
        <v>0.28767123287671226</v>
      </c>
      <c r="BU155" s="566">
        <f t="shared" si="222"/>
        <v>0.26341463414634103</v>
      </c>
      <c r="BV155" s="563">
        <f t="shared" si="222"/>
        <v>0.21616161616161594</v>
      </c>
      <c r="BW155" s="566">
        <f t="shared" si="222"/>
        <v>0.95698924731183177</v>
      </c>
      <c r="BX155" s="566">
        <f t="shared" si="222"/>
        <v>0.29874213836477975</v>
      </c>
      <c r="BY155" s="566">
        <f t="shared" si="222"/>
        <v>1.333333333333286</v>
      </c>
      <c r="BZ155" s="566">
        <f t="shared" si="222"/>
        <v>0.35622317596566644</v>
      </c>
      <c r="CA155" s="563">
        <f t="shared" si="222"/>
        <v>0.52662721893490705</v>
      </c>
      <c r="CB155" s="566">
        <f t="shared" si="222"/>
        <v>0.15371621621621614</v>
      </c>
      <c r="CC155" s="566">
        <f t="shared" si="222"/>
        <v>1.8621973929236483E-2</v>
      </c>
      <c r="CD155" s="566">
        <f t="shared" si="222"/>
        <v>7.2046109510086484E-2</v>
      </c>
      <c r="CE155" s="566">
        <f t="shared" si="222"/>
        <v>4.8913043478260775E-2</v>
      </c>
      <c r="CF155" s="563">
        <f t="shared" si="222"/>
        <v>7.8091106290672507E-2</v>
      </c>
      <c r="CG155" s="566">
        <f t="shared" si="222"/>
        <v>0.49883990719257582</v>
      </c>
      <c r="CH155" s="566">
        <f t="shared" si="222"/>
        <v>0.47461928934010189</v>
      </c>
      <c r="CI155" s="566">
        <f t="shared" si="222"/>
        <v>0.35680751173708875</v>
      </c>
      <c r="CJ155" s="566">
        <f t="shared" si="222"/>
        <v>4.291666666666706</v>
      </c>
      <c r="CK155" s="563">
        <f t="shared" si="222"/>
        <v>0.36982248520710054</v>
      </c>
      <c r="CL155" s="566">
        <f t="shared" si="222"/>
        <v>0.48165137614678938</v>
      </c>
      <c r="CM155" s="566">
        <f t="shared" si="222"/>
        <v>0.37882043814546745</v>
      </c>
      <c r="CN155" s="566">
        <f t="shared" si="222"/>
        <v>0.36499635622811444</v>
      </c>
      <c r="CO155" s="566">
        <f t="shared" si="222"/>
        <v>0.31748374075893138</v>
      </c>
      <c r="CP155" s="563">
        <f t="shared" si="222"/>
        <v>0.37120744765511909</v>
      </c>
      <c r="CQ155" s="563">
        <f>(CQ142-CP142)/(CQ13-CP13)</f>
        <v>0.24281363723272117</v>
      </c>
      <c r="CR155" s="563">
        <f>(CR142-CQ142)/(CR13-CQ13)</f>
        <v>0.25663432850354878</v>
      </c>
      <c r="CS155" s="563">
        <f>(CS142-CR142)/(CS13-CR13)</f>
        <v>0.26316903380155449</v>
      </c>
    </row>
    <row r="156" spans="2:97" hidden="1" outlineLevel="1">
      <c r="B156" s="433" t="s">
        <v>91</v>
      </c>
      <c r="C156" s="563"/>
      <c r="D156" s="563"/>
      <c r="E156" s="563"/>
      <c r="F156" s="563"/>
      <c r="G156" s="563"/>
      <c r="H156" s="563"/>
      <c r="I156" s="563"/>
      <c r="J156" s="566"/>
      <c r="K156" s="566"/>
      <c r="L156" s="566"/>
      <c r="M156" s="566"/>
      <c r="N156" s="563"/>
      <c r="O156" s="566"/>
      <c r="P156" s="566"/>
      <c r="Q156" s="566"/>
      <c r="R156" s="566"/>
      <c r="S156" s="563"/>
      <c r="T156" s="566"/>
      <c r="U156" s="566"/>
      <c r="V156" s="566"/>
      <c r="W156" s="566"/>
      <c r="X156" s="563"/>
      <c r="Y156" s="566"/>
      <c r="Z156" s="566"/>
      <c r="AA156" s="566"/>
      <c r="AB156" s="566"/>
      <c r="AC156" s="563"/>
      <c r="AD156" s="566"/>
      <c r="AE156" s="566"/>
      <c r="AF156" s="566"/>
      <c r="AG156" s="566"/>
      <c r="AH156" s="563"/>
      <c r="AI156" s="566"/>
      <c r="AJ156" s="566"/>
      <c r="AK156" s="566"/>
      <c r="AL156" s="566"/>
      <c r="AM156" s="563"/>
      <c r="AN156" s="566"/>
      <c r="AO156" s="566"/>
      <c r="AP156" s="566"/>
      <c r="AQ156" s="566"/>
      <c r="AR156" s="563"/>
      <c r="AS156" s="566"/>
      <c r="AT156" s="566"/>
      <c r="AU156" s="566"/>
      <c r="AV156" s="566"/>
      <c r="AW156" s="563"/>
      <c r="AX156" s="566"/>
      <c r="AY156" s="566"/>
      <c r="AZ156" s="566"/>
      <c r="BA156" s="566"/>
      <c r="BB156" s="563"/>
      <c r="BC156" s="566"/>
      <c r="BD156" s="566"/>
      <c r="BE156" s="566"/>
      <c r="BF156" s="566"/>
      <c r="BG156" s="563"/>
      <c r="BH156" s="565"/>
      <c r="BI156" s="566"/>
      <c r="BJ156" s="566"/>
      <c r="BK156" s="566"/>
      <c r="BL156" s="563">
        <f t="shared" ref="BL156:CP156" si="223">(BL143-BG143)/(BL19-BG19)</f>
        <v>0.18706697459584318</v>
      </c>
      <c r="BM156" s="565">
        <f t="shared" si="223"/>
        <v>1.6999999999999993</v>
      </c>
      <c r="BN156" s="566">
        <f t="shared" si="223"/>
        <v>0.47058823529411797</v>
      </c>
      <c r="BO156" s="566">
        <f t="shared" si="223"/>
        <v>0.3125</v>
      </c>
      <c r="BP156" s="566">
        <f t="shared" si="223"/>
        <v>0.39583333333333365</v>
      </c>
      <c r="BQ156" s="563">
        <f t="shared" si="223"/>
        <v>0.44094488188976427</v>
      </c>
      <c r="BR156" s="566">
        <f t="shared" si="223"/>
        <v>0.92307692307692457</v>
      </c>
      <c r="BS156" s="566">
        <f t="shared" si="223"/>
        <v>0.55102040816326492</v>
      </c>
      <c r="BT156" s="566">
        <f t="shared" si="223"/>
        <v>-1.4444444444444569</v>
      </c>
      <c r="BU156" s="566">
        <f t="shared" si="223"/>
        <v>-6.9999999999999923E-2</v>
      </c>
      <c r="BV156" s="563">
        <f t="shared" si="223"/>
        <v>0.34337349397590333</v>
      </c>
      <c r="BW156" s="566">
        <f t="shared" si="223"/>
        <v>-6.6037735849056478E-2</v>
      </c>
      <c r="BX156" s="566">
        <f t="shared" si="223"/>
        <v>-0.12121212121212142</v>
      </c>
      <c r="BY156" s="566">
        <f t="shared" si="223"/>
        <v>8.2474226804123765E-2</v>
      </c>
      <c r="BZ156" s="566">
        <f t="shared" si="223"/>
        <v>-0.2931034482758621</v>
      </c>
      <c r="CA156" s="563">
        <f t="shared" si="223"/>
        <v>7.8651685393257897E-2</v>
      </c>
      <c r="CB156" s="566">
        <f t="shared" si="223"/>
        <v>-0.73809523809523747</v>
      </c>
      <c r="CC156" s="566">
        <f t="shared" si="223"/>
        <v>0.49350649350649339</v>
      </c>
      <c r="CD156" s="566">
        <f t="shared" si="223"/>
        <v>0.22516556291390719</v>
      </c>
      <c r="CE156" s="566">
        <f t="shared" si="223"/>
        <v>-0.14569536423841059</v>
      </c>
      <c r="CF156" s="563">
        <f t="shared" si="223"/>
        <v>4.5130641330166046E-2</v>
      </c>
      <c r="CG156" s="566">
        <f t="shared" si="223"/>
        <v>0.18283582089552242</v>
      </c>
      <c r="CH156" s="566">
        <f t="shared" si="223"/>
        <v>1.7167381974248944E-2</v>
      </c>
      <c r="CI156" s="566">
        <f t="shared" si="223"/>
        <v>0.28571428571428581</v>
      </c>
      <c r="CJ156" s="566">
        <f t="shared" si="223"/>
        <v>1.4487179487179493</v>
      </c>
      <c r="CK156" s="563">
        <f t="shared" si="223"/>
        <v>0.28647925033467214</v>
      </c>
      <c r="CL156" s="566">
        <f t="shared" si="223"/>
        <v>0.43005181347150268</v>
      </c>
      <c r="CM156" s="566">
        <f t="shared" si="223"/>
        <v>0.1999923430213181</v>
      </c>
      <c r="CN156" s="566">
        <f t="shared" si="223"/>
        <v>0.27356232274576897</v>
      </c>
      <c r="CO156" s="566">
        <f t="shared" si="223"/>
        <v>0.33766293649480766</v>
      </c>
      <c r="CP156" s="563">
        <f t="shared" si="223"/>
        <v>0.27631375118249735</v>
      </c>
      <c r="CQ156" s="563">
        <f>(CQ143-CP143)/(CQ19-CP19)</f>
        <v>0.42258108670263322</v>
      </c>
      <c r="CR156" s="563">
        <f>(CR143-CQ143)/(CR19-CQ19)</f>
        <v>0.27736384809368447</v>
      </c>
      <c r="CS156" s="563">
        <f>(CS143-CR143)/(CS19-CR19)</f>
        <v>0.22119822471453049</v>
      </c>
    </row>
    <row r="157" spans="2:97" hidden="1" outlineLevel="1">
      <c r="B157" s="467" t="s">
        <v>272</v>
      </c>
      <c r="C157" s="563"/>
      <c r="D157" s="563"/>
      <c r="E157" s="563"/>
      <c r="F157" s="563"/>
      <c r="G157" s="563"/>
      <c r="H157" s="563"/>
      <c r="I157" s="563"/>
      <c r="J157" s="566"/>
      <c r="K157" s="566"/>
      <c r="L157" s="566"/>
      <c r="M157" s="566"/>
      <c r="N157" s="563"/>
      <c r="O157" s="566"/>
      <c r="P157" s="566"/>
      <c r="Q157" s="566"/>
      <c r="R157" s="566"/>
      <c r="S157" s="563"/>
      <c r="T157" s="566"/>
      <c r="U157" s="566"/>
      <c r="V157" s="566"/>
      <c r="W157" s="566"/>
      <c r="X157" s="563"/>
      <c r="Y157" s="566"/>
      <c r="Z157" s="566"/>
      <c r="AA157" s="566"/>
      <c r="AB157" s="566"/>
      <c r="AC157" s="563"/>
      <c r="AD157" s="566"/>
      <c r="AE157" s="566"/>
      <c r="AF157" s="566"/>
      <c r="AG157" s="566"/>
      <c r="AH157" s="563"/>
      <c r="AI157" s="566"/>
      <c r="AJ157" s="566"/>
      <c r="AK157" s="566"/>
      <c r="AL157" s="566"/>
      <c r="AM157" s="563"/>
      <c r="AN157" s="566"/>
      <c r="AO157" s="566"/>
      <c r="AP157" s="566"/>
      <c r="AQ157" s="566"/>
      <c r="AR157" s="563"/>
      <c r="AS157" s="566"/>
      <c r="AT157" s="566"/>
      <c r="AU157" s="566"/>
      <c r="AV157" s="566"/>
      <c r="AW157" s="563"/>
      <c r="AX157" s="566"/>
      <c r="AY157" s="566"/>
      <c r="AZ157" s="566"/>
      <c r="BA157" s="566"/>
      <c r="BB157" s="563"/>
      <c r="BC157" s="566"/>
      <c r="BD157" s="566"/>
      <c r="BE157" s="566"/>
      <c r="BF157" s="566"/>
      <c r="BG157" s="563"/>
      <c r="BH157" s="565"/>
      <c r="BI157" s="566"/>
      <c r="BJ157" s="566"/>
      <c r="BK157" s="566"/>
      <c r="BL157" s="563">
        <f t="shared" ref="BL157:CP157" si="224">(BL144-BG144)/(BL13+BL19-BG13-BG19)</f>
        <v>0.23068181818181846</v>
      </c>
      <c r="BM157" s="565">
        <f t="shared" si="224"/>
        <v>0.96666666666667078</v>
      </c>
      <c r="BN157" s="566">
        <f t="shared" si="224"/>
        <v>1.2058823529411848</v>
      </c>
      <c r="BO157" s="566">
        <f t="shared" si="224"/>
        <v>0.69999999999998797</v>
      </c>
      <c r="BP157" s="566">
        <f t="shared" si="224"/>
        <v>-0.61538461538460787</v>
      </c>
      <c r="BQ157" s="563">
        <f t="shared" si="224"/>
        <v>1.0062111801242357</v>
      </c>
      <c r="BR157" s="566">
        <f t="shared" si="224"/>
        <v>-3.4042553191489848E-2</v>
      </c>
      <c r="BS157" s="566">
        <f t="shared" si="224"/>
        <v>0.16775599128540272</v>
      </c>
      <c r="BT157" s="566">
        <f t="shared" si="224"/>
        <v>0.25769230769230794</v>
      </c>
      <c r="BU157" s="566">
        <f t="shared" si="224"/>
        <v>0.580952380952382</v>
      </c>
      <c r="BV157" s="563">
        <f t="shared" si="224"/>
        <v>0.20015163002274419</v>
      </c>
      <c r="BW157" s="566">
        <f t="shared" si="224"/>
        <v>0.4120603015075382</v>
      </c>
      <c r="BX157" s="566">
        <f t="shared" si="224"/>
        <v>0.25925925925925947</v>
      </c>
      <c r="BY157" s="566">
        <f t="shared" si="224"/>
        <v>-4.5454545454544498E-2</v>
      </c>
      <c r="BZ157" s="566">
        <f t="shared" si="224"/>
        <v>0.22680412371134054</v>
      </c>
      <c r="CA157" s="563">
        <f t="shared" si="224"/>
        <v>0.29682997118155519</v>
      </c>
      <c r="CB157" s="566">
        <f t="shared" si="224"/>
        <v>9.4637223974763499E-2</v>
      </c>
      <c r="CC157" s="566">
        <f t="shared" si="224"/>
        <v>7.8175895765472375E-2</v>
      </c>
      <c r="CD157" s="566">
        <f t="shared" si="224"/>
        <v>0.11847389558232933</v>
      </c>
      <c r="CE157" s="566">
        <f t="shared" si="224"/>
        <v>-7.707129094412438E-3</v>
      </c>
      <c r="CF157" s="563">
        <f t="shared" si="224"/>
        <v>7.1964679911699705E-2</v>
      </c>
      <c r="CG157" s="566">
        <f t="shared" si="224"/>
        <v>0.3776824034334767</v>
      </c>
      <c r="CH157" s="566">
        <f t="shared" si="224"/>
        <v>0.30462519936204152</v>
      </c>
      <c r="CI157" s="566">
        <f t="shared" si="224"/>
        <v>0.325459317585302</v>
      </c>
      <c r="CJ157" s="566">
        <f t="shared" si="224"/>
        <v>0.18518518518518548</v>
      </c>
      <c r="CK157" s="563">
        <f t="shared" si="224"/>
        <v>0.33446905167518448</v>
      </c>
      <c r="CL157" s="566">
        <f t="shared" si="224"/>
        <v>0.46581875993640681</v>
      </c>
      <c r="CM157" s="566">
        <f t="shared" si="224"/>
        <v>0.33800288526794081</v>
      </c>
      <c r="CN157" s="566">
        <f t="shared" si="224"/>
        <v>0.3406173533288655</v>
      </c>
      <c r="CO157" s="566">
        <f t="shared" si="224"/>
        <v>0.32329321725128435</v>
      </c>
      <c r="CP157" s="563">
        <f t="shared" si="224"/>
        <v>0.34670039639136052</v>
      </c>
      <c r="CQ157" s="563">
        <f>(CQ144-CP144)/(CQ13+CQ19-CP13-CP19)</f>
        <v>0.28569240563436127</v>
      </c>
      <c r="CR157" s="563">
        <f>(CR144-CQ144)/(CR13+CR19-CQ13-CQ19)</f>
        <v>0.26089875417755398</v>
      </c>
      <c r="CS157" s="563">
        <f>(CS144-CR144)/(CS13+CS19-CR13-CR19)</f>
        <v>0.25431576090192271</v>
      </c>
    </row>
    <row r="158" spans="2:97" hidden="1" outlineLevel="1">
      <c r="B158" s="463" t="s">
        <v>174</v>
      </c>
      <c r="C158" s="578"/>
      <c r="D158" s="578"/>
      <c r="E158" s="578"/>
      <c r="F158" s="578"/>
      <c r="G158" s="578"/>
      <c r="H158" s="578"/>
      <c r="I158" s="578"/>
      <c r="J158" s="579"/>
      <c r="K158" s="579"/>
      <c r="L158" s="579"/>
      <c r="M158" s="579"/>
      <c r="N158" s="578"/>
      <c r="O158" s="579"/>
      <c r="P158" s="579"/>
      <c r="Q158" s="579"/>
      <c r="R158" s="579"/>
      <c r="S158" s="578"/>
      <c r="T158" s="579"/>
      <c r="U158" s="579"/>
      <c r="V158" s="579"/>
      <c r="W158" s="579"/>
      <c r="X158" s="578"/>
      <c r="Y158" s="579"/>
      <c r="Z158" s="579"/>
      <c r="AA158" s="579"/>
      <c r="AB158" s="579"/>
      <c r="AC158" s="578"/>
      <c r="AD158" s="579"/>
      <c r="AE158" s="579"/>
      <c r="AF158" s="579"/>
      <c r="AG158" s="579"/>
      <c r="AH158" s="578"/>
      <c r="AI158" s="579"/>
      <c r="AJ158" s="579"/>
      <c r="AK158" s="579"/>
      <c r="AL158" s="579"/>
      <c r="AM158" s="578"/>
      <c r="AN158" s="579"/>
      <c r="AO158" s="579"/>
      <c r="AP158" s="579"/>
      <c r="AQ158" s="579"/>
      <c r="AR158" s="578"/>
      <c r="AS158" s="579"/>
      <c r="AT158" s="579"/>
      <c r="AU158" s="579"/>
      <c r="AV158" s="579"/>
      <c r="AW158" s="578"/>
      <c r="AX158" s="579"/>
      <c r="AY158" s="579"/>
      <c r="AZ158" s="579"/>
      <c r="BA158" s="579"/>
      <c r="BB158" s="578"/>
      <c r="BC158" s="579"/>
      <c r="BD158" s="579"/>
      <c r="BE158" s="579"/>
      <c r="BF158" s="579"/>
      <c r="BG158" s="578"/>
      <c r="BH158" s="580"/>
      <c r="BI158" s="579"/>
      <c r="BJ158" s="579"/>
      <c r="BK158" s="579"/>
      <c r="BL158" s="578">
        <f t="shared" ref="BL158:CP158" si="225">(BL146-BG146)/(BL26-BG26)</f>
        <v>0.22826524856981725</v>
      </c>
      <c r="BM158" s="580">
        <f t="shared" si="225"/>
        <v>0.79207920792079478</v>
      </c>
      <c r="BN158" s="579">
        <f t="shared" si="225"/>
        <v>2.7678571428571597</v>
      </c>
      <c r="BO158" s="579">
        <f t="shared" si="225"/>
        <v>0.32258064516128665</v>
      </c>
      <c r="BP158" s="579">
        <f t="shared" si="225"/>
        <v>-0.59420289855072295</v>
      </c>
      <c r="BQ158" s="578">
        <f t="shared" si="225"/>
        <v>3.6892230576442251</v>
      </c>
      <c r="BR158" s="579">
        <f t="shared" si="225"/>
        <v>5.0193050193049579E-2</v>
      </c>
      <c r="BS158" s="579">
        <f t="shared" si="225"/>
        <v>0.20895522388059681</v>
      </c>
      <c r="BT158" s="579">
        <f t="shared" si="225"/>
        <v>0.21470019342359789</v>
      </c>
      <c r="BU158" s="579">
        <f t="shared" si="225"/>
        <v>0.31182795698924676</v>
      </c>
      <c r="BV158" s="578">
        <f t="shared" si="225"/>
        <v>0.19566736547868605</v>
      </c>
      <c r="BW158" s="579">
        <f t="shared" si="225"/>
        <v>0.28042328042328069</v>
      </c>
      <c r="BX158" s="579">
        <f t="shared" si="225"/>
        <v>0.34185303514376975</v>
      </c>
      <c r="BY158" s="579">
        <f t="shared" si="225"/>
        <v>1.5789838572446771E-15</v>
      </c>
      <c r="BZ158" s="579">
        <f t="shared" si="225"/>
        <v>0.21985815602836853</v>
      </c>
      <c r="CA158" s="578">
        <f t="shared" si="225"/>
        <v>0.31612903225806255</v>
      </c>
      <c r="CB158" s="579">
        <f t="shared" si="225"/>
        <v>6.1990212071778197E-2</v>
      </c>
      <c r="CC158" s="579">
        <f t="shared" si="225"/>
        <v>0.12099644128113865</v>
      </c>
      <c r="CD158" s="579">
        <f t="shared" si="225"/>
        <v>0.15102040816326542</v>
      </c>
      <c r="CE158" s="579">
        <f t="shared" si="225"/>
        <v>0.20892494929006097</v>
      </c>
      <c r="CF158" s="578">
        <f t="shared" si="225"/>
        <v>0.13113994439295612</v>
      </c>
      <c r="CG158" s="579">
        <f t="shared" si="225"/>
        <v>0.29226361031518583</v>
      </c>
      <c r="CH158" s="579">
        <f t="shared" si="225"/>
        <v>0.30243902439024439</v>
      </c>
      <c r="CI158" s="579">
        <f t="shared" si="225"/>
        <v>0.41874999999999973</v>
      </c>
      <c r="CJ158" s="579">
        <f t="shared" si="225"/>
        <v>-1.8484848484848722</v>
      </c>
      <c r="CK158" s="578">
        <f t="shared" si="225"/>
        <v>0.27791116446578618</v>
      </c>
      <c r="CL158" s="579">
        <f t="shared" si="225"/>
        <v>0.3251088534107402</v>
      </c>
      <c r="CM158" s="579">
        <f t="shared" si="225"/>
        <v>0.32665955951600018</v>
      </c>
      <c r="CN158" s="579">
        <f t="shared" si="225"/>
        <v>0.3449819706176448</v>
      </c>
      <c r="CO158" s="579">
        <f t="shared" si="225"/>
        <v>0.31848220634097396</v>
      </c>
      <c r="CP158" s="578">
        <f t="shared" si="225"/>
        <v>0.330315777005389</v>
      </c>
      <c r="CQ158" s="578">
        <f>(CQ146-CP146)/(CQ26-CP26)</f>
        <v>0.22013009678375897</v>
      </c>
      <c r="CR158" s="578">
        <f>(CR146-CQ146)/(CR26-CQ26)</f>
        <v>0.25630672188563691</v>
      </c>
      <c r="CS158" s="578">
        <f>(CS146-CR146)/(CS26-CR26)</f>
        <v>0.25065066354567028</v>
      </c>
    </row>
    <row r="159" spans="2:97" ht="9" customHeight="1" collapsed="1" thickBot="1">
      <c r="B159" s="532"/>
      <c r="C159" s="581"/>
      <c r="D159" s="581"/>
      <c r="E159" s="581"/>
      <c r="F159" s="581"/>
      <c r="G159" s="581"/>
      <c r="H159" s="581"/>
      <c r="I159" s="581"/>
      <c r="J159" s="532"/>
      <c r="K159" s="532"/>
      <c r="L159" s="532"/>
      <c r="M159" s="532"/>
      <c r="N159" s="581"/>
      <c r="O159" s="532"/>
      <c r="P159" s="532"/>
      <c r="Q159" s="532"/>
      <c r="R159" s="532"/>
      <c r="S159" s="581"/>
      <c r="T159" s="532"/>
      <c r="U159" s="532"/>
      <c r="V159" s="532"/>
      <c r="W159" s="532"/>
      <c r="X159" s="581"/>
      <c r="Y159" s="532"/>
      <c r="Z159" s="532"/>
      <c r="AA159" s="532"/>
      <c r="AB159" s="532"/>
      <c r="AC159" s="581"/>
      <c r="AD159" s="532"/>
      <c r="AE159" s="551"/>
      <c r="AF159" s="551"/>
      <c r="AG159" s="532"/>
      <c r="AH159" s="581"/>
      <c r="AI159" s="532"/>
      <c r="AJ159" s="532"/>
      <c r="AK159" s="532"/>
      <c r="AL159" s="533"/>
      <c r="AM159" s="582"/>
      <c r="AN159" s="533"/>
      <c r="AO159" s="533"/>
      <c r="AP159" s="533"/>
      <c r="AQ159" s="533"/>
      <c r="AR159" s="582"/>
      <c r="AS159" s="533"/>
      <c r="AT159" s="533"/>
      <c r="AU159" s="533"/>
      <c r="AV159" s="533"/>
      <c r="AW159" s="582"/>
      <c r="AX159" s="533"/>
      <c r="AY159" s="533"/>
      <c r="AZ159" s="533"/>
      <c r="BA159" s="533"/>
      <c r="BB159" s="582"/>
      <c r="BC159" s="533"/>
      <c r="BD159" s="533"/>
      <c r="BE159" s="533"/>
      <c r="BF159" s="533"/>
      <c r="BG159" s="582"/>
      <c r="BH159" s="583"/>
      <c r="BI159" s="584"/>
      <c r="BJ159" s="584"/>
      <c r="BK159" s="533"/>
      <c r="BL159" s="582"/>
      <c r="BM159" s="583"/>
      <c r="BN159" s="584"/>
      <c r="BO159" s="584"/>
      <c r="BP159" s="533"/>
      <c r="BQ159" s="582"/>
      <c r="BR159" s="584"/>
      <c r="BS159" s="533"/>
      <c r="BT159" s="533"/>
      <c r="BU159" s="533"/>
      <c r="BV159" s="582"/>
      <c r="BW159" s="584"/>
      <c r="BX159" s="533"/>
      <c r="BY159" s="533"/>
      <c r="BZ159" s="533"/>
      <c r="CA159" s="582"/>
      <c r="CB159" s="584"/>
      <c r="CC159" s="533"/>
      <c r="CD159" s="533"/>
      <c r="CE159" s="533"/>
      <c r="CF159" s="582"/>
      <c r="CG159" s="584"/>
      <c r="CH159" s="533"/>
      <c r="CI159" s="533"/>
      <c r="CJ159" s="533"/>
      <c r="CK159" s="582"/>
      <c r="CL159" s="584"/>
      <c r="CM159" s="533"/>
      <c r="CN159" s="533"/>
      <c r="CO159" s="533"/>
      <c r="CP159" s="582"/>
      <c r="CQ159" s="582"/>
      <c r="CR159" s="582"/>
      <c r="CS159" s="582"/>
    </row>
    <row r="160" spans="2:97">
      <c r="BI160" s="498"/>
      <c r="BJ160" s="498"/>
      <c r="BN160" s="498"/>
      <c r="BO160" s="498"/>
      <c r="BR160" s="498"/>
      <c r="BW160" s="498"/>
      <c r="CB160" s="498"/>
      <c r="CG160" s="498"/>
      <c r="CL160" s="498"/>
    </row>
    <row r="161" spans="51:90">
      <c r="BJ161" s="498"/>
      <c r="BO161" s="498"/>
      <c r="BR161" s="498"/>
      <c r="BW161" s="498"/>
      <c r="CB161" s="498"/>
      <c r="CG161" s="498"/>
      <c r="CL161" s="498"/>
    </row>
    <row r="163" spans="51:90">
      <c r="AY163" s="585"/>
    </row>
    <row r="181" spans="54:90">
      <c r="BB181" s="587" t="s">
        <v>123</v>
      </c>
      <c r="BC181" s="587" t="s">
        <v>591</v>
      </c>
      <c r="BD181" s="587" t="s">
        <v>591</v>
      </c>
      <c r="BE181" s="587" t="s">
        <v>591</v>
      </c>
      <c r="BF181" s="587" t="s">
        <v>591</v>
      </c>
      <c r="BG181" s="587"/>
      <c r="BH181" s="588"/>
      <c r="BI181" s="588"/>
      <c r="BJ181" s="588"/>
      <c r="BK181" s="588"/>
      <c r="BL181" s="589">
        <v>2014</v>
      </c>
      <c r="BM181" s="589"/>
      <c r="BN181" s="589"/>
      <c r="BO181" s="589"/>
      <c r="BP181" s="589"/>
      <c r="BQ181" s="589">
        <f>BL181+1</f>
        <v>2015</v>
      </c>
      <c r="BR181" s="589">
        <f t="shared" ref="BR181:CF181" si="226">BM181+1</f>
        <v>1</v>
      </c>
      <c r="BS181" s="589">
        <f t="shared" si="226"/>
        <v>1</v>
      </c>
      <c r="BT181" s="589">
        <f t="shared" si="226"/>
        <v>1</v>
      </c>
      <c r="BU181" s="589">
        <f t="shared" si="226"/>
        <v>1</v>
      </c>
      <c r="BV181" s="589">
        <f t="shared" si="226"/>
        <v>2016</v>
      </c>
      <c r="BW181" s="589">
        <f t="shared" si="226"/>
        <v>2</v>
      </c>
      <c r="BX181" s="589">
        <f t="shared" si="226"/>
        <v>2</v>
      </c>
      <c r="BY181" s="589">
        <f t="shared" si="226"/>
        <v>2</v>
      </c>
      <c r="BZ181" s="589">
        <f t="shared" si="226"/>
        <v>2</v>
      </c>
      <c r="CA181" s="589">
        <f t="shared" si="226"/>
        <v>2017</v>
      </c>
      <c r="CB181" s="589">
        <f t="shared" si="226"/>
        <v>3</v>
      </c>
      <c r="CC181" s="589">
        <f t="shared" si="226"/>
        <v>3</v>
      </c>
      <c r="CD181" s="589">
        <f t="shared" si="226"/>
        <v>3</v>
      </c>
      <c r="CE181" s="589">
        <f t="shared" si="226"/>
        <v>3</v>
      </c>
      <c r="CF181" s="589">
        <f t="shared" si="226"/>
        <v>2018</v>
      </c>
      <c r="CG181" s="589"/>
      <c r="CH181" s="589"/>
      <c r="CI181" s="589"/>
      <c r="CJ181" s="589"/>
      <c r="CK181" s="589">
        <v>2019</v>
      </c>
      <c r="CL181" s="593" t="s">
        <v>466</v>
      </c>
    </row>
    <row r="182" spans="54:90">
      <c r="BB182" s="433" t="s">
        <v>90</v>
      </c>
      <c r="BL182" s="586">
        <f t="shared" ref="BL182:CL182" si="227">BL98</f>
        <v>0.20758268351707448</v>
      </c>
      <c r="BM182" s="586">
        <f t="shared" si="227"/>
        <v>0.23001547189272825</v>
      </c>
      <c r="BN182" s="586">
        <f t="shared" si="227"/>
        <v>0.23182511438739198</v>
      </c>
      <c r="BO182" s="586">
        <f t="shared" si="227"/>
        <v>0.20396366639141206</v>
      </c>
      <c r="BP182" s="586">
        <f t="shared" si="227"/>
        <v>0.2124284971398856</v>
      </c>
      <c r="BQ182" s="586">
        <f t="shared" si="227"/>
        <v>0.21986789614806096</v>
      </c>
      <c r="BR182" s="586">
        <f t="shared" si="227"/>
        <v>0.21937666102923412</v>
      </c>
      <c r="BS182" s="586">
        <f t="shared" si="227"/>
        <v>0.22872579918955424</v>
      </c>
      <c r="BT182" s="586">
        <f t="shared" si="227"/>
        <v>0.2142857142857143</v>
      </c>
      <c r="BU182" s="586">
        <f t="shared" si="227"/>
        <v>0.21500863984201429</v>
      </c>
      <c r="BV182" s="586">
        <f t="shared" si="227"/>
        <v>0.21953981878874582</v>
      </c>
      <c r="BW182" s="586">
        <f t="shared" si="227"/>
        <v>0.20242214532871972</v>
      </c>
      <c r="BX182" s="586">
        <f t="shared" si="227"/>
        <v>0.22332686711930164</v>
      </c>
      <c r="BY182" s="586">
        <f t="shared" si="227"/>
        <v>0.21671081146159402</v>
      </c>
      <c r="BZ182" s="586">
        <f t="shared" si="227"/>
        <v>0.22268907563025211</v>
      </c>
      <c r="CA182" s="586">
        <f t="shared" si="227"/>
        <v>0.21641476485819233</v>
      </c>
      <c r="CB182" s="586">
        <f t="shared" si="227"/>
        <v>0.19620526088831391</v>
      </c>
      <c r="CC182" s="586">
        <f t="shared" si="227"/>
        <v>0.19974254451834367</v>
      </c>
      <c r="CD182" s="586">
        <f t="shared" si="227"/>
        <v>0.20555555555555555</v>
      </c>
      <c r="CE182" s="586">
        <f t="shared" si="227"/>
        <v>0.20894239036973347</v>
      </c>
      <c r="CF182" s="586">
        <f t="shared" si="227"/>
        <v>0.20259064549346917</v>
      </c>
      <c r="CG182" s="586">
        <f t="shared" si="227"/>
        <v>0.22193726573288619</v>
      </c>
      <c r="CH182" s="586">
        <f t="shared" si="227"/>
        <v>0.2211671612265084</v>
      </c>
      <c r="CI182" s="586">
        <f t="shared" si="227"/>
        <v>0.2123912582219393</v>
      </c>
      <c r="CJ182" s="586">
        <f t="shared" si="227"/>
        <v>0.18777009507346587</v>
      </c>
      <c r="CK182" s="586">
        <f t="shared" si="227"/>
        <v>0.21130233752889799</v>
      </c>
      <c r="CL182" s="594">
        <f t="shared" si="227"/>
        <v>0.19749622274983811</v>
      </c>
    </row>
    <row r="183" spans="54:90">
      <c r="BB183" s="498" t="s">
        <v>91</v>
      </c>
      <c r="BC183" s="498"/>
      <c r="BD183" s="498"/>
      <c r="BE183" s="498"/>
      <c r="BF183" s="498"/>
      <c r="BG183" s="498"/>
      <c r="BH183" s="498"/>
      <c r="BI183" s="498"/>
      <c r="BJ183" s="498"/>
      <c r="BK183" s="498"/>
      <c r="BL183" s="586">
        <f t="shared" ref="BL183:CL183" si="228">BL99</f>
        <v>0.15352887259395051</v>
      </c>
      <c r="BM183" s="586">
        <f t="shared" si="228"/>
        <v>0.14066985645933014</v>
      </c>
      <c r="BN183" s="586">
        <f t="shared" si="228"/>
        <v>0.14090019569471623</v>
      </c>
      <c r="BO183" s="586">
        <f t="shared" si="228"/>
        <v>0.14003944773175542</v>
      </c>
      <c r="BP183" s="586">
        <f t="shared" si="228"/>
        <v>0.12147716229348882</v>
      </c>
      <c r="BQ183" s="586">
        <f t="shared" si="228"/>
        <v>0.13576642335766423</v>
      </c>
      <c r="BR183" s="586">
        <f t="shared" si="228"/>
        <v>0.12070657507360157</v>
      </c>
      <c r="BS183" s="586">
        <f t="shared" si="228"/>
        <v>0.12024665981500514</v>
      </c>
      <c r="BT183" s="586">
        <f t="shared" si="228"/>
        <v>0.12609970674486803</v>
      </c>
      <c r="BU183" s="586">
        <f t="shared" si="228"/>
        <v>0.14208826695371365</v>
      </c>
      <c r="BV183" s="586">
        <f t="shared" si="228"/>
        <v>0.12702839756592291</v>
      </c>
      <c r="BW183" s="586">
        <f t="shared" si="228"/>
        <v>0.14238773274917854</v>
      </c>
      <c r="BX183" s="586">
        <f t="shared" si="228"/>
        <v>0.12872340425531914</v>
      </c>
      <c r="BY183" s="586">
        <f t="shared" si="228"/>
        <v>0.13066954643628509</v>
      </c>
      <c r="BZ183" s="586">
        <f t="shared" si="228"/>
        <v>0.11651469098277609</v>
      </c>
      <c r="CA183" s="586">
        <f t="shared" si="228"/>
        <v>0.1293149229952204</v>
      </c>
      <c r="CB183" s="586">
        <f t="shared" si="228"/>
        <v>0.10366492146596859</v>
      </c>
      <c r="CC183" s="586">
        <f t="shared" si="228"/>
        <v>0.15634218289085547</v>
      </c>
      <c r="CD183" s="586">
        <f t="shared" si="228"/>
        <v>0.14391829155060351</v>
      </c>
      <c r="CE183" s="586">
        <f t="shared" si="228"/>
        <v>8.1722319859402467E-2</v>
      </c>
      <c r="CF183" s="586">
        <f t="shared" si="228"/>
        <v>0.12085025077621207</v>
      </c>
      <c r="CG183" s="586">
        <f t="shared" si="228"/>
        <v>0.12101390024529846</v>
      </c>
      <c r="CH183" s="586">
        <f t="shared" si="228"/>
        <v>0.13040000000000002</v>
      </c>
      <c r="CI183" s="586">
        <f t="shared" si="228"/>
        <v>0.16305220883534138</v>
      </c>
      <c r="CJ183" s="586">
        <f t="shared" si="228"/>
        <v>0.16940789473684212</v>
      </c>
      <c r="CK183" s="586">
        <f t="shared" si="228"/>
        <v>0.1459262261856506</v>
      </c>
      <c r="CL183" s="594">
        <f t="shared" si="228"/>
        <v>6.3106796116504854E-2</v>
      </c>
    </row>
    <row r="184" spans="54:90">
      <c r="BB184" s="591" t="s">
        <v>592</v>
      </c>
      <c r="BC184" s="591"/>
      <c r="BD184" s="591"/>
      <c r="BE184" s="591"/>
      <c r="BF184" s="591"/>
      <c r="BG184" s="591"/>
      <c r="BH184" s="591"/>
      <c r="BI184" s="591"/>
      <c r="BJ184" s="591"/>
      <c r="BK184" s="591"/>
      <c r="BL184" s="592">
        <f t="shared" ref="BL184:CL184" si="229">BL103</f>
        <v>0.19532224532224532</v>
      </c>
      <c r="BM184" s="592">
        <f t="shared" si="229"/>
        <v>0.21105017265894782</v>
      </c>
      <c r="BN184" s="592">
        <f t="shared" si="229"/>
        <v>0.21307506053268768</v>
      </c>
      <c r="BO184" s="592">
        <f t="shared" si="229"/>
        <v>0.19001506348181624</v>
      </c>
      <c r="BP184" s="592">
        <f t="shared" si="229"/>
        <v>0.19323076923076923</v>
      </c>
      <c r="BQ184" s="592">
        <f t="shared" si="229"/>
        <v>0.20205144064738931</v>
      </c>
      <c r="BR184" s="592">
        <f t="shared" si="229"/>
        <v>0.19988367584335015</v>
      </c>
      <c r="BS184" s="592">
        <f t="shared" si="229"/>
        <v>0.20923361034164359</v>
      </c>
      <c r="BT184" s="592">
        <f t="shared" si="229"/>
        <v>0.19682601122508228</v>
      </c>
      <c r="BU184" s="592">
        <f t="shared" si="229"/>
        <v>0.20140562248995983</v>
      </c>
      <c r="BV184" s="592">
        <f t="shared" si="229"/>
        <v>0.20193050193050191</v>
      </c>
      <c r="BW184" s="592">
        <f t="shared" si="229"/>
        <v>0.19136922766686831</v>
      </c>
      <c r="BX184" s="592">
        <f t="shared" si="229"/>
        <v>0.20576619273301736</v>
      </c>
      <c r="BY184" s="592">
        <f t="shared" si="229"/>
        <v>0.20102382358732035</v>
      </c>
      <c r="BZ184" s="592">
        <f t="shared" si="229"/>
        <v>0.2028078163536331</v>
      </c>
      <c r="CA184" s="592">
        <f t="shared" si="229"/>
        <v>0.20031414126540029</v>
      </c>
      <c r="CB184" s="592">
        <f t="shared" si="229"/>
        <v>0.18040407652422674</v>
      </c>
      <c r="CC184" s="592">
        <f t="shared" si="229"/>
        <v>0.1919690031701303</v>
      </c>
      <c r="CD184" s="592">
        <f t="shared" si="229"/>
        <v>0.19365250134480902</v>
      </c>
      <c r="CE184" s="592">
        <f t="shared" si="229"/>
        <v>0.18393782383419688</v>
      </c>
      <c r="CF184" s="592">
        <f t="shared" si="229"/>
        <v>0.18747239155402418</v>
      </c>
      <c r="CG184" s="592">
        <f t="shared" si="229"/>
        <v>0.20232040686586142</v>
      </c>
      <c r="CH184" s="592">
        <f t="shared" si="229"/>
        <v>0.20317208564631245</v>
      </c>
      <c r="CI184" s="592">
        <f t="shared" si="229"/>
        <v>0.20208123531386371</v>
      </c>
      <c r="CJ184" s="592">
        <f t="shared" si="229"/>
        <v>0.18394934976043806</v>
      </c>
      <c r="CK184" s="592">
        <f t="shared" si="229"/>
        <v>0.19808188860199186</v>
      </c>
      <c r="CL184" s="595">
        <f t="shared" si="229"/>
        <v>0.17305315203955501</v>
      </c>
    </row>
  </sheetData>
  <printOptions horizontalCentered="1" verticalCentered="1"/>
  <pageMargins left="0.8" right="0.3" top="0.7" bottom="0.2" header="0.5" footer="0.5"/>
  <pageSetup scale="12" orientation="landscape" r:id="rId1"/>
  <headerFooter alignWithMargins="0"/>
  <customProperties>
    <customPr name="Qube.Worksheet.Visibility" r:id="rId2"/>
  </customProperties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582D-819E-6640-A58E-B32A3436D227}">
  <sheetPr>
    <pageSetUpPr fitToPage="1"/>
  </sheetPr>
  <dimension ref="A1:DY145"/>
  <sheetViews>
    <sheetView showGridLines="0" zoomScale="120" zoomScaleNormal="120" zoomScaleSheetLayoutView="70" workbookViewId="0">
      <selection activeCell="CL32" sqref="CL32:CM32"/>
    </sheetView>
  </sheetViews>
  <sheetFormatPr defaultColWidth="9.85546875" defaultRowHeight="12" outlineLevelRow="2" outlineLevelCol="1"/>
  <cols>
    <col min="1" max="1" width="1.85546875" style="197" customWidth="1"/>
    <col min="2" max="2" width="34" style="197" customWidth="1"/>
    <col min="3" max="9" width="9.85546875" style="197" hidden="1" customWidth="1"/>
    <col min="10" max="13" width="9.85546875" style="197" hidden="1" customWidth="1" outlineLevel="1"/>
    <col min="14" max="14" width="9.85546875" style="197" hidden="1" customWidth="1" collapsed="1"/>
    <col min="15" max="18" width="9.85546875" style="197" hidden="1" customWidth="1" outlineLevel="1"/>
    <col min="19" max="19" width="9.85546875" style="197" hidden="1" customWidth="1" collapsed="1"/>
    <col min="20" max="23" width="9.85546875" style="197" hidden="1" customWidth="1" outlineLevel="1"/>
    <col min="24" max="24" width="9.85546875" style="197" hidden="1" customWidth="1" collapsed="1"/>
    <col min="25" max="28" width="9.85546875" style="197" hidden="1" customWidth="1" outlineLevel="1"/>
    <col min="29" max="29" width="9.85546875" style="197" hidden="1" customWidth="1" collapsed="1"/>
    <col min="30" max="33" width="9.85546875" style="197" hidden="1" customWidth="1" outlineLevel="1"/>
    <col min="34" max="34" width="9.85546875" style="197" hidden="1" customWidth="1" collapsed="1"/>
    <col min="35" max="38" width="9.85546875" style="197" hidden="1" customWidth="1" outlineLevel="1"/>
    <col min="39" max="39" width="9.85546875" style="197" hidden="1" customWidth="1" collapsed="1"/>
    <col min="40" max="43" width="9.85546875" style="197" hidden="1" customWidth="1" outlineLevel="1"/>
    <col min="44" max="44" width="9.85546875" style="197" hidden="1" customWidth="1" collapsed="1"/>
    <col min="45" max="48" width="9.85546875" style="197" hidden="1" customWidth="1" outlineLevel="1"/>
    <col min="49" max="49" width="9.85546875" style="197" hidden="1" customWidth="1" collapsed="1"/>
    <col min="50" max="53" width="9.85546875" style="197" hidden="1" customWidth="1" outlineLevel="1"/>
    <col min="54" max="54" width="9.85546875" style="197" customWidth="1" collapsed="1"/>
    <col min="55" max="58" width="9.85546875" style="197" hidden="1" customWidth="1" outlineLevel="1"/>
    <col min="59" max="59" width="9.85546875" style="197" customWidth="1" collapsed="1"/>
    <col min="60" max="63" width="9.85546875" style="197" hidden="1" customWidth="1" outlineLevel="1"/>
    <col min="64" max="64" width="9.85546875" style="197" customWidth="1" collapsed="1"/>
    <col min="65" max="68" width="9.85546875" style="197" hidden="1" customWidth="1" outlineLevel="1"/>
    <col min="69" max="69" width="9.85546875" style="197" customWidth="1" collapsed="1"/>
    <col min="70" max="73" width="9.85546875" style="197" hidden="1" customWidth="1" outlineLevel="1"/>
    <col min="74" max="74" width="9.85546875" style="197" customWidth="1" collapsed="1"/>
    <col min="75" max="78" width="9.85546875" style="197" hidden="1" customWidth="1" outlineLevel="1"/>
    <col min="79" max="79" width="9.85546875" style="197" customWidth="1" collapsed="1"/>
    <col min="80" max="83" width="9.85546875" style="197" hidden="1" customWidth="1" outlineLevel="1"/>
    <col min="84" max="84" width="9.85546875" style="197" customWidth="1" collapsed="1"/>
    <col min="85" max="88" width="9.85546875" style="197" customWidth="1" outlineLevel="1"/>
    <col min="89" max="89" width="9.85546875" style="197" customWidth="1"/>
    <col min="90" max="93" width="9.85546875" style="197" customWidth="1" outlineLevel="1"/>
    <col min="94" max="94" width="9.85546875" style="156" customWidth="1"/>
    <col min="95" max="97" width="9.85546875" style="197" customWidth="1"/>
    <col min="98" max="99" width="9.85546875" style="156"/>
    <col min="100" max="100" width="11.5703125" style="156" customWidth="1"/>
    <col min="101" max="101" width="3.5703125" style="156" customWidth="1"/>
    <col min="102" max="102" width="4" style="156" customWidth="1"/>
    <col min="103" max="103" width="15.140625" style="156" bestFit="1" customWidth="1"/>
    <col min="104" max="108" width="9.85546875" style="156"/>
    <col min="109" max="109" width="3.42578125" style="156" customWidth="1"/>
    <col min="110" max="110" width="2.42578125" style="156" customWidth="1"/>
    <col min="111" max="111" width="9.85546875" style="156"/>
    <col min="112" max="112" width="4" style="156" customWidth="1"/>
    <col min="113" max="114" width="9.85546875" style="156"/>
    <col min="115" max="115" width="1.7109375" style="156" customWidth="1"/>
    <col min="116" max="116" width="12.5703125" style="156" bestFit="1" customWidth="1"/>
    <col min="117" max="125" width="9.85546875" style="156"/>
    <col min="126" max="126" width="1.7109375" style="156" customWidth="1"/>
    <col min="127" max="16384" width="9.85546875" style="156"/>
  </cols>
  <sheetData>
    <row r="1" spans="2:97" ht="12.75" thickBot="1"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260"/>
      <c r="CQ1" s="198"/>
      <c r="CR1" s="198"/>
      <c r="CS1" s="198"/>
    </row>
    <row r="2" spans="2:97" ht="6" customHeight="1"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Q2" s="279"/>
      <c r="CR2" s="199"/>
      <c r="CS2" s="199"/>
    </row>
    <row r="3" spans="2:97" ht="15.75">
      <c r="B3" s="273" t="s">
        <v>261</v>
      </c>
      <c r="C3" s="274">
        <v>1997</v>
      </c>
      <c r="D3" s="274">
        <v>1998</v>
      </c>
      <c r="E3" s="274">
        <v>1999</v>
      </c>
      <c r="F3" s="274">
        <v>2000</v>
      </c>
      <c r="G3" s="274">
        <v>2001</v>
      </c>
      <c r="H3" s="274">
        <v>2002</v>
      </c>
      <c r="I3" s="274">
        <v>2003</v>
      </c>
      <c r="J3" s="275" t="s">
        <v>0</v>
      </c>
      <c r="K3" s="275" t="s">
        <v>1</v>
      </c>
      <c r="L3" s="275" t="s">
        <v>2</v>
      </c>
      <c r="M3" s="275" t="s">
        <v>3</v>
      </c>
      <c r="N3" s="274">
        <v>2004</v>
      </c>
      <c r="O3" s="275" t="s">
        <v>4</v>
      </c>
      <c r="P3" s="275" t="s">
        <v>5</v>
      </c>
      <c r="Q3" s="275" t="s">
        <v>6</v>
      </c>
      <c r="R3" s="275" t="s">
        <v>7</v>
      </c>
      <c r="S3" s="274">
        <v>2005</v>
      </c>
      <c r="T3" s="275" t="s">
        <v>8</v>
      </c>
      <c r="U3" s="275" t="s">
        <v>9</v>
      </c>
      <c r="V3" s="275" t="s">
        <v>10</v>
      </c>
      <c r="W3" s="275" t="s">
        <v>11</v>
      </c>
      <c r="X3" s="274">
        <v>2006</v>
      </c>
      <c r="Y3" s="275" t="s">
        <v>12</v>
      </c>
      <c r="Z3" s="275" t="s">
        <v>13</v>
      </c>
      <c r="AA3" s="275" t="s">
        <v>14</v>
      </c>
      <c r="AB3" s="275" t="s">
        <v>15</v>
      </c>
      <c r="AC3" s="274">
        <v>2007</v>
      </c>
      <c r="AD3" s="275" t="s">
        <v>16</v>
      </c>
      <c r="AE3" s="275" t="s">
        <v>17</v>
      </c>
      <c r="AF3" s="275" t="s">
        <v>18</v>
      </c>
      <c r="AG3" s="275" t="s">
        <v>19</v>
      </c>
      <c r="AH3" s="274">
        <v>2008</v>
      </c>
      <c r="AI3" s="275" t="s">
        <v>20</v>
      </c>
      <c r="AJ3" s="275" t="s">
        <v>21</v>
      </c>
      <c r="AK3" s="275" t="s">
        <v>22</v>
      </c>
      <c r="AL3" s="275" t="s">
        <v>23</v>
      </c>
      <c r="AM3" s="274">
        <v>2009</v>
      </c>
      <c r="AN3" s="275" t="s">
        <v>208</v>
      </c>
      <c r="AO3" s="275" t="s">
        <v>209</v>
      </c>
      <c r="AP3" s="275" t="s">
        <v>210</v>
      </c>
      <c r="AQ3" s="275" t="s">
        <v>211</v>
      </c>
      <c r="AR3" s="274">
        <v>2010</v>
      </c>
      <c r="AS3" s="275" t="s">
        <v>212</v>
      </c>
      <c r="AT3" s="275" t="s">
        <v>213</v>
      </c>
      <c r="AU3" s="275" t="s">
        <v>214</v>
      </c>
      <c r="AV3" s="275" t="s">
        <v>215</v>
      </c>
      <c r="AW3" s="274">
        <v>2011</v>
      </c>
      <c r="AX3" s="275" t="s">
        <v>282</v>
      </c>
      <c r="AY3" s="275" t="s">
        <v>283</v>
      </c>
      <c r="AZ3" s="275" t="s">
        <v>284</v>
      </c>
      <c r="BA3" s="275" t="s">
        <v>285</v>
      </c>
      <c r="BB3" s="274">
        <v>2012</v>
      </c>
      <c r="BC3" s="275" t="s">
        <v>308</v>
      </c>
      <c r="BD3" s="275" t="s">
        <v>309</v>
      </c>
      <c r="BE3" s="275" t="s">
        <v>310</v>
      </c>
      <c r="BF3" s="275" t="s">
        <v>311</v>
      </c>
      <c r="BG3" s="274">
        <v>2013</v>
      </c>
      <c r="BH3" s="275" t="s">
        <v>312</v>
      </c>
      <c r="BI3" s="275" t="s">
        <v>313</v>
      </c>
      <c r="BJ3" s="275" t="s">
        <v>314</v>
      </c>
      <c r="BK3" s="275" t="s">
        <v>315</v>
      </c>
      <c r="BL3" s="274">
        <v>2014</v>
      </c>
      <c r="BM3" s="275" t="s">
        <v>382</v>
      </c>
      <c r="BN3" s="275" t="s">
        <v>383</v>
      </c>
      <c r="BO3" s="275" t="s">
        <v>384</v>
      </c>
      <c r="BP3" s="275" t="s">
        <v>385</v>
      </c>
      <c r="BQ3" s="274">
        <v>2015</v>
      </c>
      <c r="BR3" s="275" t="s">
        <v>386</v>
      </c>
      <c r="BS3" s="275" t="s">
        <v>387</v>
      </c>
      <c r="BT3" s="275" t="s">
        <v>388</v>
      </c>
      <c r="BU3" s="275" t="s">
        <v>389</v>
      </c>
      <c r="BV3" s="274">
        <v>2016</v>
      </c>
      <c r="BW3" s="275" t="s">
        <v>390</v>
      </c>
      <c r="BX3" s="275" t="s">
        <v>391</v>
      </c>
      <c r="BY3" s="275" t="s">
        <v>392</v>
      </c>
      <c r="BZ3" s="275" t="s">
        <v>393</v>
      </c>
      <c r="CA3" s="274">
        <v>2017</v>
      </c>
      <c r="CB3" s="275" t="s">
        <v>445</v>
      </c>
      <c r="CC3" s="275" t="s">
        <v>446</v>
      </c>
      <c r="CD3" s="275" t="s">
        <v>447</v>
      </c>
      <c r="CE3" s="275" t="s">
        <v>448</v>
      </c>
      <c r="CF3" s="274">
        <v>2018</v>
      </c>
      <c r="CG3" s="275" t="s">
        <v>459</v>
      </c>
      <c r="CH3" s="275" t="s">
        <v>460</v>
      </c>
      <c r="CI3" s="275" t="s">
        <v>461</v>
      </c>
      <c r="CJ3" s="275" t="s">
        <v>462</v>
      </c>
      <c r="CK3" s="274">
        <v>2019</v>
      </c>
      <c r="CL3" s="201" t="s">
        <v>466</v>
      </c>
      <c r="CM3" s="201" t="s">
        <v>470</v>
      </c>
      <c r="CN3" s="201" t="s">
        <v>471</v>
      </c>
      <c r="CO3" s="201" t="s">
        <v>472</v>
      </c>
      <c r="CP3" s="264" t="s">
        <v>457</v>
      </c>
      <c r="CQ3" s="280" t="s">
        <v>463</v>
      </c>
      <c r="CR3" s="200" t="s">
        <v>464</v>
      </c>
      <c r="CS3" s="200" t="s">
        <v>465</v>
      </c>
    </row>
    <row r="4" spans="2:97" ht="12.75">
      <c r="B4" s="276" t="s">
        <v>126</v>
      </c>
      <c r="C4" s="277">
        <v>35795</v>
      </c>
      <c r="D4" s="277">
        <v>36160</v>
      </c>
      <c r="E4" s="277">
        <v>36525</v>
      </c>
      <c r="F4" s="277">
        <v>36891</v>
      </c>
      <c r="G4" s="277">
        <v>37256</v>
      </c>
      <c r="H4" s="277">
        <v>37621</v>
      </c>
      <c r="I4" s="277">
        <v>37986</v>
      </c>
      <c r="J4" s="277">
        <v>38077</v>
      </c>
      <c r="K4" s="277">
        <v>38168</v>
      </c>
      <c r="L4" s="277">
        <v>38260</v>
      </c>
      <c r="M4" s="277">
        <v>38352</v>
      </c>
      <c r="N4" s="277">
        <v>38352</v>
      </c>
      <c r="O4" s="277">
        <v>38442</v>
      </c>
      <c r="P4" s="277">
        <v>38533</v>
      </c>
      <c r="Q4" s="277">
        <v>38625</v>
      </c>
      <c r="R4" s="277">
        <v>38717</v>
      </c>
      <c r="S4" s="277">
        <v>38717</v>
      </c>
      <c r="T4" s="277">
        <v>38807</v>
      </c>
      <c r="U4" s="277">
        <v>38898</v>
      </c>
      <c r="V4" s="277">
        <v>38990</v>
      </c>
      <c r="W4" s="277">
        <v>39082</v>
      </c>
      <c r="X4" s="277">
        <v>39082</v>
      </c>
      <c r="Y4" s="277">
        <v>39172</v>
      </c>
      <c r="Z4" s="277">
        <v>39263</v>
      </c>
      <c r="AA4" s="277">
        <v>39355</v>
      </c>
      <c r="AB4" s="277">
        <v>39447</v>
      </c>
      <c r="AC4" s="277">
        <v>39447</v>
      </c>
      <c r="AD4" s="277">
        <v>39538</v>
      </c>
      <c r="AE4" s="277">
        <v>39629</v>
      </c>
      <c r="AF4" s="277">
        <v>39721</v>
      </c>
      <c r="AG4" s="277">
        <v>39813</v>
      </c>
      <c r="AH4" s="277">
        <v>39813</v>
      </c>
      <c r="AI4" s="277">
        <v>39903</v>
      </c>
      <c r="AJ4" s="277">
        <v>39994</v>
      </c>
      <c r="AK4" s="277">
        <v>40086</v>
      </c>
      <c r="AL4" s="278">
        <v>40178</v>
      </c>
      <c r="AM4" s="278">
        <v>40178</v>
      </c>
      <c r="AN4" s="277">
        <v>40268</v>
      </c>
      <c r="AO4" s="277">
        <v>40359</v>
      </c>
      <c r="AP4" s="277">
        <v>40451</v>
      </c>
      <c r="AQ4" s="278">
        <v>40543</v>
      </c>
      <c r="AR4" s="278">
        <v>40543</v>
      </c>
      <c r="AS4" s="277">
        <v>40633</v>
      </c>
      <c r="AT4" s="277">
        <v>40724</v>
      </c>
      <c r="AU4" s="277">
        <v>40816</v>
      </c>
      <c r="AV4" s="278">
        <v>40908</v>
      </c>
      <c r="AW4" s="278">
        <v>40908</v>
      </c>
      <c r="AX4" s="277">
        <v>40999</v>
      </c>
      <c r="AY4" s="277">
        <v>41090</v>
      </c>
      <c r="AZ4" s="277">
        <v>41182</v>
      </c>
      <c r="BA4" s="278">
        <v>41274</v>
      </c>
      <c r="BB4" s="278">
        <v>41274</v>
      </c>
      <c r="BC4" s="277">
        <v>41364</v>
      </c>
      <c r="BD4" s="277">
        <v>41455</v>
      </c>
      <c r="BE4" s="277">
        <v>41547</v>
      </c>
      <c r="BF4" s="278">
        <v>41639</v>
      </c>
      <c r="BG4" s="278">
        <v>41639</v>
      </c>
      <c r="BH4" s="278">
        <v>41729</v>
      </c>
      <c r="BI4" s="278">
        <v>41820</v>
      </c>
      <c r="BJ4" s="278">
        <v>41912</v>
      </c>
      <c r="BK4" s="278">
        <v>42004</v>
      </c>
      <c r="BL4" s="278">
        <v>42004</v>
      </c>
      <c r="BM4" s="277">
        <v>42094</v>
      </c>
      <c r="BN4" s="277">
        <v>42185</v>
      </c>
      <c r="BO4" s="277">
        <v>42277</v>
      </c>
      <c r="BP4" s="278">
        <v>42369</v>
      </c>
      <c r="BQ4" s="278">
        <v>42369</v>
      </c>
      <c r="BR4" s="277">
        <v>42460</v>
      </c>
      <c r="BS4" s="277">
        <v>42551</v>
      </c>
      <c r="BT4" s="277">
        <v>42643</v>
      </c>
      <c r="BU4" s="278">
        <v>42735</v>
      </c>
      <c r="BV4" s="278">
        <v>42735</v>
      </c>
      <c r="BW4" s="277">
        <v>42825</v>
      </c>
      <c r="BX4" s="277">
        <v>42916</v>
      </c>
      <c r="BY4" s="277">
        <v>43008</v>
      </c>
      <c r="BZ4" s="278">
        <v>43100</v>
      </c>
      <c r="CA4" s="278">
        <v>43100</v>
      </c>
      <c r="CB4" s="277">
        <v>43190</v>
      </c>
      <c r="CC4" s="277">
        <v>43281</v>
      </c>
      <c r="CD4" s="277">
        <v>43373</v>
      </c>
      <c r="CE4" s="278">
        <v>43465</v>
      </c>
      <c r="CF4" s="278">
        <v>43465</v>
      </c>
      <c r="CG4" s="277">
        <v>43554</v>
      </c>
      <c r="CH4" s="277">
        <v>43646</v>
      </c>
      <c r="CI4" s="277">
        <v>43738</v>
      </c>
      <c r="CJ4" s="278">
        <v>43830</v>
      </c>
      <c r="CK4" s="278">
        <v>43830</v>
      </c>
      <c r="CL4" s="202">
        <v>43920</v>
      </c>
      <c r="CM4" s="202">
        <v>44012</v>
      </c>
      <c r="CN4" s="202">
        <v>44104</v>
      </c>
      <c r="CO4" s="203">
        <v>44196</v>
      </c>
      <c r="CP4" s="265">
        <v>44196</v>
      </c>
      <c r="CQ4" s="281">
        <v>44561</v>
      </c>
      <c r="CR4" s="204">
        <v>44926</v>
      </c>
      <c r="CS4" s="204">
        <v>45291</v>
      </c>
    </row>
    <row r="5" spans="2:97" ht="12" customHeight="1"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26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Q5" s="282"/>
      <c r="CR5" s="205"/>
      <c r="CS5" s="205"/>
    </row>
    <row r="6" spans="2:97" ht="12" customHeight="1">
      <c r="B6" s="170" t="s">
        <v>78</v>
      </c>
      <c r="C6" s="267">
        <f>'Data (2)'!C6</f>
        <v>936.85500000000002</v>
      </c>
      <c r="D6" s="267">
        <f>'Data (2)'!D6</f>
        <v>1089.0440000000001</v>
      </c>
      <c r="E6" s="267">
        <f>'Data (2)'!E6</f>
        <v>1151.5</v>
      </c>
      <c r="F6" s="267">
        <f>'Data (2)'!F6</f>
        <v>1055.7</v>
      </c>
      <c r="G6" s="267">
        <f>'Data (2)'!G6</f>
        <v>1009.4</v>
      </c>
      <c r="H6" s="267">
        <f>'Data (2)'!H6</f>
        <v>850.8</v>
      </c>
      <c r="I6" s="267">
        <f>'Data (2)'!I6</f>
        <v>896.9</v>
      </c>
      <c r="J6" s="267">
        <f>'Data (2)'!J6</f>
        <v>262.8</v>
      </c>
      <c r="K6" s="267">
        <f>'Data (2)'!K6</f>
        <v>272.2</v>
      </c>
      <c r="L6" s="267">
        <f>'Data (2)'!L6</f>
        <v>263.10000000000002</v>
      </c>
      <c r="M6" s="267">
        <f>'Data (2)'!M6</f>
        <v>276.39999999999998</v>
      </c>
      <c r="N6" s="267">
        <f t="shared" ref="N6:N20" si="0">SUM(J6:M6)</f>
        <v>1074.5</v>
      </c>
      <c r="O6" s="267">
        <f>'Data (2)'!O6</f>
        <v>290.60000000000002</v>
      </c>
      <c r="P6" s="267">
        <f>'Data (2)'!P6</f>
        <v>311.3</v>
      </c>
      <c r="Q6" s="267">
        <f>'Data (2)'!Q6</f>
        <v>276.60000000000002</v>
      </c>
      <c r="R6" s="267">
        <f>'Data (2)'!R6</f>
        <v>282.89999999999998</v>
      </c>
      <c r="S6" s="267">
        <f t="shared" ref="S6:S20" si="1">SUM(O6:R6)</f>
        <v>1161.4000000000001</v>
      </c>
      <c r="T6" s="267">
        <f>'Data (2)'!T6</f>
        <v>307</v>
      </c>
      <c r="U6" s="267">
        <f>'Data (2)'!U6</f>
        <v>316</v>
      </c>
      <c r="V6" s="267">
        <f>'Data (2)'!V6</f>
        <v>289.10000000000002</v>
      </c>
      <c r="W6" s="267">
        <f>'Data (2)'!W6</f>
        <v>280.99999999999989</v>
      </c>
      <c r="X6" s="267">
        <f t="shared" ref="X6:X20" si="2">SUM(T6:W6)</f>
        <v>1193.0999999999999</v>
      </c>
      <c r="Y6" s="267">
        <f>'Data (2)'!Y6</f>
        <v>282.60000000000002</v>
      </c>
      <c r="Z6" s="267">
        <f>'Data (2)'!Z6</f>
        <v>289.8</v>
      </c>
      <c r="AA6" s="267">
        <f>'Data (2)'!AA6</f>
        <v>281.10000000000002</v>
      </c>
      <c r="AB6" s="267">
        <f>'Data (2)'!AB6</f>
        <v>317.5999999999998</v>
      </c>
      <c r="AC6" s="267">
        <f t="shared" ref="AC6:AC20" si="3">SUM(Y6:AB6)</f>
        <v>1171.0999999999999</v>
      </c>
      <c r="AD6" s="267">
        <f>'Data (2)'!AD6</f>
        <v>344.5</v>
      </c>
      <c r="AE6" s="267">
        <f>'Data (2)'!AE6</f>
        <v>359.5</v>
      </c>
      <c r="AF6" s="267">
        <f>'Data (2)'!AF6</f>
        <v>331.4</v>
      </c>
      <c r="AG6" s="267">
        <f>'Data (2)'!AG6</f>
        <v>289.5</v>
      </c>
      <c r="AH6" s="267">
        <f t="shared" ref="AH6:AH20" si="4">SUM(AD6:AG6)</f>
        <v>1324.9</v>
      </c>
      <c r="AI6" s="267">
        <f>'Data (2)'!AI6</f>
        <v>307.3</v>
      </c>
      <c r="AJ6" s="267">
        <f>'Data (2)'!AJ6</f>
        <v>277.3</v>
      </c>
      <c r="AK6" s="267">
        <f>'Data (2)'!AK6</f>
        <v>257.10000000000002</v>
      </c>
      <c r="AL6" s="267">
        <f>'Data (2)'!AL6</f>
        <v>266.60000000000002</v>
      </c>
      <c r="AM6" s="267">
        <f t="shared" ref="AM6:AM20" si="5">SUM(AI6:AL6)</f>
        <v>1108.3000000000002</v>
      </c>
      <c r="AN6" s="267">
        <f>'Data (2)'!AN6</f>
        <v>263</v>
      </c>
      <c r="AO6" s="267">
        <f>'Data (2)'!AO6</f>
        <v>305.10000000000002</v>
      </c>
      <c r="AP6" s="267">
        <f>'Data (2)'!AP6</f>
        <v>294.5</v>
      </c>
      <c r="AQ6" s="267">
        <f>'Data (2)'!AQ6</f>
        <v>310.99999999999989</v>
      </c>
      <c r="AR6" s="267">
        <f t="shared" ref="AR6:AR20" si="6">SUM(AN6:AQ6)</f>
        <v>1173.5999999999999</v>
      </c>
      <c r="AS6" s="267">
        <f>'Data (2)'!AS6</f>
        <v>331.6</v>
      </c>
      <c r="AT6" s="267">
        <f>'Data (2)'!AT6</f>
        <v>353.7</v>
      </c>
      <c r="AU6" s="268">
        <f>'Data (2)'!AU6</f>
        <v>351.8</v>
      </c>
      <c r="AV6" s="267">
        <f>'Data (2)'!AV6</f>
        <v>355.3</v>
      </c>
      <c r="AW6" s="267">
        <f t="shared" ref="AW6:AW20" si="7">SUM(AS6:AV6)</f>
        <v>1392.3999999999999</v>
      </c>
      <c r="AX6" s="267">
        <f>'Data (2)'!AX6</f>
        <v>400.1</v>
      </c>
      <c r="AY6" s="267">
        <f>'Data (2)'!AY6</f>
        <v>399.2</v>
      </c>
      <c r="AZ6" s="267">
        <f>'Data (2)'!AZ6</f>
        <v>391.6</v>
      </c>
      <c r="BA6" s="267">
        <f>'Data (2)'!BA6</f>
        <v>387.3</v>
      </c>
      <c r="BB6" s="267">
        <f t="shared" ref="BB6:BB20" si="8">SUM(AX6:BA6)</f>
        <v>1578.2</v>
      </c>
      <c r="BC6" s="267">
        <f>'Data (2)'!BC6</f>
        <v>416.5</v>
      </c>
      <c r="BD6" s="267">
        <f>'Data (2)'!BD6</f>
        <v>422.6</v>
      </c>
      <c r="BE6" s="267">
        <f>'Data (2)'!BE6</f>
        <v>412.3</v>
      </c>
      <c r="BF6" s="267">
        <f>'Data (2)'!BF6</f>
        <v>426.8</v>
      </c>
      <c r="BG6" s="267">
        <f t="shared" ref="BG6:BG20" si="9">SUM(BC6:BF6)</f>
        <v>1678.2</v>
      </c>
      <c r="BH6" s="267">
        <f>'Data (2)'!BH6</f>
        <v>461.7</v>
      </c>
      <c r="BI6" s="267">
        <f>'Data (2)'!BI6</f>
        <v>470.1</v>
      </c>
      <c r="BJ6" s="267">
        <f>'Data (2)'!BJ6</f>
        <v>451.9</v>
      </c>
      <c r="BK6" s="267">
        <f>'Data (2)'!BK6</f>
        <v>471.8</v>
      </c>
      <c r="BL6" s="267">
        <f t="shared" ref="BL6:BL20" si="10">SUM(BH6:BK6)</f>
        <v>1855.4999999999998</v>
      </c>
      <c r="BM6" s="267">
        <f>'Data (2)'!BM6</f>
        <v>471.8</v>
      </c>
      <c r="BN6" s="267">
        <f>'Data (2)'!BN6</f>
        <v>475.7</v>
      </c>
      <c r="BO6" s="267">
        <f>'Data (2)'!BO6</f>
        <v>448.8</v>
      </c>
      <c r="BP6" s="267">
        <f>'Data (2)'!BP6</f>
        <v>464.9</v>
      </c>
      <c r="BQ6" s="267">
        <f t="shared" ref="BQ6:BQ20" si="11">SUM(BM6:BP6)</f>
        <v>1861.1999999999998</v>
      </c>
      <c r="BR6" s="267">
        <f>'Data (2)'!BR6</f>
        <v>497.7</v>
      </c>
      <c r="BS6" s="267">
        <f>'Data (2)'!BS6</f>
        <v>522.6</v>
      </c>
      <c r="BT6" s="267">
        <f>'Data (2)'!BT6</f>
        <v>500.5</v>
      </c>
      <c r="BU6" s="267">
        <f>'Data (2)'!BU6</f>
        <v>483.5</v>
      </c>
      <c r="BV6" s="267">
        <f t="shared" ref="BV6:BV20" si="12">SUM(BR6:BU6)</f>
        <v>2004.3</v>
      </c>
      <c r="BW6" s="267">
        <f>'Data (2)'!BW6</f>
        <v>478.8</v>
      </c>
      <c r="BX6" s="267">
        <f>'Data (2)'!BX6</f>
        <v>491.3</v>
      </c>
      <c r="BY6" s="267">
        <f>'Data (2)'!BY6</f>
        <v>491.5</v>
      </c>
      <c r="BZ6" s="267">
        <f>'Data (2)'!BZ6</f>
        <v>511.7</v>
      </c>
      <c r="CA6" s="267">
        <f t="shared" ref="CA6:CA20" si="13">SUM(BW6:BZ6)</f>
        <v>1973.3</v>
      </c>
      <c r="CB6" s="267">
        <f>'Data (2)'!CB6</f>
        <v>540.1</v>
      </c>
      <c r="CC6" s="267">
        <f>'Data (2)'!CC6</f>
        <v>547.5</v>
      </c>
      <c r="CD6" s="267">
        <f>'Data (2)'!CD6</f>
        <v>540.5</v>
      </c>
      <c r="CE6" s="267">
        <f>'Data (2)'!CE6</f>
        <v>561</v>
      </c>
      <c r="CF6" s="267">
        <f t="shared" ref="CF6:CF20" si="14">SUM(CB6:CE6)</f>
        <v>2189.1</v>
      </c>
      <c r="CG6" s="267">
        <f>'Data (2)'!CG6</f>
        <v>609.9</v>
      </c>
      <c r="CH6" s="267">
        <f>'Data (2)'!CH6</f>
        <v>609</v>
      </c>
      <c r="CI6" s="267">
        <f>'Data (2)'!CI6</f>
        <v>572.5</v>
      </c>
      <c r="CJ6" s="267">
        <f>'Data (2)'!CJ6</f>
        <v>564.29999999999995</v>
      </c>
      <c r="CK6" s="267">
        <f t="shared" ref="CK6:CK20" si="15">SUM(CG6:CJ6)</f>
        <v>2355.6999999999998</v>
      </c>
      <c r="CL6" s="208">
        <f>'Data (2)'!CL6</f>
        <v>541</v>
      </c>
      <c r="CM6" s="209">
        <f>'SEG (2)'!CM26</f>
        <v>301.06600000000003</v>
      </c>
      <c r="CN6" s="209">
        <f>'SEG (2)'!CN26</f>
        <v>351.483</v>
      </c>
      <c r="CO6" s="209">
        <f>'SEG (2)'!CO26</f>
        <v>415.83699999999999</v>
      </c>
      <c r="CP6" s="267">
        <f t="shared" ref="CP6:CP20" si="16">SUM(CL6:CO6)</f>
        <v>1609.386</v>
      </c>
      <c r="CQ6" s="283">
        <f>'SEG (2)'!CQ26</f>
        <v>1760.6035199999999</v>
      </c>
      <c r="CR6" s="210">
        <f>'SEG (2)'!CR26</f>
        <v>1921.5564921999999</v>
      </c>
      <c r="CS6" s="210">
        <f>'SEG (2)'!CS26</f>
        <v>2125.01199873</v>
      </c>
    </row>
    <row r="7" spans="2:97" ht="12" customHeight="1">
      <c r="B7" s="156" t="s">
        <v>79</v>
      </c>
      <c r="C7" s="269">
        <f>'Data (2)'!C7</f>
        <v>-714.22299999999996</v>
      </c>
      <c r="D7" s="269">
        <f>'Data (2)'!D7</f>
        <v>-817.78499999999997</v>
      </c>
      <c r="E7" s="269">
        <f>'Data (2)'!E7</f>
        <v>-909</v>
      </c>
      <c r="F7" s="269">
        <f>'Data (2)'!F7</f>
        <v>-824.3</v>
      </c>
      <c r="G7" s="269">
        <f>'Data (2)'!G7</f>
        <v>-818.6</v>
      </c>
      <c r="H7" s="269">
        <f>'Data (2)'!H7</f>
        <v>-689.5</v>
      </c>
      <c r="I7" s="269">
        <f>'Data (2)'!I7</f>
        <v>-722.4</v>
      </c>
      <c r="J7" s="269">
        <f>'Data (2)'!J7</f>
        <v>-208.2</v>
      </c>
      <c r="K7" s="269">
        <f>'Data (2)'!K7</f>
        <v>-210.7</v>
      </c>
      <c r="L7" s="269">
        <f>'Data (2)'!L7</f>
        <v>-208.2</v>
      </c>
      <c r="M7" s="269">
        <f>'Data (2)'!M7</f>
        <v>-218.30000000000007</v>
      </c>
      <c r="N7" s="269">
        <f t="shared" si="0"/>
        <v>-845.4</v>
      </c>
      <c r="O7" s="269">
        <f>'Data (2)'!O7</f>
        <v>-224.8</v>
      </c>
      <c r="P7" s="269">
        <f>'Data (2)'!P7</f>
        <v>-240.7</v>
      </c>
      <c r="Q7" s="269">
        <f>'Data (2)'!Q7</f>
        <v>-218.2</v>
      </c>
      <c r="R7" s="269">
        <f>'Data (2)'!R7</f>
        <v>-223.5</v>
      </c>
      <c r="S7" s="269">
        <f t="shared" si="1"/>
        <v>-907.2</v>
      </c>
      <c r="T7" s="269">
        <f>'Data (2)'!T7</f>
        <v>-235.9</v>
      </c>
      <c r="U7" s="269">
        <f>'Data (2)'!U7</f>
        <v>-244.3</v>
      </c>
      <c r="V7" s="269">
        <f>'Data (2)'!V7</f>
        <v>-229.1</v>
      </c>
      <c r="W7" s="269">
        <f>'Data (2)'!W7</f>
        <v>-218.99999999999989</v>
      </c>
      <c r="X7" s="269">
        <f t="shared" si="2"/>
        <v>-928.3</v>
      </c>
      <c r="Y7" s="269">
        <f>'Data (2)'!Y7</f>
        <v>-211.1</v>
      </c>
      <c r="Z7" s="269">
        <f>'Data (2)'!Z7</f>
        <v>-219.4</v>
      </c>
      <c r="AA7" s="269">
        <f>'Data (2)'!AA7</f>
        <v>-214.2</v>
      </c>
      <c r="AB7" s="269">
        <f>'Data (2)'!AB7</f>
        <v>-243.29999999999995</v>
      </c>
      <c r="AC7" s="269">
        <f t="shared" si="3"/>
        <v>-888</v>
      </c>
      <c r="AD7" s="269">
        <f>'Data (2)'!AD7</f>
        <v>-264.39999999999998</v>
      </c>
      <c r="AE7" s="269">
        <f>'Data (2)'!AE7</f>
        <v>-283.39999999999998</v>
      </c>
      <c r="AF7" s="269">
        <f>'Data (2)'!AF7</f>
        <v>-260.3</v>
      </c>
      <c r="AG7" s="269">
        <f>'Data (2)'!AG7</f>
        <v>-227.60000000000014</v>
      </c>
      <c r="AH7" s="269">
        <f t="shared" si="4"/>
        <v>-1035.7</v>
      </c>
      <c r="AI7" s="269">
        <f>'Data (2)'!AI7</f>
        <v>-230.3</v>
      </c>
      <c r="AJ7" s="269">
        <f>'Data (2)'!AJ7</f>
        <v>-214.2</v>
      </c>
      <c r="AK7" s="269">
        <f>'Data (2)'!AK7</f>
        <v>-205</v>
      </c>
      <c r="AL7" s="269">
        <f>'Data (2)'!AL7</f>
        <v>-210.3</v>
      </c>
      <c r="AM7" s="269">
        <f t="shared" si="5"/>
        <v>-859.8</v>
      </c>
      <c r="AN7" s="269">
        <f>'Data (2)'!AN7</f>
        <v>-196.9</v>
      </c>
      <c r="AO7" s="269">
        <f>'Data (2)'!AO7</f>
        <v>-226.7</v>
      </c>
      <c r="AP7" s="269">
        <f>'Data (2)'!AP7</f>
        <v>-224</v>
      </c>
      <c r="AQ7" s="269">
        <f>'Data (2)'!AQ7</f>
        <v>-243.39999999999998</v>
      </c>
      <c r="AR7" s="269">
        <f t="shared" si="6"/>
        <v>-891</v>
      </c>
      <c r="AS7" s="269">
        <f>'Data (2)'!AS7</f>
        <v>-248.6</v>
      </c>
      <c r="AT7" s="269">
        <f>'Data (2)'!AT7</f>
        <v>-266.7</v>
      </c>
      <c r="AU7" s="270">
        <f>'Data (2)'!AU7</f>
        <v>-265.3</v>
      </c>
      <c r="AV7" s="269">
        <f>'Data (2)'!AV7</f>
        <v>-269.7</v>
      </c>
      <c r="AW7" s="269">
        <f t="shared" si="7"/>
        <v>-1050.3</v>
      </c>
      <c r="AX7" s="269">
        <f>'Data (2)'!AX7</f>
        <v>-293.7</v>
      </c>
      <c r="AY7" s="269">
        <f>'Data (2)'!AY7</f>
        <v>-293.7</v>
      </c>
      <c r="AZ7" s="269">
        <f>'Data (2)'!AZ7</f>
        <v>-292.39999999999998</v>
      </c>
      <c r="BA7" s="269">
        <f>'Data (2)'!BA7</f>
        <v>-291.7</v>
      </c>
      <c r="BB7" s="156">
        <f t="shared" si="8"/>
        <v>-1171.5</v>
      </c>
      <c r="BC7" s="156">
        <f>'Data (2)'!BC7</f>
        <v>-304.5</v>
      </c>
      <c r="BD7" s="156">
        <f>'Data (2)'!BD7</f>
        <v>-305.8</v>
      </c>
      <c r="BE7" s="156">
        <f>'Data (2)'!BE7</f>
        <v>-300.2</v>
      </c>
      <c r="BF7" s="156">
        <f>'Data (2)'!BF7</f>
        <v>-313.7</v>
      </c>
      <c r="BG7" s="156">
        <f t="shared" si="9"/>
        <v>-1224.2</v>
      </c>
      <c r="BH7" s="156">
        <f>'Data (2)'!BH7</f>
        <v>-332.5</v>
      </c>
      <c r="BI7" s="156">
        <f>'Data (2)'!BI7</f>
        <v>-341</v>
      </c>
      <c r="BJ7" s="156">
        <f>'Data (2)'!BJ7</f>
        <v>-329.9</v>
      </c>
      <c r="BK7" s="156">
        <f>'Data (2)'!BK7</f>
        <v>-343.3</v>
      </c>
      <c r="BL7" s="156">
        <f t="shared" si="10"/>
        <v>-1346.7</v>
      </c>
      <c r="BM7" s="156">
        <f>'Data (2)'!BM7</f>
        <v>-330</v>
      </c>
      <c r="BN7" s="156">
        <f>'Data (2)'!BN7</f>
        <v>-336.6</v>
      </c>
      <c r="BO7" s="156">
        <f>'Data (2)'!BO7</f>
        <v>-324.7</v>
      </c>
      <c r="BP7" s="156">
        <f>'Data (2)'!BP7</f>
        <v>-337.1</v>
      </c>
      <c r="BQ7" s="156">
        <f t="shared" si="11"/>
        <v>-1328.4</v>
      </c>
      <c r="BR7" s="156">
        <f>'Data (2)'!BR7</f>
        <v>-354.7</v>
      </c>
      <c r="BS7" s="156">
        <f>'Data (2)'!BS7</f>
        <v>-372.3</v>
      </c>
      <c r="BT7" s="156">
        <f>'Data (2)'!BT7</f>
        <v>-364.8</v>
      </c>
      <c r="BU7" s="156">
        <f>'Data (2)'!BU7</f>
        <v>-347.9</v>
      </c>
      <c r="BV7" s="156">
        <f t="shared" si="12"/>
        <v>-1439.6999999999998</v>
      </c>
      <c r="BW7" s="156">
        <f>'Data (2)'!BW7</f>
        <v>-344.7</v>
      </c>
      <c r="BX7" s="156">
        <f>'Data (2)'!BX7</f>
        <v>-351.4</v>
      </c>
      <c r="BY7" s="156">
        <f>'Data (2)'!BY7</f>
        <v>-355.9</v>
      </c>
      <c r="BZ7" s="156">
        <f>'Data (2)'!BZ7</f>
        <v>-369.5</v>
      </c>
      <c r="CA7" s="156">
        <f t="shared" si="13"/>
        <v>-1421.5</v>
      </c>
      <c r="CB7" s="156">
        <f>'Data (2)'!CB7</f>
        <v>-397.5</v>
      </c>
      <c r="CC7" s="156">
        <f>'Data (2)'!CC7</f>
        <v>-402.7</v>
      </c>
      <c r="CD7" s="156">
        <f>'Data (2)'!CD7</f>
        <v>-397.5</v>
      </c>
      <c r="CE7" s="156">
        <f>'Data (2)'!CE7</f>
        <v>-410.6</v>
      </c>
      <c r="CF7" s="156">
        <f t="shared" si="14"/>
        <v>-1608.3000000000002</v>
      </c>
      <c r="CG7" s="156">
        <f>'Data (2)'!CG7</f>
        <v>-442.7</v>
      </c>
      <c r="CH7" s="156">
        <f>'Data (2)'!CH7</f>
        <v>-440.2</v>
      </c>
      <c r="CI7" s="156">
        <f>'Data (2)'!CI7</f>
        <v>-414.6</v>
      </c>
      <c r="CJ7" s="156">
        <f>'Data (2)'!CJ7</f>
        <v>-417.8</v>
      </c>
      <c r="CK7" s="156">
        <f t="shared" si="15"/>
        <v>-1715.3</v>
      </c>
      <c r="CL7" s="197">
        <f>'Data (2)'!CL7</f>
        <v>-400.1</v>
      </c>
      <c r="CM7" s="197">
        <f>CM8-CM6</f>
        <v>-257.05111680000005</v>
      </c>
      <c r="CN7" s="197">
        <f>CN8-CN6</f>
        <v>-283.38454619999999</v>
      </c>
      <c r="CO7" s="197">
        <f>CO8-CO6</f>
        <v>-324.96779779999997</v>
      </c>
      <c r="CP7" s="156">
        <f t="shared" si="16"/>
        <v>-1265.5034608000001</v>
      </c>
      <c r="CQ7" s="282">
        <f>CQ8-CQ6</f>
        <v>-1358.490101327</v>
      </c>
      <c r="CR7" s="205">
        <f>CR8-CR6</f>
        <v>-1460.8068238470678</v>
      </c>
      <c r="CS7" s="205">
        <f>CS8-CS6</f>
        <v>-1591.2928779580629</v>
      </c>
    </row>
    <row r="8" spans="2:97" ht="12" customHeight="1">
      <c r="B8" s="170" t="s">
        <v>80</v>
      </c>
      <c r="C8" s="170">
        <f t="shared" ref="C8:M8" si="17">SUM(C6:C7)</f>
        <v>222.63200000000006</v>
      </c>
      <c r="D8" s="170">
        <f t="shared" si="17"/>
        <v>271.25900000000013</v>
      </c>
      <c r="E8" s="170">
        <f t="shared" si="17"/>
        <v>242.5</v>
      </c>
      <c r="F8" s="170">
        <f t="shared" si="17"/>
        <v>231.40000000000009</v>
      </c>
      <c r="G8" s="170">
        <f t="shared" si="17"/>
        <v>190.79999999999995</v>
      </c>
      <c r="H8" s="170">
        <f t="shared" si="17"/>
        <v>161.29999999999995</v>
      </c>
      <c r="I8" s="170">
        <f t="shared" si="17"/>
        <v>174.5</v>
      </c>
      <c r="J8" s="170">
        <f t="shared" si="17"/>
        <v>54.600000000000023</v>
      </c>
      <c r="K8" s="170">
        <f t="shared" si="17"/>
        <v>61.5</v>
      </c>
      <c r="L8" s="170">
        <f t="shared" si="17"/>
        <v>54.900000000000034</v>
      </c>
      <c r="M8" s="170">
        <f t="shared" si="17"/>
        <v>58.099999999999909</v>
      </c>
      <c r="N8" s="170">
        <f t="shared" si="0"/>
        <v>229.09999999999997</v>
      </c>
      <c r="O8" s="170">
        <f>SUM(O6:O7)</f>
        <v>65.800000000000011</v>
      </c>
      <c r="P8" s="170">
        <f>SUM(P6:P7)</f>
        <v>70.600000000000023</v>
      </c>
      <c r="Q8" s="170">
        <f>SUM(Q6:Q7)</f>
        <v>58.400000000000034</v>
      </c>
      <c r="R8" s="170">
        <f>SUM(R6:R7)</f>
        <v>59.399999999999977</v>
      </c>
      <c r="S8" s="170">
        <f t="shared" si="1"/>
        <v>254.20000000000005</v>
      </c>
      <c r="T8" s="170">
        <f>SUM(T6:T7)</f>
        <v>71.099999999999994</v>
      </c>
      <c r="U8" s="170">
        <f>SUM(U6:U7)</f>
        <v>71.699999999999989</v>
      </c>
      <c r="V8" s="170">
        <f>SUM(V6:V7)</f>
        <v>60.000000000000028</v>
      </c>
      <c r="W8" s="170">
        <f>SUM(W6:W7)</f>
        <v>62</v>
      </c>
      <c r="X8" s="170">
        <f t="shared" si="2"/>
        <v>264.8</v>
      </c>
      <c r="Y8" s="170">
        <f>SUM(Y6:Y7)</f>
        <v>71.500000000000028</v>
      </c>
      <c r="Z8" s="170">
        <f>SUM(Z6:Z7)</f>
        <v>70.400000000000006</v>
      </c>
      <c r="AA8" s="170">
        <f>SUM(AA6:AA7)</f>
        <v>66.900000000000034</v>
      </c>
      <c r="AB8" s="170">
        <f>SUM(AB6:AB7)</f>
        <v>74.299999999999841</v>
      </c>
      <c r="AC8" s="170">
        <f t="shared" si="3"/>
        <v>283.09999999999991</v>
      </c>
      <c r="AD8" s="170">
        <f>SUM(AD6:AD7)</f>
        <v>80.100000000000023</v>
      </c>
      <c r="AE8" s="170">
        <f>SUM(AE6:AE7)</f>
        <v>76.100000000000023</v>
      </c>
      <c r="AF8" s="170">
        <f>SUM(AF6:AF7)</f>
        <v>71.099999999999966</v>
      </c>
      <c r="AG8" s="170">
        <f>SUM(AG6:AG7)</f>
        <v>61.899999999999864</v>
      </c>
      <c r="AH8" s="170">
        <f t="shared" si="4"/>
        <v>289.19999999999987</v>
      </c>
      <c r="AI8" s="170">
        <f>SUM(AI6:AI7)</f>
        <v>77</v>
      </c>
      <c r="AJ8" s="170">
        <f>SUM(AJ6:AJ7)</f>
        <v>63.100000000000023</v>
      </c>
      <c r="AK8" s="170">
        <f>SUM(AK6:AK7)</f>
        <v>52.100000000000023</v>
      </c>
      <c r="AL8" s="170">
        <f>SUM(AL6:AL7)</f>
        <v>56.300000000000011</v>
      </c>
      <c r="AM8" s="170">
        <f t="shared" si="5"/>
        <v>248.50000000000006</v>
      </c>
      <c r="AN8" s="170">
        <f>SUM(AN6:AN7)</f>
        <v>66.099999999999994</v>
      </c>
      <c r="AO8" s="170">
        <f>SUM(AO6:AO7)</f>
        <v>78.400000000000034</v>
      </c>
      <c r="AP8" s="170">
        <f>SUM(AP6:AP7)</f>
        <v>70.5</v>
      </c>
      <c r="AQ8" s="170">
        <f>SUM(AQ6:AQ7)</f>
        <v>67.599999999999909</v>
      </c>
      <c r="AR8" s="170">
        <f t="shared" si="6"/>
        <v>282.59999999999991</v>
      </c>
      <c r="AS8" s="170">
        <f>SUM(AS6:AS7)</f>
        <v>83.000000000000028</v>
      </c>
      <c r="AT8" s="170">
        <f>SUM(AT6:AT7)</f>
        <v>87</v>
      </c>
      <c r="AU8" s="271">
        <f>SUM(AU6:AU7)</f>
        <v>86.5</v>
      </c>
      <c r="AV8" s="170">
        <f>SUM(AV6:AV7)</f>
        <v>85.600000000000023</v>
      </c>
      <c r="AW8" s="170">
        <f t="shared" si="7"/>
        <v>342.1</v>
      </c>
      <c r="AX8" s="170">
        <f>SUM(AX6:AX7)</f>
        <v>106.40000000000003</v>
      </c>
      <c r="AY8" s="170">
        <f>SUM(AY6:AY7)</f>
        <v>105.5</v>
      </c>
      <c r="AZ8" s="170">
        <f>SUM(AZ6:AZ7)</f>
        <v>99.200000000000045</v>
      </c>
      <c r="BA8" s="170">
        <f>SUM(BA6:BA7)</f>
        <v>95.600000000000023</v>
      </c>
      <c r="BB8" s="170">
        <f t="shared" si="8"/>
        <v>406.7000000000001</v>
      </c>
      <c r="BC8" s="170">
        <f>SUM(BC6:BC7)</f>
        <v>112</v>
      </c>
      <c r="BD8" s="170">
        <f>SUM(BD6:BD7)</f>
        <v>116.80000000000001</v>
      </c>
      <c r="BE8" s="170">
        <f>SUM(BE6:BE7)</f>
        <v>112.10000000000002</v>
      </c>
      <c r="BF8" s="170">
        <f>SUM(BF6:BF7)</f>
        <v>113.10000000000002</v>
      </c>
      <c r="BG8" s="170">
        <f t="shared" si="9"/>
        <v>454.00000000000006</v>
      </c>
      <c r="BH8" s="170">
        <f>SUM(BH6:BH7)</f>
        <v>129.19999999999999</v>
      </c>
      <c r="BI8" s="170">
        <f>SUM(BI6:BI7)</f>
        <v>129.10000000000002</v>
      </c>
      <c r="BJ8" s="170">
        <f>SUM(BJ6:BJ7)</f>
        <v>122</v>
      </c>
      <c r="BK8" s="170">
        <f>SUM(BK6:BK7)</f>
        <v>128.5</v>
      </c>
      <c r="BL8" s="170">
        <f t="shared" si="10"/>
        <v>508.8</v>
      </c>
      <c r="BM8" s="170">
        <f>SUM(BM6:BM7)</f>
        <v>141.80000000000001</v>
      </c>
      <c r="BN8" s="170">
        <f>SUM(BN6:BN7)</f>
        <v>139.09999999999997</v>
      </c>
      <c r="BO8" s="170">
        <f>SUM(BO6:BO7)</f>
        <v>124.10000000000002</v>
      </c>
      <c r="BP8" s="170">
        <f>SUM(BP6:BP7)</f>
        <v>127.79999999999995</v>
      </c>
      <c r="BQ8" s="170">
        <f t="shared" si="11"/>
        <v>532.79999999999995</v>
      </c>
      <c r="BR8" s="170">
        <f>SUM(BR6:BR7)</f>
        <v>143</v>
      </c>
      <c r="BS8" s="170">
        <f>SUM(BS6:BS7)</f>
        <v>150.30000000000001</v>
      </c>
      <c r="BT8" s="170">
        <f>SUM(BT6:BT7)</f>
        <v>135.69999999999999</v>
      </c>
      <c r="BU8" s="170">
        <f>SUM(BU6:BU7)</f>
        <v>135.60000000000002</v>
      </c>
      <c r="BV8" s="170">
        <f t="shared" si="12"/>
        <v>564.6</v>
      </c>
      <c r="BW8" s="170">
        <f>SUM(BW6:BW7)</f>
        <v>134.10000000000002</v>
      </c>
      <c r="BX8" s="170">
        <f>SUM(BX6:BX7)</f>
        <v>139.90000000000003</v>
      </c>
      <c r="BY8" s="170">
        <f>SUM(BY6:BY7)</f>
        <v>135.60000000000002</v>
      </c>
      <c r="BZ8" s="170">
        <f>SUM(BZ6:BZ7)</f>
        <v>142.19999999999999</v>
      </c>
      <c r="CA8" s="170">
        <f t="shared" si="13"/>
        <v>551.80000000000007</v>
      </c>
      <c r="CB8" s="170">
        <f>SUM(CB6:CB7)</f>
        <v>142.60000000000002</v>
      </c>
      <c r="CC8" s="170">
        <f>SUM(CC6:CC7)</f>
        <v>144.80000000000001</v>
      </c>
      <c r="CD8" s="170">
        <f>SUM(CD6:CD7)</f>
        <v>143</v>
      </c>
      <c r="CE8" s="170">
        <f>SUM(CE6:CE7)</f>
        <v>150.39999999999998</v>
      </c>
      <c r="CF8" s="170">
        <f t="shared" si="14"/>
        <v>580.79999999999995</v>
      </c>
      <c r="CG8" s="170">
        <f>SUM(CG6:CG7)</f>
        <v>167.2</v>
      </c>
      <c r="CH8" s="170">
        <f>SUM(CH6:CH7)</f>
        <v>168.8</v>
      </c>
      <c r="CI8" s="170">
        <f>SUM(CI6:CI7)</f>
        <v>157.89999999999998</v>
      </c>
      <c r="CJ8" s="170">
        <f>SUM(CJ6:CJ7)</f>
        <v>146.49999999999994</v>
      </c>
      <c r="CK8" s="170">
        <f t="shared" si="15"/>
        <v>640.39999999999986</v>
      </c>
      <c r="CL8" s="206">
        <f>SUM(CL6:CL7)</f>
        <v>140.89999999999998</v>
      </c>
      <c r="CM8" s="206">
        <f>CM12-CM11-CM10-CM9</f>
        <v>44.014883200000007</v>
      </c>
      <c r="CN8" s="206">
        <f>CN12-CN11-CN10-CN9</f>
        <v>68.098453800000016</v>
      </c>
      <c r="CO8" s="206">
        <f>CO12-CO11-CO10-CO9</f>
        <v>90.869202200000004</v>
      </c>
      <c r="CP8" s="170">
        <f t="shared" si="16"/>
        <v>343.8825392</v>
      </c>
      <c r="CQ8" s="284">
        <f>CQ12-CQ11-CQ10-CQ9</f>
        <v>402.11341867299996</v>
      </c>
      <c r="CR8" s="212">
        <f>CR12-CR11-CR10-CR9</f>
        <v>460.74966835293196</v>
      </c>
      <c r="CS8" s="212">
        <f>CS12-CS11-CS10-CS9</f>
        <v>533.71912077193701</v>
      </c>
    </row>
    <row r="9" spans="2:97" ht="12" customHeight="1">
      <c r="B9" s="156" t="s">
        <v>87</v>
      </c>
      <c r="C9" s="156">
        <f>'Data (2)'!C9</f>
        <v>-102.449</v>
      </c>
      <c r="D9" s="156">
        <f>'Data (2)'!D9</f>
        <v>-117.88500000000001</v>
      </c>
      <c r="E9" s="156">
        <f>'Data (2)'!E9</f>
        <v>-128.69999999999999</v>
      </c>
      <c r="F9" s="156">
        <f>'Data (2)'!F9</f>
        <v>-123.9</v>
      </c>
      <c r="G9" s="156">
        <f>'Data (2)'!G9</f>
        <v>-120.9</v>
      </c>
      <c r="H9" s="156">
        <f>'Data (2)'!H9</f>
        <v>-85.9</v>
      </c>
      <c r="I9" s="156">
        <f>'Data (2)'!I9</f>
        <v>-95</v>
      </c>
      <c r="J9" s="156">
        <f>'Data (2)'!J9</f>
        <v>-25.5</v>
      </c>
      <c r="K9" s="156">
        <f>'Data (2)'!K9</f>
        <v>-28.2</v>
      </c>
      <c r="L9" s="156">
        <f>'Data (2)'!L9</f>
        <v>-28.9</v>
      </c>
      <c r="M9" s="156">
        <f>'Data (2)'!M9</f>
        <v>-30.5</v>
      </c>
      <c r="N9" s="156">
        <f t="shared" si="0"/>
        <v>-113.1</v>
      </c>
      <c r="O9" s="156">
        <f>'Data (2)'!O9</f>
        <v>-26.6</v>
      </c>
      <c r="P9" s="156">
        <f>'Data (2)'!P9</f>
        <v>-28.2</v>
      </c>
      <c r="Q9" s="156">
        <f>'Data (2)'!Q9</f>
        <v>-26.9</v>
      </c>
      <c r="R9" s="156">
        <f>'Data (2)'!R9</f>
        <v>-24.900000000000006</v>
      </c>
      <c r="S9" s="156">
        <f t="shared" si="1"/>
        <v>-106.6</v>
      </c>
      <c r="T9" s="156">
        <f>'Data (2)'!T9</f>
        <v>-30.7</v>
      </c>
      <c r="U9" s="156">
        <f>'Data (2)'!U9</f>
        <v>-28.8</v>
      </c>
      <c r="V9" s="156">
        <f>'Data (2)'!V9</f>
        <v>-26.6</v>
      </c>
      <c r="W9" s="156">
        <f>'Data (2)'!W9</f>
        <v>-27.100000000000009</v>
      </c>
      <c r="X9" s="156">
        <f t="shared" si="2"/>
        <v>-113.2</v>
      </c>
      <c r="Y9" s="156">
        <f>'Data (2)'!Y9</f>
        <v>-31</v>
      </c>
      <c r="Z9" s="156">
        <f>'Data (2)'!Z9</f>
        <v>-27.4</v>
      </c>
      <c r="AA9" s="156">
        <f>'Data (2)'!AA9</f>
        <v>-26.4</v>
      </c>
      <c r="AB9" s="156">
        <f>'Data (2)'!AB9</f>
        <v>-29.200000000000003</v>
      </c>
      <c r="AC9" s="156">
        <f t="shared" si="3"/>
        <v>-114</v>
      </c>
      <c r="AD9" s="156">
        <f>'Data (2)'!AD9</f>
        <v>-31.9</v>
      </c>
      <c r="AE9" s="156">
        <f>'Data (2)'!AE9</f>
        <v>-30</v>
      </c>
      <c r="AF9" s="156">
        <f>'Data (2)'!AF9</f>
        <v>-26.9</v>
      </c>
      <c r="AG9" s="156">
        <f>'Data (2)'!AG9</f>
        <v>-24.100000000000009</v>
      </c>
      <c r="AH9" s="156">
        <f t="shared" si="4"/>
        <v>-112.9</v>
      </c>
      <c r="AI9" s="156">
        <f>'Data (2)'!AI9</f>
        <v>-29.3</v>
      </c>
      <c r="AJ9" s="156">
        <f>'Data (2)'!AJ9</f>
        <v>-25.3</v>
      </c>
      <c r="AK9" s="156">
        <f>'Data (2)'!AK9</f>
        <v>-25.8</v>
      </c>
      <c r="AL9" s="156">
        <f>'Data (2)'!AL9</f>
        <v>-26.8</v>
      </c>
      <c r="AM9" s="156">
        <f t="shared" si="5"/>
        <v>-107.2</v>
      </c>
      <c r="AN9" s="156">
        <f>'Data (2)'!AN9</f>
        <v>-31.4</v>
      </c>
      <c r="AO9" s="156">
        <f>'Data (2)'!AO9</f>
        <v>-29.6</v>
      </c>
      <c r="AP9" s="156">
        <f>'Data (2)'!AP9</f>
        <v>-28.7</v>
      </c>
      <c r="AQ9" s="156">
        <f>'Data (2)'!AQ9</f>
        <v>-28.799999999999997</v>
      </c>
      <c r="AR9" s="156">
        <f t="shared" si="6"/>
        <v>-118.5</v>
      </c>
      <c r="AS9" s="156">
        <f>'Data (2)'!AS9</f>
        <v>-32.9</v>
      </c>
      <c r="AT9" s="156">
        <f>'Data (2)'!AT9</f>
        <v>-29.7</v>
      </c>
      <c r="AU9" s="158">
        <f>'Data (2)'!AU9</f>
        <v>-29.9</v>
      </c>
      <c r="AV9" s="156">
        <f>'Data (2)'!AV9</f>
        <v>-28</v>
      </c>
      <c r="AW9" s="156">
        <f t="shared" si="7"/>
        <v>-120.5</v>
      </c>
      <c r="AX9" s="156">
        <f>'Data (2)'!AX9</f>
        <v>-36.6</v>
      </c>
      <c r="AY9" s="156">
        <f>'Data (2)'!AY9</f>
        <v>-32.5</v>
      </c>
      <c r="AZ9" s="156">
        <f>'Data (2)'!AZ9</f>
        <v>-30.3</v>
      </c>
      <c r="BA9" s="156">
        <f>'Data (2)'!BA9</f>
        <v>-31.3</v>
      </c>
      <c r="BB9" s="156">
        <f t="shared" si="8"/>
        <v>-130.69999999999999</v>
      </c>
      <c r="BC9" s="156">
        <f>'Data (2)'!BC9</f>
        <v>-38</v>
      </c>
      <c r="BD9" s="156">
        <f>'Data (2)'!BD9</f>
        <v>-34.799999999999997</v>
      </c>
      <c r="BE9" s="156">
        <f>'Data (2)'!BE9</f>
        <v>-32.9</v>
      </c>
      <c r="BF9" s="156">
        <f>'Data (2)'!BF9</f>
        <v>-35.700000000000003</v>
      </c>
      <c r="BG9" s="156">
        <f t="shared" si="9"/>
        <v>-141.39999999999998</v>
      </c>
      <c r="BH9" s="156">
        <f>'Data (2)'!BH9</f>
        <v>-41</v>
      </c>
      <c r="BI9" s="156">
        <f>'Data (2)'!BI9</f>
        <v>-37.1</v>
      </c>
      <c r="BJ9" s="156">
        <f>'Data (2)'!BJ9</f>
        <v>-32.9</v>
      </c>
      <c r="BK9" s="156">
        <f>'Data (2)'!BK9</f>
        <v>-38.1</v>
      </c>
      <c r="BL9" s="156">
        <f t="shared" si="10"/>
        <v>-149.1</v>
      </c>
      <c r="BM9" s="156">
        <f>'Data (2)'!BM9</f>
        <v>-46.7</v>
      </c>
      <c r="BN9" s="156">
        <f>'Data (2)'!BN9</f>
        <v>-38.1</v>
      </c>
      <c r="BO9" s="156">
        <f>'Data (2)'!BO9</f>
        <v>-35.5</v>
      </c>
      <c r="BP9" s="156">
        <f>'Data (2)'!BP9</f>
        <v>-35.799999999999997</v>
      </c>
      <c r="BQ9" s="156">
        <f t="shared" si="11"/>
        <v>-156.10000000000002</v>
      </c>
      <c r="BR9" s="156">
        <f>'Data (2)'!BR9</f>
        <v>-47.4</v>
      </c>
      <c r="BS9" s="156">
        <f>'Data (2)'!BS9</f>
        <v>-38.6</v>
      </c>
      <c r="BT9" s="156">
        <f>'Data (2)'!BT9</f>
        <v>-35.1</v>
      </c>
      <c r="BU9" s="156">
        <f>'Data (2)'!BU9</f>
        <v>-36.5</v>
      </c>
      <c r="BV9" s="156">
        <f t="shared" si="12"/>
        <v>-157.6</v>
      </c>
      <c r="BW9" s="156">
        <f>'Data (2)'!BW9</f>
        <v>-42.9</v>
      </c>
      <c r="BX9" s="156">
        <f>'Data (2)'!BX9</f>
        <v>-38.1</v>
      </c>
      <c r="BY9" s="156">
        <f>'Data (2)'!BY9</f>
        <v>-34.700000000000003</v>
      </c>
      <c r="BZ9" s="156">
        <f>'Data (2)'!BZ9</f>
        <v>-36.1</v>
      </c>
      <c r="CA9" s="156">
        <f t="shared" si="13"/>
        <v>-151.80000000000001</v>
      </c>
      <c r="CB9" s="156">
        <f>'Data (2)'!CB9</f>
        <v>-46.4</v>
      </c>
      <c r="CC9" s="156">
        <f>'Data (2)'!CC9</f>
        <v>-35.299999999999997</v>
      </c>
      <c r="CD9" s="156">
        <f>'Data (2)'!CD9</f>
        <v>-32.6</v>
      </c>
      <c r="CE9" s="156">
        <f>'Data (2)'!CE9</f>
        <v>-31.7</v>
      </c>
      <c r="CF9" s="156">
        <f t="shared" si="14"/>
        <v>-145.99999999999997</v>
      </c>
      <c r="CG9" s="156">
        <f>'Data (2)'!CG9</f>
        <v>-49.5</v>
      </c>
      <c r="CH9" s="156">
        <f>'Data (2)'!CH9</f>
        <v>-39.5</v>
      </c>
      <c r="CI9" s="156">
        <f>'Data (2)'!CI9</f>
        <v>-33.799999999999997</v>
      </c>
      <c r="CJ9" s="156">
        <f>'Data (2)'!CJ9</f>
        <v>-35.9</v>
      </c>
      <c r="CK9" s="156">
        <f t="shared" si="15"/>
        <v>-158.69999999999999</v>
      </c>
      <c r="CL9" s="197">
        <f>'Data (2)'!CL9</f>
        <v>-46.5</v>
      </c>
      <c r="CM9" s="213">
        <f>-CM53*CM6</f>
        <v>-21.074620000000003</v>
      </c>
      <c r="CN9" s="213">
        <f>-CN53*CN6</f>
        <v>-24.603810000000003</v>
      </c>
      <c r="CO9" s="213">
        <f>-CO53*CO6</f>
        <v>-29.108590000000003</v>
      </c>
      <c r="CP9" s="156">
        <f t="shared" si="16"/>
        <v>-121.28702000000003</v>
      </c>
      <c r="CQ9" s="285">
        <f>-CQ53*CQ6</f>
        <v>-140.84828160000001</v>
      </c>
      <c r="CR9" s="214">
        <f>-CR53*CR6</f>
        <v>-153.72451937599999</v>
      </c>
      <c r="CS9" s="214">
        <f>-CS53*CS6</f>
        <v>-170.0009598984</v>
      </c>
    </row>
    <row r="10" spans="2:97" ht="12" customHeight="1">
      <c r="B10" s="156" t="s">
        <v>88</v>
      </c>
      <c r="C10" s="156">
        <f>'Data (2)'!C10</f>
        <v>-18.382999999999999</v>
      </c>
      <c r="D10" s="156">
        <f>'Data (2)'!D10</f>
        <v>-23.623999999999999</v>
      </c>
      <c r="E10" s="156">
        <f>'Data (2)'!E10</f>
        <v>-24.8</v>
      </c>
      <c r="F10" s="156">
        <f>'Data (2)'!F10</f>
        <v>-21.2</v>
      </c>
      <c r="G10" s="156">
        <f>'Data (2)'!G10</f>
        <v>-18.600000000000001</v>
      </c>
      <c r="H10" s="156">
        <f>'Data (2)'!H10</f>
        <v>-14.7</v>
      </c>
      <c r="I10" s="156">
        <f>'Data (2)'!I10</f>
        <v>-17.7</v>
      </c>
      <c r="J10" s="156">
        <f>'Data (2)'!J10</f>
        <v>-4.9000000000000004</v>
      </c>
      <c r="K10" s="156">
        <f>'Data (2)'!K10</f>
        <v>-5</v>
      </c>
      <c r="L10" s="156">
        <f>'Data (2)'!L10</f>
        <v>-5.3</v>
      </c>
      <c r="M10" s="156">
        <f>'Data (2)'!M10</f>
        <v>-6.1000000000000014</v>
      </c>
      <c r="N10" s="156">
        <f t="shared" si="0"/>
        <v>-21.3</v>
      </c>
      <c r="O10" s="156">
        <f>'Data (2)'!O10</f>
        <v>-5.7</v>
      </c>
      <c r="P10" s="156">
        <f>'Data (2)'!P10</f>
        <v>-6</v>
      </c>
      <c r="Q10" s="156">
        <f>'Data (2)'!Q10</f>
        <v>-6</v>
      </c>
      <c r="R10" s="156">
        <f>'Data (2)'!R10</f>
        <v>-7.6999999999999993</v>
      </c>
      <c r="S10" s="156">
        <f t="shared" si="1"/>
        <v>-25.4</v>
      </c>
      <c r="T10" s="156">
        <f>'Data (2)'!T10</f>
        <v>-7.6</v>
      </c>
      <c r="U10" s="156">
        <f>'Data (2)'!U10</f>
        <v>-7.5</v>
      </c>
      <c r="V10" s="156">
        <f>'Data (2)'!V10</f>
        <v>-6.3</v>
      </c>
      <c r="W10" s="156">
        <f>'Data (2)'!W10</f>
        <v>-9</v>
      </c>
      <c r="X10" s="156">
        <f t="shared" si="2"/>
        <v>-30.4</v>
      </c>
      <c r="Y10" s="156">
        <f>'Data (2)'!Y10</f>
        <v>-9.5</v>
      </c>
      <c r="Z10" s="156">
        <f>'Data (2)'!Z10</f>
        <v>-8.5</v>
      </c>
      <c r="AA10" s="156">
        <f>'Data (2)'!AA10</f>
        <v>-7.7</v>
      </c>
      <c r="AB10" s="156">
        <f>'Data (2)'!AB10</f>
        <v>-8.5000000000000036</v>
      </c>
      <c r="AC10" s="156">
        <f t="shared" si="3"/>
        <v>-34.200000000000003</v>
      </c>
      <c r="AD10" s="156">
        <f>'Data (2)'!AD10</f>
        <v>-8.5</v>
      </c>
      <c r="AE10" s="156">
        <f>'Data (2)'!AE10</f>
        <v>-8</v>
      </c>
      <c r="AF10" s="156">
        <f>'Data (2)'!AF10</f>
        <v>-7.6</v>
      </c>
      <c r="AG10" s="156">
        <f>'Data (2)'!AG10</f>
        <v>-7.2999999999999972</v>
      </c>
      <c r="AH10" s="156">
        <f t="shared" si="4"/>
        <v>-31.4</v>
      </c>
      <c r="AI10" s="156">
        <f>'Data (2)'!AI10</f>
        <v>-7.8</v>
      </c>
      <c r="AJ10" s="156">
        <f>'Data (2)'!AJ10</f>
        <v>-6.4</v>
      </c>
      <c r="AK10" s="156">
        <f>'Data (2)'!AK10</f>
        <v>-8.4</v>
      </c>
      <c r="AL10" s="156">
        <f>'Data (2)'!AL10</f>
        <v>-7.5</v>
      </c>
      <c r="AM10" s="156">
        <f t="shared" si="5"/>
        <v>-30.1</v>
      </c>
      <c r="AN10" s="156">
        <f>'Data (2)'!AN10</f>
        <v>-7.4</v>
      </c>
      <c r="AO10" s="156">
        <f>'Data (2)'!AO10</f>
        <v>-8.3000000000000007</v>
      </c>
      <c r="AP10" s="156">
        <f>'Data (2)'!AP10</f>
        <v>-7.3</v>
      </c>
      <c r="AQ10" s="156">
        <f>'Data (2)'!AQ10</f>
        <v>-7.8000000000000007</v>
      </c>
      <c r="AR10" s="156">
        <f t="shared" si="6"/>
        <v>-30.8</v>
      </c>
      <c r="AS10" s="156">
        <f>'Data (2)'!AS10</f>
        <v>-8.6</v>
      </c>
      <c r="AT10" s="156">
        <f>'Data (2)'!AT10</f>
        <v>-7.9</v>
      </c>
      <c r="AU10" s="158">
        <f>'Data (2)'!AU10</f>
        <v>-7.9</v>
      </c>
      <c r="AV10" s="156">
        <f>'Data (2)'!AV10</f>
        <v>-8.1999999999999993</v>
      </c>
      <c r="AW10" s="156">
        <f t="shared" si="7"/>
        <v>-32.599999999999994</v>
      </c>
      <c r="AX10" s="156">
        <f>'Data (2)'!AX10</f>
        <v>-9.1999999999999993</v>
      </c>
      <c r="AY10" s="156">
        <f>'Data (2)'!AY10</f>
        <v>-8.6</v>
      </c>
      <c r="AZ10" s="156">
        <f>'Data (2)'!AZ10</f>
        <v>-8.9</v>
      </c>
      <c r="BA10" s="156">
        <f>'Data (2)'!BA10</f>
        <v>-10</v>
      </c>
      <c r="BB10" s="156">
        <f t="shared" si="8"/>
        <v>-36.699999999999996</v>
      </c>
      <c r="BC10" s="156">
        <f>'Data (2)'!BC10</f>
        <v>-11</v>
      </c>
      <c r="BD10" s="156">
        <f>'Data (2)'!BD10</f>
        <v>-10.1</v>
      </c>
      <c r="BE10" s="156">
        <f>'Data (2)'!BE10</f>
        <v>-10.199999999999999</v>
      </c>
      <c r="BF10" s="156">
        <f>'Data (2)'!BF10</f>
        <v>-10.4</v>
      </c>
      <c r="BG10" s="156">
        <f t="shared" si="9"/>
        <v>-41.7</v>
      </c>
      <c r="BH10" s="156">
        <f>'Data (2)'!BH10</f>
        <v>-13.6</v>
      </c>
      <c r="BI10" s="156">
        <f>'Data (2)'!BI10</f>
        <v>-10.9</v>
      </c>
      <c r="BJ10" s="156">
        <f>'Data (2)'!BJ10</f>
        <v>-10.1</v>
      </c>
      <c r="BK10" s="156">
        <f>'Data (2)'!BK10</f>
        <v>-13.3</v>
      </c>
      <c r="BL10" s="156">
        <f t="shared" si="10"/>
        <v>-47.900000000000006</v>
      </c>
      <c r="BM10" s="156">
        <f>'Data (2)'!BM10</f>
        <v>-12.5</v>
      </c>
      <c r="BN10" s="156">
        <f>'Data (2)'!BN10</f>
        <v>-10.4</v>
      </c>
      <c r="BO10" s="156">
        <f>'Data (2)'!BO10</f>
        <v>-10.6</v>
      </c>
      <c r="BP10" s="156">
        <f>'Data (2)'!BP10</f>
        <v>-10.8</v>
      </c>
      <c r="BQ10" s="156">
        <f t="shared" si="11"/>
        <v>-44.3</v>
      </c>
      <c r="BR10" s="156">
        <f>'Data (2)'!BR10</f>
        <v>-11.7</v>
      </c>
      <c r="BS10" s="156">
        <f>'Data (2)'!BS10</f>
        <v>-11.6</v>
      </c>
      <c r="BT10" s="156">
        <f>'Data (2)'!BT10</f>
        <v>-11.5</v>
      </c>
      <c r="BU10" s="156">
        <f>'Data (2)'!BU10</f>
        <v>-12.1</v>
      </c>
      <c r="BV10" s="156">
        <f t="shared" si="12"/>
        <v>-46.9</v>
      </c>
      <c r="BW10" s="156">
        <f>'Data (2)'!BW10</f>
        <v>-12.6</v>
      </c>
      <c r="BX10" s="156">
        <f>'Data (2)'!BX10</f>
        <v>-12.1</v>
      </c>
      <c r="BY10" s="156">
        <f>'Data (2)'!BY10</f>
        <v>-11.8</v>
      </c>
      <c r="BZ10" s="156">
        <f>'Data (2)'!BZ10</f>
        <v>-12.9</v>
      </c>
      <c r="CA10" s="156">
        <f t="shared" si="13"/>
        <v>-49.4</v>
      </c>
      <c r="CB10" s="156">
        <f>'Data (2)'!CB10</f>
        <v>-13.8</v>
      </c>
      <c r="CC10" s="156">
        <f>'Data (2)'!CC10</f>
        <v>-13</v>
      </c>
      <c r="CD10" s="156">
        <f>'Data (2)'!CD10</f>
        <v>-13.9</v>
      </c>
      <c r="CE10" s="156">
        <f>'Data (2)'!CE10</f>
        <v>-15.2</v>
      </c>
      <c r="CF10" s="156">
        <f t="shared" si="14"/>
        <v>-55.900000000000006</v>
      </c>
      <c r="CG10" s="156">
        <f>'Data (2)'!CG10</f>
        <v>-14.9</v>
      </c>
      <c r="CH10" s="156">
        <f>'Data (2)'!CH10</f>
        <v>-14.2</v>
      </c>
      <c r="CI10" s="156">
        <f>'Data (2)'!CI10</f>
        <v>-14.2</v>
      </c>
      <c r="CJ10" s="156">
        <f>'Data (2)'!CJ10</f>
        <v>-13.2</v>
      </c>
      <c r="CK10" s="156">
        <f t="shared" si="15"/>
        <v>-56.5</v>
      </c>
      <c r="CL10" s="197">
        <f>'Data (2)'!CL10</f>
        <v>-14</v>
      </c>
      <c r="CM10" s="213">
        <f>-CM6*CM52</f>
        <v>-8.4298480000000016</v>
      </c>
      <c r="CN10" s="213">
        <f>-CN6*CN52</f>
        <v>-9.8415239999999997</v>
      </c>
      <c r="CO10" s="213">
        <f>-CO6*CO52</f>
        <v>-11.643435999999999</v>
      </c>
      <c r="CP10" s="156">
        <f t="shared" si="16"/>
        <v>-43.914808000000001</v>
      </c>
      <c r="CQ10" s="285">
        <f>-CQ6*CQ52</f>
        <v>-49.296898559999995</v>
      </c>
      <c r="CR10" s="214">
        <f>-CR6*CR52</f>
        <v>-53.803581781599995</v>
      </c>
      <c r="CS10" s="214">
        <f>-CS6*CS52</f>
        <v>-59.500335964439998</v>
      </c>
    </row>
    <row r="11" spans="2:97" ht="12" customHeight="1">
      <c r="B11" s="156" t="s">
        <v>81</v>
      </c>
      <c r="C11" s="269">
        <f>'Data (2)'!C11</f>
        <v>-25.343</v>
      </c>
      <c r="D11" s="269">
        <f>'Data (2)'!D11</f>
        <v>-12.711</v>
      </c>
      <c r="E11" s="269">
        <f>'Data (2)'!E11</f>
        <v>-20.100000000000001</v>
      </c>
      <c r="F11" s="269">
        <f>'Data (2)'!F11</f>
        <v>-10.9</v>
      </c>
      <c r="G11" s="269">
        <f>'Data (2)'!G11</f>
        <v>-367.5</v>
      </c>
      <c r="H11" s="269">
        <f>'Data (2)'!H11</f>
        <v>-0.5</v>
      </c>
      <c r="I11" s="269">
        <f>'Data (2)'!I11</f>
        <v>-4</v>
      </c>
      <c r="J11" s="269">
        <f>'Data (2)'!J11</f>
        <v>-0.5</v>
      </c>
      <c r="K11" s="269">
        <f>'Data (2)'!K11</f>
        <v>-2.4</v>
      </c>
      <c r="L11" s="269">
        <f>'Data (2)'!L11</f>
        <v>-2.1</v>
      </c>
      <c r="M11" s="269">
        <f>'Data (2)'!M11</f>
        <v>-0.90000000000000036</v>
      </c>
      <c r="N11" s="269">
        <f t="shared" si="0"/>
        <v>-5.9</v>
      </c>
      <c r="O11" s="269">
        <f>'Data (2)'!O11</f>
        <v>-0.60000000000000009</v>
      </c>
      <c r="P11" s="269">
        <f>'Data (2)'!P11</f>
        <v>0.5</v>
      </c>
      <c r="Q11" s="269">
        <f>'Data (2)'!Q11</f>
        <v>-16.8</v>
      </c>
      <c r="R11" s="269">
        <f>'Data (2)'!R11</f>
        <v>-1.0999999999999979</v>
      </c>
      <c r="S11" s="269">
        <f t="shared" si="1"/>
        <v>-18</v>
      </c>
      <c r="T11" s="269">
        <f>'Data (2)'!T11</f>
        <v>-3</v>
      </c>
      <c r="U11" s="269">
        <f>'Data (2)'!U11</f>
        <v>-1.1000000000000001</v>
      </c>
      <c r="V11" s="269">
        <f>'Data (2)'!V11</f>
        <v>-1.4</v>
      </c>
      <c r="W11" s="269">
        <f>'Data (2)'!W11</f>
        <v>-9.3000000000000007</v>
      </c>
      <c r="X11" s="269">
        <f t="shared" si="2"/>
        <v>-14.8</v>
      </c>
      <c r="Y11" s="269">
        <f>'Data (2)'!Y11</f>
        <v>-1.1000000000000001</v>
      </c>
      <c r="Z11" s="269">
        <f>'Data (2)'!Z11</f>
        <v>-0.5</v>
      </c>
      <c r="AA11" s="269">
        <f>'Data (2)'!AA11</f>
        <v>-2.6</v>
      </c>
      <c r="AB11" s="269">
        <f>'Data (2)'!AB11</f>
        <v>-15.7</v>
      </c>
      <c r="AC11" s="269">
        <f t="shared" si="3"/>
        <v>-19.899999999999999</v>
      </c>
      <c r="AD11" s="269">
        <f>'Data (2)'!AD11</f>
        <v>-3.3000000000000003</v>
      </c>
      <c r="AE11" s="269">
        <f>'Data (2)'!AE11</f>
        <v>-8.7999999999999989</v>
      </c>
      <c r="AF11" s="269">
        <f>'Data (2)'!AF11</f>
        <v>-0.7</v>
      </c>
      <c r="AG11" s="269">
        <f>'Data (2)'!AG11</f>
        <v>-1.2000000000000011</v>
      </c>
      <c r="AH11" s="269">
        <f t="shared" si="4"/>
        <v>-14</v>
      </c>
      <c r="AI11" s="269">
        <f>'Data (2)'!AI11</f>
        <v>0</v>
      </c>
      <c r="AJ11" s="269">
        <f>'Data (2)'!AJ11</f>
        <v>-1.7</v>
      </c>
      <c r="AK11" s="269">
        <f>'Data (2)'!AK11</f>
        <v>1.7</v>
      </c>
      <c r="AL11" s="269">
        <f>'Data (2)'!AL11</f>
        <v>-7.5</v>
      </c>
      <c r="AM11" s="269">
        <f t="shared" si="5"/>
        <v>-7.5</v>
      </c>
      <c r="AN11" s="269">
        <f>'Data (2)'!AN11</f>
        <v>-3.5</v>
      </c>
      <c r="AO11" s="269">
        <f>'Data (2)'!AO11</f>
        <v>0</v>
      </c>
      <c r="AP11" s="269">
        <f>'Data (2)'!AP11</f>
        <v>0</v>
      </c>
      <c r="AQ11" s="269">
        <f>'Data (2)'!AQ11</f>
        <v>0</v>
      </c>
      <c r="AR11" s="269">
        <f t="shared" si="6"/>
        <v>-3.5</v>
      </c>
      <c r="AS11" s="269">
        <f>'Data (2)'!AS11</f>
        <v>5.7</v>
      </c>
      <c r="AT11" s="269">
        <f>'Data (2)'!AT11</f>
        <v>0</v>
      </c>
      <c r="AU11" s="270">
        <f>'Data (2)'!AU11</f>
        <v>-2.7</v>
      </c>
      <c r="AV11" s="269">
        <f>'Data (2)'!AV11</f>
        <v>0</v>
      </c>
      <c r="AW11" s="269">
        <f t="shared" si="7"/>
        <v>3</v>
      </c>
      <c r="AX11" s="269">
        <f>'Data (2)'!AX11</f>
        <v>0</v>
      </c>
      <c r="AY11" s="269">
        <f>'Data (2)'!AY11</f>
        <v>9.5</v>
      </c>
      <c r="AZ11" s="269">
        <f>'Data (2)'!AZ11</f>
        <v>0</v>
      </c>
      <c r="BA11" s="269">
        <f>'Data (2)'!BA11</f>
        <v>0</v>
      </c>
      <c r="BB11" s="156">
        <f t="shared" si="8"/>
        <v>9.5</v>
      </c>
      <c r="BC11" s="156">
        <f>'Data (2)'!BC11</f>
        <v>0</v>
      </c>
      <c r="BD11" s="156">
        <f>'Data (2)'!BD11</f>
        <v>0</v>
      </c>
      <c r="BE11" s="156">
        <f>'Data (2)'!BE11</f>
        <v>0</v>
      </c>
      <c r="BF11" s="156">
        <f>'Data (2)'!BF11</f>
        <v>0</v>
      </c>
      <c r="BG11" s="156">
        <f t="shared" si="9"/>
        <v>0</v>
      </c>
      <c r="BH11" s="156">
        <f>'Data (2)'!BH11</f>
        <v>0</v>
      </c>
      <c r="BI11" s="156">
        <f>'Data (2)'!BI11</f>
        <v>-6</v>
      </c>
      <c r="BJ11" s="156">
        <f>'Data (2)'!BJ11</f>
        <v>0</v>
      </c>
      <c r="BK11" s="156">
        <f>'Data (2)'!BK11</f>
        <v>0</v>
      </c>
      <c r="BL11" s="156">
        <f t="shared" si="10"/>
        <v>-6</v>
      </c>
      <c r="BM11" s="156">
        <f>'Data (2)'!BM11</f>
        <v>0</v>
      </c>
      <c r="BN11" s="156">
        <f>'Data (2)'!BN11</f>
        <v>0</v>
      </c>
      <c r="BO11" s="156">
        <f>'Data (2)'!BO11</f>
        <v>0</v>
      </c>
      <c r="BP11" s="156">
        <f>'Data (2)'!BP11</f>
        <v>0</v>
      </c>
      <c r="BQ11" s="156">
        <f t="shared" si="11"/>
        <v>0</v>
      </c>
      <c r="BR11" s="156">
        <f>'Data (2)'!BR11</f>
        <v>0</v>
      </c>
      <c r="BS11" s="156">
        <f>'Data (2)'!BS11</f>
        <v>0</v>
      </c>
      <c r="BT11" s="156">
        <f>'Data (2)'!BT11</f>
        <v>0</v>
      </c>
      <c r="BU11" s="156">
        <f>'Data (2)'!BU11</f>
        <v>0</v>
      </c>
      <c r="BV11" s="156">
        <f t="shared" si="12"/>
        <v>0</v>
      </c>
      <c r="BW11" s="156">
        <f>'Data (2)'!BW11</f>
        <v>0</v>
      </c>
      <c r="BX11" s="156">
        <f>'Data (2)'!BX11</f>
        <v>0</v>
      </c>
      <c r="BY11" s="156">
        <f>'Data (2)'!BY11</f>
        <v>0</v>
      </c>
      <c r="BZ11" s="156">
        <f>'Data (2)'!BZ11</f>
        <v>0</v>
      </c>
      <c r="CA11" s="156">
        <f t="shared" si="13"/>
        <v>0</v>
      </c>
      <c r="CB11" s="156">
        <f>'Data (2)'!CB11</f>
        <v>0</v>
      </c>
      <c r="CC11" s="156">
        <f>'Data (2)'!CC11</f>
        <v>0</v>
      </c>
      <c r="CD11" s="156">
        <f>'Data (2)'!CD11</f>
        <v>0</v>
      </c>
      <c r="CE11" s="156">
        <f>'Data (2)'!CE11</f>
        <v>-7.7</v>
      </c>
      <c r="CF11" s="156">
        <f t="shared" si="14"/>
        <v>-7.7</v>
      </c>
      <c r="CG11" s="156">
        <f>'Data (2)'!CG11</f>
        <v>0</v>
      </c>
      <c r="CH11" s="156">
        <f>'Data (2)'!CH11</f>
        <v>0</v>
      </c>
      <c r="CI11" s="156">
        <f>'Data (2)'!CI11</f>
        <v>0</v>
      </c>
      <c r="CJ11" s="156">
        <f>'Data (2)'!CJ11</f>
        <v>0</v>
      </c>
      <c r="CK11" s="156">
        <f t="shared" si="15"/>
        <v>0</v>
      </c>
      <c r="CL11" s="211">
        <f>'Data (2)'!CL11</f>
        <v>-14.7</v>
      </c>
      <c r="CM11" s="215">
        <v>0</v>
      </c>
      <c r="CN11" s="215">
        <v>0</v>
      </c>
      <c r="CO11" s="215">
        <v>0</v>
      </c>
      <c r="CP11" s="269">
        <f t="shared" si="16"/>
        <v>-14.7</v>
      </c>
      <c r="CQ11" s="286">
        <v>0</v>
      </c>
      <c r="CR11" s="216">
        <v>0</v>
      </c>
      <c r="CS11" s="216">
        <v>0</v>
      </c>
    </row>
    <row r="12" spans="2:97" ht="12" customHeight="1">
      <c r="B12" s="170" t="s">
        <v>82</v>
      </c>
      <c r="C12" s="170">
        <f t="shared" ref="C12:M12" si="18">SUM(C8:C11)</f>
        <v>76.457000000000065</v>
      </c>
      <c r="D12" s="170">
        <f t="shared" si="18"/>
        <v>117.03900000000014</v>
      </c>
      <c r="E12" s="170">
        <f t="shared" si="18"/>
        <v>68.900000000000006</v>
      </c>
      <c r="F12" s="170">
        <f t="shared" si="18"/>
        <v>75.400000000000077</v>
      </c>
      <c r="G12" s="170">
        <f t="shared" si="18"/>
        <v>-316.20000000000005</v>
      </c>
      <c r="H12" s="170">
        <f t="shared" si="18"/>
        <v>60.199999999999946</v>
      </c>
      <c r="I12" s="170">
        <f t="shared" si="18"/>
        <v>57.8</v>
      </c>
      <c r="J12" s="170">
        <f t="shared" si="18"/>
        <v>23.700000000000024</v>
      </c>
      <c r="K12" s="170">
        <f t="shared" si="18"/>
        <v>25.9</v>
      </c>
      <c r="L12" s="170">
        <f t="shared" si="18"/>
        <v>18.600000000000033</v>
      </c>
      <c r="M12" s="170">
        <f t="shared" si="18"/>
        <v>20.599999999999909</v>
      </c>
      <c r="N12" s="170">
        <f t="shared" si="0"/>
        <v>88.799999999999969</v>
      </c>
      <c r="O12" s="170">
        <f>SUM(O8:O11)</f>
        <v>32.900000000000006</v>
      </c>
      <c r="P12" s="170">
        <f>SUM(P8:P11)</f>
        <v>36.90000000000002</v>
      </c>
      <c r="Q12" s="170">
        <f>SUM(Q8:Q11)</f>
        <v>8.7000000000000348</v>
      </c>
      <c r="R12" s="170">
        <f>SUM(R8:R11)</f>
        <v>25.699999999999974</v>
      </c>
      <c r="S12" s="170">
        <f t="shared" si="1"/>
        <v>104.20000000000003</v>
      </c>
      <c r="T12" s="170">
        <f>SUM(T8:T11)</f>
        <v>29.79999999999999</v>
      </c>
      <c r="U12" s="170">
        <f>SUM(U8:U11)</f>
        <v>34.29999999999999</v>
      </c>
      <c r="V12" s="170">
        <f>SUM(V8:V11)</f>
        <v>25.700000000000028</v>
      </c>
      <c r="W12" s="170">
        <f>SUM(W8:W11)</f>
        <v>16.599999999999991</v>
      </c>
      <c r="X12" s="170">
        <f t="shared" si="2"/>
        <v>106.4</v>
      </c>
      <c r="Y12" s="170">
        <f>SUM(Y8:Y11)</f>
        <v>29.900000000000027</v>
      </c>
      <c r="Z12" s="170">
        <f>SUM(Z8:Z11)</f>
        <v>34.000000000000007</v>
      </c>
      <c r="AA12" s="170">
        <f>SUM(AA8:AA11)</f>
        <v>30.200000000000031</v>
      </c>
      <c r="AB12" s="170">
        <f>SUM(AB8:AB11)</f>
        <v>20.899999999999839</v>
      </c>
      <c r="AC12" s="170">
        <f t="shared" si="3"/>
        <v>114.9999999999999</v>
      </c>
      <c r="AD12" s="170">
        <f>SUM(AD8:AD11)</f>
        <v>36.400000000000027</v>
      </c>
      <c r="AE12" s="170">
        <f>SUM(AE8:AE11)</f>
        <v>29.300000000000026</v>
      </c>
      <c r="AF12" s="170">
        <f>SUM(AF8:AF11)</f>
        <v>35.899999999999963</v>
      </c>
      <c r="AG12" s="170">
        <f>SUM(AG8:AG11)</f>
        <v>29.299999999999855</v>
      </c>
      <c r="AH12" s="170">
        <f t="shared" si="4"/>
        <v>130.89999999999986</v>
      </c>
      <c r="AI12" s="170">
        <f>SUM(AI8:AI11)</f>
        <v>39.900000000000006</v>
      </c>
      <c r="AJ12" s="170">
        <f>SUM(AJ8:AJ11)</f>
        <v>29.700000000000028</v>
      </c>
      <c r="AK12" s="170">
        <f>SUM(AK8:AK11)</f>
        <v>19.600000000000019</v>
      </c>
      <c r="AL12" s="170">
        <f>SUM(AL8:AL11)</f>
        <v>14.500000000000011</v>
      </c>
      <c r="AM12" s="170">
        <f t="shared" si="5"/>
        <v>103.70000000000007</v>
      </c>
      <c r="AN12" s="170">
        <f>SUM(AN8:AN11)</f>
        <v>23.799999999999997</v>
      </c>
      <c r="AO12" s="170">
        <f>SUM(AO8:AO11)</f>
        <v>40.500000000000028</v>
      </c>
      <c r="AP12" s="170">
        <f>SUM(AP8:AP11)</f>
        <v>34.5</v>
      </c>
      <c r="AQ12" s="170">
        <f>SUM(AQ8:AQ11)</f>
        <v>30.999999999999911</v>
      </c>
      <c r="AR12" s="170">
        <f t="shared" si="6"/>
        <v>129.79999999999993</v>
      </c>
      <c r="AS12" s="170">
        <f>SUM(AS8:AS11)</f>
        <v>47.200000000000031</v>
      </c>
      <c r="AT12" s="170">
        <f>SUM(AT8:AT11)</f>
        <v>49.4</v>
      </c>
      <c r="AU12" s="271">
        <f>SUM(AU8:AU11)</f>
        <v>46</v>
      </c>
      <c r="AV12" s="170">
        <f>SUM(AV8:AV11)</f>
        <v>49.40000000000002</v>
      </c>
      <c r="AW12" s="170">
        <f t="shared" si="7"/>
        <v>192.00000000000006</v>
      </c>
      <c r="AX12" s="170">
        <f>SUM(AX8:AX11)</f>
        <v>60.600000000000037</v>
      </c>
      <c r="AY12" s="170">
        <f>SUM(AY8:AY11)</f>
        <v>73.900000000000006</v>
      </c>
      <c r="AZ12" s="170">
        <f>SUM(AZ8:AZ11)</f>
        <v>60.00000000000005</v>
      </c>
      <c r="BA12" s="170">
        <f>SUM(BA8:BA11)</f>
        <v>54.300000000000026</v>
      </c>
      <c r="BB12" s="170">
        <f t="shared" si="8"/>
        <v>248.80000000000013</v>
      </c>
      <c r="BC12" s="170">
        <f>SUM(BC8:BC11)</f>
        <v>63</v>
      </c>
      <c r="BD12" s="170">
        <f>SUM(BD8:BD11)</f>
        <v>71.90000000000002</v>
      </c>
      <c r="BE12" s="170">
        <f>SUM(BE8:BE11)</f>
        <v>69.000000000000014</v>
      </c>
      <c r="BF12" s="170">
        <f>SUM(BF8:BF11)</f>
        <v>67.000000000000014</v>
      </c>
      <c r="BG12" s="170">
        <f t="shared" si="9"/>
        <v>270.90000000000003</v>
      </c>
      <c r="BH12" s="170">
        <f>SUM(BH8:BH11)</f>
        <v>74.599999999999994</v>
      </c>
      <c r="BI12" s="170">
        <f>SUM(BI8:BI11)</f>
        <v>75.100000000000023</v>
      </c>
      <c r="BJ12" s="170">
        <f>SUM(BJ8:BJ11)</f>
        <v>79</v>
      </c>
      <c r="BK12" s="170">
        <f>SUM(BK8:BK11)</f>
        <v>77.100000000000009</v>
      </c>
      <c r="BL12" s="170">
        <f t="shared" si="10"/>
        <v>305.8</v>
      </c>
      <c r="BM12" s="170">
        <f>SUM(BM8:BM11)</f>
        <v>82.600000000000009</v>
      </c>
      <c r="BN12" s="170">
        <f>SUM(BN8:BN11)</f>
        <v>90.599999999999966</v>
      </c>
      <c r="BO12" s="170">
        <f>SUM(BO8:BO11)</f>
        <v>78.000000000000028</v>
      </c>
      <c r="BP12" s="170">
        <f>SUM(BP8:BP11)</f>
        <v>81.19999999999996</v>
      </c>
      <c r="BQ12" s="170">
        <f t="shared" si="11"/>
        <v>332.4</v>
      </c>
      <c r="BR12" s="170">
        <f>SUM(BR8:BR11)</f>
        <v>83.899999999999991</v>
      </c>
      <c r="BS12" s="170">
        <f>SUM(BS8:BS11)</f>
        <v>100.10000000000002</v>
      </c>
      <c r="BT12" s="170">
        <f>SUM(BT8:BT11)</f>
        <v>89.1</v>
      </c>
      <c r="BU12" s="170">
        <f>SUM(BU8:BU11)</f>
        <v>87.000000000000028</v>
      </c>
      <c r="BV12" s="170">
        <f t="shared" si="12"/>
        <v>360.1</v>
      </c>
      <c r="BW12" s="170">
        <f>SUM(BW8:BW11)</f>
        <v>78.600000000000023</v>
      </c>
      <c r="BX12" s="170">
        <f>SUM(BX8:BX11)</f>
        <v>89.700000000000045</v>
      </c>
      <c r="BY12" s="170">
        <f>SUM(BY8:BY11)</f>
        <v>89.100000000000023</v>
      </c>
      <c r="BZ12" s="170">
        <f>SUM(BZ8:BZ11)</f>
        <v>93.199999999999989</v>
      </c>
      <c r="CA12" s="170">
        <f t="shared" si="13"/>
        <v>350.60000000000008</v>
      </c>
      <c r="CB12" s="170">
        <f>SUM(CB8:CB11)</f>
        <v>82.40000000000002</v>
      </c>
      <c r="CC12" s="170">
        <f>SUM(CC8:CC11)</f>
        <v>96.500000000000014</v>
      </c>
      <c r="CD12" s="170">
        <f>SUM(CD8:CD11)</f>
        <v>96.5</v>
      </c>
      <c r="CE12" s="170">
        <f>SUM(CE8:CE11)</f>
        <v>95.799999999999969</v>
      </c>
      <c r="CF12" s="170">
        <f t="shared" si="14"/>
        <v>371.2</v>
      </c>
      <c r="CG12" s="170">
        <f>SUM(CG8:CG11)</f>
        <v>102.79999999999998</v>
      </c>
      <c r="CH12" s="170">
        <f>SUM(CH8:CH11)</f>
        <v>115.10000000000001</v>
      </c>
      <c r="CI12" s="170">
        <f>SUM(CI8:CI11)</f>
        <v>109.89999999999998</v>
      </c>
      <c r="CJ12" s="170">
        <f>SUM(CJ8:CJ11)</f>
        <v>97.399999999999935</v>
      </c>
      <c r="CK12" s="170">
        <f t="shared" si="15"/>
        <v>425.19999999999987</v>
      </c>
      <c r="CL12" s="206">
        <f>SUM(CL8:CL11)</f>
        <v>65.699999999999974</v>
      </c>
      <c r="CM12" s="217">
        <f>'SEG (2)'!CM86</f>
        <v>14.510415200000004</v>
      </c>
      <c r="CN12" s="217">
        <f>'SEG (2)'!CN86</f>
        <v>33.653119800000006</v>
      </c>
      <c r="CO12" s="217">
        <f>'SEG (2)'!CO86</f>
        <v>50.117176200000003</v>
      </c>
      <c r="CP12" s="170">
        <f t="shared" si="16"/>
        <v>163.98071119999997</v>
      </c>
      <c r="CQ12" s="287">
        <f>'SEG (2)'!CQ86</f>
        <v>211.96823851299996</v>
      </c>
      <c r="CR12" s="218">
        <f>'SEG (2)'!CR86</f>
        <v>253.221567195332</v>
      </c>
      <c r="CS12" s="218">
        <f>'SEG (2)'!CS86</f>
        <v>304.21782490909698</v>
      </c>
    </row>
    <row r="13" spans="2:97" ht="12" customHeight="1">
      <c r="B13" s="156" t="s">
        <v>83</v>
      </c>
      <c r="C13" s="156">
        <f>'Data (2)'!C13</f>
        <v>-25.704999999999998</v>
      </c>
      <c r="D13" s="156">
        <f>'Data (2)'!D13</f>
        <v>-38.674999999999997</v>
      </c>
      <c r="E13" s="156">
        <f>'Data (2)'!E13</f>
        <v>-73.900000000000006</v>
      </c>
      <c r="F13" s="156">
        <f>'Data (2)'!F13</f>
        <v>-68.7</v>
      </c>
      <c r="G13" s="156">
        <f>'Data (2)'!G13</f>
        <v>-64.8</v>
      </c>
      <c r="H13" s="156">
        <f>'Data (2)'!H13</f>
        <v>-62.8</v>
      </c>
      <c r="I13" s="156">
        <f>'Data (2)'!I13</f>
        <v>-53.6</v>
      </c>
      <c r="J13" s="156">
        <f>'Data (2)'!J13</f>
        <v>-12.4</v>
      </c>
      <c r="K13" s="156">
        <f>'Data (2)'!K13</f>
        <v>-11.9</v>
      </c>
      <c r="L13" s="156">
        <f>'Data (2)'!L13</f>
        <v>-12</v>
      </c>
      <c r="M13" s="156">
        <f>'Data (2)'!M13</f>
        <v>-11.400000000000006</v>
      </c>
      <c r="N13" s="156">
        <f t="shared" si="0"/>
        <v>-47.7</v>
      </c>
      <c r="O13" s="156">
        <f>'Data (2)'!O13</f>
        <v>-11.9</v>
      </c>
      <c r="P13" s="156">
        <f>'Data (2)'!P13</f>
        <v>-7.4</v>
      </c>
      <c r="Q13" s="156">
        <f>'Data (2)'!Q13</f>
        <v>-7.4</v>
      </c>
      <c r="R13" s="156">
        <f>'Data (2)'!R13</f>
        <v>-7.1999999999999957</v>
      </c>
      <c r="S13" s="156">
        <f t="shared" si="1"/>
        <v>-33.9</v>
      </c>
      <c r="T13" s="156">
        <f>'Data (2)'!T13</f>
        <v>-7.8</v>
      </c>
      <c r="U13" s="156">
        <f>'Data (2)'!U13</f>
        <v>-7.1</v>
      </c>
      <c r="V13" s="156">
        <f>'Data (2)'!V13</f>
        <v>-6.8</v>
      </c>
      <c r="W13" s="156">
        <f>'Data (2)'!W13</f>
        <v>-6.3000000000000007</v>
      </c>
      <c r="X13" s="156">
        <f t="shared" si="2"/>
        <v>-28</v>
      </c>
      <c r="Y13" s="156">
        <f>'Data (2)'!Y13</f>
        <v>-5.7</v>
      </c>
      <c r="Z13" s="156">
        <f>'Data (2)'!Z13</f>
        <v>-6</v>
      </c>
      <c r="AA13" s="156">
        <f>'Data (2)'!AA13</f>
        <v>-5.3</v>
      </c>
      <c r="AB13" s="156">
        <f>'Data (2)'!AB13</f>
        <v>-4.3999999999999986</v>
      </c>
      <c r="AC13" s="156">
        <f t="shared" si="3"/>
        <v>-21.4</v>
      </c>
      <c r="AD13" s="156">
        <f>'Data (2)'!AD13</f>
        <v>-5</v>
      </c>
      <c r="AE13" s="156">
        <f>'Data (2)'!AE13</f>
        <v>-5.9</v>
      </c>
      <c r="AF13" s="156">
        <f>'Data (2)'!AF13</f>
        <v>-4.5999999999999996</v>
      </c>
      <c r="AG13" s="156">
        <f>'Data (2)'!AG13</f>
        <v>-4.6999999999999993</v>
      </c>
      <c r="AH13" s="156">
        <f t="shared" si="4"/>
        <v>-20.2</v>
      </c>
      <c r="AI13" s="156">
        <f>'Data (2)'!AI13</f>
        <v>-5.4</v>
      </c>
      <c r="AJ13" s="156">
        <f>'Data (2)'!AJ13</f>
        <v>-7.5</v>
      </c>
      <c r="AK13" s="156">
        <f>'Data (2)'!AK13</f>
        <v>-6.9</v>
      </c>
      <c r="AL13" s="156">
        <f>'Data (2)'!AL13</f>
        <v>-6.3</v>
      </c>
      <c r="AM13" s="156">
        <f t="shared" si="5"/>
        <v>-26.1</v>
      </c>
      <c r="AN13" s="156">
        <f>'Data (2)'!AN13</f>
        <v>-6.6</v>
      </c>
      <c r="AO13" s="156">
        <f>'Data (2)'!AO13</f>
        <v>-7.1</v>
      </c>
      <c r="AP13" s="156">
        <f>'Data (2)'!AP13</f>
        <v>-5.3</v>
      </c>
      <c r="AQ13" s="156">
        <f>'Data (2)'!AQ13</f>
        <v>-4.1999999999999993</v>
      </c>
      <c r="AR13" s="156">
        <f t="shared" si="6"/>
        <v>-23.2</v>
      </c>
      <c r="AS13" s="156">
        <f>'Data (2)'!AS13</f>
        <v>-4.2</v>
      </c>
      <c r="AT13" s="156">
        <f>'Data (2)'!AT13</f>
        <v>-2.9</v>
      </c>
      <c r="AU13" s="158">
        <f>'Data (2)'!AU13</f>
        <v>-2.2000000000000002</v>
      </c>
      <c r="AV13" s="156">
        <f>'Data (2)'!AV13</f>
        <v>-2.2999999999999998</v>
      </c>
      <c r="AW13" s="156">
        <f t="shared" si="7"/>
        <v>-11.600000000000001</v>
      </c>
      <c r="AX13" s="156">
        <f>'Data (2)'!AX13</f>
        <v>-3</v>
      </c>
      <c r="AY13" s="156">
        <f>'Data (2)'!AY13</f>
        <v>-3</v>
      </c>
      <c r="AZ13" s="156">
        <f>'Data (2)'!AZ13</f>
        <v>-2.2000000000000002</v>
      </c>
      <c r="BA13" s="156">
        <f>'Data (2)'!BA13</f>
        <v>-1.8</v>
      </c>
      <c r="BB13" s="156">
        <f t="shared" si="8"/>
        <v>-10</v>
      </c>
      <c r="BC13" s="156">
        <f>'Data (2)'!BC13</f>
        <v>-1.7</v>
      </c>
      <c r="BD13" s="156">
        <f>'Data (2)'!BD13</f>
        <v>-2.1</v>
      </c>
      <c r="BE13" s="156">
        <f>'Data (2)'!BE13</f>
        <v>-1.9</v>
      </c>
      <c r="BF13" s="156">
        <f>'Data (2)'!BF13</f>
        <v>-1.6</v>
      </c>
      <c r="BG13" s="156">
        <f t="shared" si="9"/>
        <v>-7.2999999999999989</v>
      </c>
      <c r="BH13" s="156">
        <f>'Data (2)'!BH13</f>
        <v>-1.8</v>
      </c>
      <c r="BI13" s="156">
        <f>'Data (2)'!BI13</f>
        <v>-2</v>
      </c>
      <c r="BJ13" s="156">
        <f>'Data (2)'!BJ13</f>
        <v>-2.1</v>
      </c>
      <c r="BK13" s="156">
        <f>'Data (2)'!BK13</f>
        <v>-2.1</v>
      </c>
      <c r="BL13" s="156">
        <f t="shared" si="10"/>
        <v>-8</v>
      </c>
      <c r="BM13" s="156">
        <f>'Data (2)'!BM13</f>
        <v>-1.9</v>
      </c>
      <c r="BN13" s="156">
        <f>'Data (2)'!BN13</f>
        <v>-2.5</v>
      </c>
      <c r="BO13" s="156">
        <f>'Data (2)'!BO13</f>
        <v>-4.5999999999999996</v>
      </c>
      <c r="BP13" s="156">
        <f>'Data (2)'!BP13</f>
        <v>-5.2</v>
      </c>
      <c r="BQ13" s="156">
        <f t="shared" si="11"/>
        <v>-14.2</v>
      </c>
      <c r="BR13" s="156">
        <f>'Data (2)'!BR13</f>
        <v>-5.6</v>
      </c>
      <c r="BS13" s="156">
        <f>'Data (2)'!BS13</f>
        <v>-5.7</v>
      </c>
      <c r="BT13" s="156">
        <f>'Data (2)'!BT13</f>
        <v>-5.5</v>
      </c>
      <c r="BU13" s="156">
        <f>'Data (2)'!BU13</f>
        <v>-5.3</v>
      </c>
      <c r="BV13" s="156">
        <f t="shared" si="12"/>
        <v>-22.1</v>
      </c>
      <c r="BW13" s="156">
        <f>'Data (2)'!BW13</f>
        <v>-6.2</v>
      </c>
      <c r="BX13" s="156">
        <f>'Data (2)'!BX13</f>
        <v>-6.8</v>
      </c>
      <c r="BY13" s="156">
        <f>'Data (2)'!BY13</f>
        <v>-7</v>
      </c>
      <c r="BZ13" s="156">
        <f>'Data (2)'!BZ13</f>
        <v>-7.4</v>
      </c>
      <c r="CA13" s="156">
        <f t="shared" si="13"/>
        <v>-27.4</v>
      </c>
      <c r="CB13" s="156">
        <f>'Data (2)'!CB13</f>
        <v>-8</v>
      </c>
      <c r="CC13" s="156">
        <f>'Data (2)'!CC13</f>
        <v>-8.6999999999999993</v>
      </c>
      <c r="CD13" s="156">
        <f>'Data (2)'!CD13</f>
        <v>-10.6</v>
      </c>
      <c r="CE13" s="156">
        <f>'Data (2)'!CE13</f>
        <v>-10.4</v>
      </c>
      <c r="CF13" s="156">
        <f t="shared" si="14"/>
        <v>-37.699999999999996</v>
      </c>
      <c r="CG13" s="156">
        <f>'Data (2)'!CG13</f>
        <v>-12</v>
      </c>
      <c r="CH13" s="156">
        <f>'Data (2)'!CH13</f>
        <v>-11.9</v>
      </c>
      <c r="CI13" s="156">
        <f>'Data (2)'!CI13</f>
        <v>-11</v>
      </c>
      <c r="CJ13" s="156">
        <f>'Data (2)'!CJ13</f>
        <v>-10.6</v>
      </c>
      <c r="CK13" s="156">
        <f t="shared" si="15"/>
        <v>-45.5</v>
      </c>
      <c r="CL13" s="197">
        <f>'Data (2)'!CL13</f>
        <v>-12</v>
      </c>
      <c r="CM13" s="213">
        <f>(-'BS (2)'!CM30*4.5%-'BS (2)'!CM22*4.5%+'BS (2)'!CM7*1%)/4</f>
        <v>-14.899875</v>
      </c>
      <c r="CN13" s="213">
        <f>(-'BS (2)'!CN30*4.5%-'BS (2)'!CN22*4.5%+'BS (2)'!CN7*1%)/4</f>
        <v>-14.578125</v>
      </c>
      <c r="CO13" s="213">
        <f>(-'BS (2)'!CO30*4.5%-'BS (2)'!CO22*4.5%+'BS (2)'!CO7*1%)/4</f>
        <v>-13.800125</v>
      </c>
      <c r="CP13" s="156">
        <f t="shared" si="16"/>
        <v>-55.278125000000003</v>
      </c>
      <c r="CQ13" s="285">
        <f>(-'BS (2)'!CQ30*4.5%-'BS (2)'!CQ22*4.5%+'BS (2)'!CQ7*1%)</f>
        <v>-43.149799999999999</v>
      </c>
      <c r="CR13" s="214">
        <f>(-'BS (2)'!CR30*4.5%-'BS (2)'!CR22*4.5%+'BS (2)'!CR7*1%)</f>
        <v>-38.902049999999996</v>
      </c>
      <c r="CS13" s="214">
        <f>(-'BS (2)'!CS30*4.5%-'BS (2)'!CS22*4.5%+'BS (2)'!CS7*1%)</f>
        <v>-38.714393749999999</v>
      </c>
    </row>
    <row r="14" spans="2:97" ht="12" customHeight="1">
      <c r="B14" s="156" t="s">
        <v>84</v>
      </c>
      <c r="C14" s="269">
        <f>'Data (2)'!C14</f>
        <v>0</v>
      </c>
      <c r="D14" s="269">
        <f>'Data (2)'!D14</f>
        <v>0.51700000000000002</v>
      </c>
      <c r="E14" s="269">
        <f>'Data (2)'!E14</f>
        <v>-20</v>
      </c>
      <c r="F14" s="269">
        <f>'Data (2)'!F14</f>
        <v>68.3</v>
      </c>
      <c r="G14" s="269">
        <f>'Data (2)'!G14</f>
        <v>0</v>
      </c>
      <c r="H14" s="269">
        <f>'Data (2)'!H14</f>
        <v>10.3</v>
      </c>
      <c r="I14" s="269">
        <f>'Data (2)'!I14</f>
        <v>-0.4</v>
      </c>
      <c r="J14" s="269">
        <f>'Data (2)'!J14</f>
        <v>-0.1</v>
      </c>
      <c r="K14" s="269">
        <f>'Data (2)'!K14</f>
        <v>-0.5</v>
      </c>
      <c r="L14" s="269">
        <f>'Data (2)'!L14</f>
        <v>0</v>
      </c>
      <c r="M14" s="269">
        <f>'Data (2)'!M14</f>
        <v>-1.6</v>
      </c>
      <c r="N14" s="269">
        <f t="shared" si="0"/>
        <v>-2.2000000000000002</v>
      </c>
      <c r="O14" s="269">
        <f>'Data (2)'!O14</f>
        <v>-40.299999999999997</v>
      </c>
      <c r="P14" s="269">
        <f>'Data (2)'!P14</f>
        <v>-0.6</v>
      </c>
      <c r="Q14" s="269">
        <f>'Data (2)'!Q14</f>
        <v>0</v>
      </c>
      <c r="R14" s="269">
        <f>'Data (2)'!R14</f>
        <v>0</v>
      </c>
      <c r="S14" s="269">
        <f t="shared" si="1"/>
        <v>-40.9</v>
      </c>
      <c r="T14" s="269">
        <f>'Data (2)'!T14</f>
        <v>0</v>
      </c>
      <c r="U14" s="269">
        <f>'Data (2)'!U14</f>
        <v>0</v>
      </c>
      <c r="V14" s="269">
        <f>'Data (2)'!V14</f>
        <v>0</v>
      </c>
      <c r="W14" s="269">
        <f>'Data (2)'!W14</f>
        <v>15.7</v>
      </c>
      <c r="X14" s="269">
        <f t="shared" si="2"/>
        <v>15.7</v>
      </c>
      <c r="Y14" s="269">
        <f>'Data (2)'!Y14</f>
        <v>-0.4</v>
      </c>
      <c r="Z14" s="269">
        <f>'Data (2)'!Z14</f>
        <v>0</v>
      </c>
      <c r="AA14" s="269">
        <f>'Data (2)'!AA14</f>
        <v>-0.5</v>
      </c>
      <c r="AB14" s="269">
        <f>'Data (2)'!AB14</f>
        <v>-0.20000000000000007</v>
      </c>
      <c r="AC14" s="269">
        <f t="shared" si="3"/>
        <v>-1.1000000000000001</v>
      </c>
      <c r="AD14" s="269">
        <f>'Data (2)'!AD14</f>
        <v>0</v>
      </c>
      <c r="AE14" s="269">
        <f>'Data (2)'!AE14</f>
        <v>0</v>
      </c>
      <c r="AF14" s="269">
        <f>'Data (2)'!AF14</f>
        <v>0</v>
      </c>
      <c r="AG14" s="269">
        <f>'Data (2)'!AG14</f>
        <v>0</v>
      </c>
      <c r="AH14" s="269">
        <f t="shared" si="4"/>
        <v>0</v>
      </c>
      <c r="AI14" s="269">
        <f>'Data (2)'!AI14</f>
        <v>0</v>
      </c>
      <c r="AJ14" s="269">
        <f>'Data (2)'!AJ14</f>
        <v>0</v>
      </c>
      <c r="AK14" s="269">
        <f>'Data (2)'!AK14</f>
        <v>0</v>
      </c>
      <c r="AL14" s="269">
        <f>'Data (2)'!AL14</f>
        <v>0</v>
      </c>
      <c r="AM14" s="269">
        <f t="shared" si="5"/>
        <v>0</v>
      </c>
      <c r="AN14" s="269">
        <f>'Data (2)'!AN14</f>
        <v>0</v>
      </c>
      <c r="AO14" s="269">
        <f>'Data (2)'!AO14</f>
        <v>0</v>
      </c>
      <c r="AP14" s="269">
        <f>'Data (2)'!AP14</f>
        <v>-6.8</v>
      </c>
      <c r="AQ14" s="269">
        <f>'Data (2)'!AQ14</f>
        <v>0</v>
      </c>
      <c r="AR14" s="269">
        <f t="shared" si="6"/>
        <v>-6.8</v>
      </c>
      <c r="AS14" s="269">
        <f>'Data (2)'!AS14</f>
        <v>-4.9000000000000004</v>
      </c>
      <c r="AT14" s="269">
        <f>'Data (2)'!AT14</f>
        <v>0</v>
      </c>
      <c r="AU14" s="270">
        <f>'Data (2)'!AU14</f>
        <v>0</v>
      </c>
      <c r="AV14" s="269">
        <f>'Data (2)'!AV14</f>
        <v>0</v>
      </c>
      <c r="AW14" s="269">
        <f t="shared" si="7"/>
        <v>-4.9000000000000004</v>
      </c>
      <c r="AX14" s="269">
        <f>'Data (2)'!AX14</f>
        <v>0</v>
      </c>
      <c r="AY14" s="269">
        <f>'Data (2)'!AY14</f>
        <v>-1.1000000000000001</v>
      </c>
      <c r="AZ14" s="269">
        <f>'Data (2)'!AZ14</f>
        <v>0</v>
      </c>
      <c r="BA14" s="269">
        <f>'Data (2)'!BA14</f>
        <v>0</v>
      </c>
      <c r="BB14" s="156">
        <f t="shared" si="8"/>
        <v>-1.1000000000000001</v>
      </c>
      <c r="BC14" s="156">
        <f>'Data (2)'!BC14</f>
        <v>0</v>
      </c>
      <c r="BD14" s="156">
        <f>'Data (2)'!BD14</f>
        <v>-1</v>
      </c>
      <c r="BE14" s="156">
        <f>'Data (2)'!BE14</f>
        <v>0</v>
      </c>
      <c r="BF14" s="156">
        <f>'Data (2)'!BF14</f>
        <v>0</v>
      </c>
      <c r="BG14" s="156">
        <f t="shared" si="9"/>
        <v>-1</v>
      </c>
      <c r="BH14" s="156">
        <f>'Data (2)'!BH14</f>
        <v>0</v>
      </c>
      <c r="BI14" s="156">
        <f>'Data (2)'!BI14</f>
        <v>0</v>
      </c>
      <c r="BJ14" s="156">
        <f>'Data (2)'!BJ14</f>
        <v>-0.5</v>
      </c>
      <c r="BK14" s="156">
        <f>'Data (2)'!BK14</f>
        <v>0</v>
      </c>
      <c r="BL14" s="156">
        <f t="shared" si="10"/>
        <v>-0.5</v>
      </c>
      <c r="BM14" s="156">
        <f>'Data (2)'!BM14</f>
        <v>0</v>
      </c>
      <c r="BN14" s="156">
        <f>'Data (2)'!BN14</f>
        <v>0</v>
      </c>
      <c r="BO14" s="156">
        <f>'Data (2)'!BO14</f>
        <v>0</v>
      </c>
      <c r="BP14" s="156">
        <f>'Data (2)'!BP14</f>
        <v>0</v>
      </c>
      <c r="BQ14" s="156">
        <f t="shared" si="11"/>
        <v>0</v>
      </c>
      <c r="BR14" s="156">
        <f>'Data (2)'!BR14</f>
        <v>0</v>
      </c>
      <c r="BS14" s="156">
        <f>'Data (2)'!BS14</f>
        <v>-0.4</v>
      </c>
      <c r="BT14" s="156">
        <f>'Data (2)'!BT14</f>
        <v>0</v>
      </c>
      <c r="BU14" s="156">
        <f>'Data (2)'!BU14</f>
        <v>0</v>
      </c>
      <c r="BV14" s="156">
        <f t="shared" si="12"/>
        <v>-0.4</v>
      </c>
      <c r="BW14" s="156">
        <f>'Data (2)'!BW14</f>
        <v>0</v>
      </c>
      <c r="BX14" s="156">
        <f>'Data (2)'!BX14</f>
        <v>0</v>
      </c>
      <c r="BY14" s="156">
        <f>'Data (2)'!BY14</f>
        <v>0</v>
      </c>
      <c r="BZ14" s="156">
        <f>'Data (2)'!BZ14</f>
        <v>0</v>
      </c>
      <c r="CA14" s="156">
        <f t="shared" si="13"/>
        <v>0</v>
      </c>
      <c r="CB14" s="156">
        <f>'Data (2)'!CB14</f>
        <v>0</v>
      </c>
      <c r="CC14" s="156">
        <f>'Data (2)'!CC14</f>
        <v>0</v>
      </c>
      <c r="CD14" s="156">
        <f>'Data (2)'!CD14</f>
        <v>0</v>
      </c>
      <c r="CE14" s="156">
        <f>'Data (2)'!CE14</f>
        <v>0</v>
      </c>
      <c r="CF14" s="156">
        <f t="shared" si="14"/>
        <v>0</v>
      </c>
      <c r="CG14" s="156">
        <f>'Data (2)'!CG14</f>
        <v>0</v>
      </c>
      <c r="CH14" s="156">
        <f>'Data (2)'!CH14</f>
        <v>0</v>
      </c>
      <c r="CI14" s="156">
        <f>'Data (2)'!CI14</f>
        <v>0</v>
      </c>
      <c r="CJ14" s="156">
        <f>'Data (2)'!CJ14</f>
        <v>0</v>
      </c>
      <c r="CK14" s="156">
        <f t="shared" si="15"/>
        <v>0</v>
      </c>
      <c r="CL14" s="211">
        <f>'Data (2)'!CL14</f>
        <v>0</v>
      </c>
      <c r="CM14" s="215">
        <v>0</v>
      </c>
      <c r="CN14" s="215">
        <v>0</v>
      </c>
      <c r="CO14" s="215">
        <v>0</v>
      </c>
      <c r="CP14" s="269">
        <f t="shared" si="16"/>
        <v>0</v>
      </c>
      <c r="CQ14" s="286">
        <v>0</v>
      </c>
      <c r="CR14" s="216">
        <v>0</v>
      </c>
      <c r="CS14" s="216">
        <v>0</v>
      </c>
    </row>
    <row r="15" spans="2:97" ht="12" customHeight="1">
      <c r="B15" s="170" t="s">
        <v>85</v>
      </c>
      <c r="C15" s="170">
        <f t="shared" ref="C15:M15" si="19">SUM(C12:C14)</f>
        <v>50.752000000000066</v>
      </c>
      <c r="D15" s="170">
        <f t="shared" si="19"/>
        <v>78.881000000000142</v>
      </c>
      <c r="E15" s="170">
        <f t="shared" si="19"/>
        <v>-25</v>
      </c>
      <c r="F15" s="170">
        <f t="shared" si="19"/>
        <v>75.000000000000071</v>
      </c>
      <c r="G15" s="170">
        <f t="shared" si="19"/>
        <v>-381.00000000000006</v>
      </c>
      <c r="H15" s="170">
        <f t="shared" si="19"/>
        <v>7.6999999999999496</v>
      </c>
      <c r="I15" s="170">
        <f t="shared" si="19"/>
        <v>3.7999999999999958</v>
      </c>
      <c r="J15" s="170">
        <f t="shared" si="19"/>
        <v>11.200000000000024</v>
      </c>
      <c r="K15" s="170">
        <f t="shared" si="19"/>
        <v>13.499999999999998</v>
      </c>
      <c r="L15" s="170">
        <f t="shared" si="19"/>
        <v>6.6000000000000334</v>
      </c>
      <c r="M15" s="170">
        <f t="shared" si="19"/>
        <v>7.5999999999999037</v>
      </c>
      <c r="N15" s="170">
        <f t="shared" si="0"/>
        <v>38.899999999999963</v>
      </c>
      <c r="O15" s="170">
        <f>SUM(O12:O14)</f>
        <v>-19.29999999999999</v>
      </c>
      <c r="P15" s="170">
        <f>SUM(P12:P14)</f>
        <v>28.90000000000002</v>
      </c>
      <c r="Q15" s="170">
        <f>SUM(Q12:Q14)</f>
        <v>1.3000000000000345</v>
      </c>
      <c r="R15" s="170">
        <f>SUM(R12:R14)</f>
        <v>18.499999999999979</v>
      </c>
      <c r="S15" s="170">
        <f t="shared" si="1"/>
        <v>29.400000000000041</v>
      </c>
      <c r="T15" s="170">
        <f>SUM(T12:T14)</f>
        <v>21.999999999999989</v>
      </c>
      <c r="U15" s="170">
        <f>SUM(U12:U14)</f>
        <v>27.199999999999989</v>
      </c>
      <c r="V15" s="170">
        <f>SUM(V12:V14)</f>
        <v>18.900000000000027</v>
      </c>
      <c r="W15" s="170">
        <f>SUM(W12:W14)</f>
        <v>25.999999999999989</v>
      </c>
      <c r="X15" s="170">
        <f t="shared" si="2"/>
        <v>94.09999999999998</v>
      </c>
      <c r="Y15" s="170">
        <f>SUM(Y12:Y14)</f>
        <v>23.800000000000029</v>
      </c>
      <c r="Z15" s="170">
        <f>SUM(Z12:Z14)</f>
        <v>28.000000000000007</v>
      </c>
      <c r="AA15" s="170">
        <f>SUM(AA12:AA14)</f>
        <v>24.400000000000031</v>
      </c>
      <c r="AB15" s="170">
        <f>SUM(AB12:AB14)</f>
        <v>16.299999999999841</v>
      </c>
      <c r="AC15" s="170">
        <f t="shared" si="3"/>
        <v>92.499999999999915</v>
      </c>
      <c r="AD15" s="170">
        <f>SUM(AD12:AD14)</f>
        <v>31.400000000000027</v>
      </c>
      <c r="AE15" s="170">
        <f>SUM(AE12:AE14)</f>
        <v>23.400000000000027</v>
      </c>
      <c r="AF15" s="170">
        <f>SUM(AF12:AF14)</f>
        <v>31.299999999999962</v>
      </c>
      <c r="AG15" s="170">
        <f>SUM(AG12:AG14)</f>
        <v>24.599999999999856</v>
      </c>
      <c r="AH15" s="170">
        <f t="shared" si="4"/>
        <v>110.69999999999987</v>
      </c>
      <c r="AI15" s="170">
        <f>SUM(AI12:AI14)</f>
        <v>34.500000000000007</v>
      </c>
      <c r="AJ15" s="170">
        <f>SUM(AJ12:AJ14)</f>
        <v>22.200000000000028</v>
      </c>
      <c r="AK15" s="170">
        <f>SUM(AK12:AK14)</f>
        <v>12.700000000000019</v>
      </c>
      <c r="AL15" s="170">
        <f>SUM(AL12:AL14)</f>
        <v>8.2000000000000099</v>
      </c>
      <c r="AM15" s="170">
        <f t="shared" si="5"/>
        <v>77.600000000000051</v>
      </c>
      <c r="AN15" s="170">
        <f>SUM(AN12:AN14)</f>
        <v>17.199999999999996</v>
      </c>
      <c r="AO15" s="170">
        <f>SUM(AO12:AO14)</f>
        <v>33.400000000000027</v>
      </c>
      <c r="AP15" s="170">
        <f>SUM(AP12:AP14)</f>
        <v>22.4</v>
      </c>
      <c r="AQ15" s="170">
        <f>SUM(AQ12:AQ14)</f>
        <v>26.799999999999912</v>
      </c>
      <c r="AR15" s="170">
        <f t="shared" si="6"/>
        <v>99.79999999999994</v>
      </c>
      <c r="AS15" s="170">
        <f>SUM(AS12:AS14)</f>
        <v>38.10000000000003</v>
      </c>
      <c r="AT15" s="170">
        <f>SUM(AT12:AT14)</f>
        <v>46.5</v>
      </c>
      <c r="AU15" s="271">
        <f>SUM(AU12:AU14)</f>
        <v>43.8</v>
      </c>
      <c r="AV15" s="170">
        <f>SUM(AV12:AV14)</f>
        <v>47.100000000000023</v>
      </c>
      <c r="AW15" s="170">
        <f t="shared" si="7"/>
        <v>175.50000000000006</v>
      </c>
      <c r="AX15" s="170">
        <f>SUM(AX12:AX14)</f>
        <v>57.600000000000037</v>
      </c>
      <c r="AY15" s="170">
        <f>SUM(AY12:AY14)</f>
        <v>69.800000000000011</v>
      </c>
      <c r="AZ15" s="170">
        <f>SUM(AZ12:AZ14)</f>
        <v>57.800000000000047</v>
      </c>
      <c r="BA15" s="170">
        <f>SUM(BA12:BA14)</f>
        <v>52.500000000000028</v>
      </c>
      <c r="BB15" s="170">
        <f t="shared" si="8"/>
        <v>237.70000000000013</v>
      </c>
      <c r="BC15" s="170">
        <f>SUM(BC12:BC14)</f>
        <v>61.3</v>
      </c>
      <c r="BD15" s="170">
        <f>SUM(BD12:BD14)</f>
        <v>68.800000000000026</v>
      </c>
      <c r="BE15" s="170">
        <f>SUM(BE12:BE14)</f>
        <v>67.100000000000009</v>
      </c>
      <c r="BF15" s="170">
        <f>SUM(BF12:BF14)</f>
        <v>65.40000000000002</v>
      </c>
      <c r="BG15" s="170">
        <f t="shared" si="9"/>
        <v>262.60000000000008</v>
      </c>
      <c r="BH15" s="170">
        <f>SUM(BH12:BH14)</f>
        <v>72.8</v>
      </c>
      <c r="BI15" s="170">
        <f>SUM(BI12:BI14)</f>
        <v>73.100000000000023</v>
      </c>
      <c r="BJ15" s="170">
        <f>SUM(BJ12:BJ14)</f>
        <v>76.400000000000006</v>
      </c>
      <c r="BK15" s="170">
        <f>SUM(BK12:BK14)</f>
        <v>75.000000000000014</v>
      </c>
      <c r="BL15" s="170">
        <f t="shared" si="10"/>
        <v>297.30000000000007</v>
      </c>
      <c r="BM15" s="170">
        <f>SUM(BM12:BM14)</f>
        <v>80.7</v>
      </c>
      <c r="BN15" s="170">
        <f>SUM(BN12:BN14)</f>
        <v>88.099999999999966</v>
      </c>
      <c r="BO15" s="170">
        <f>SUM(BO12:BO14)</f>
        <v>73.400000000000034</v>
      </c>
      <c r="BP15" s="170">
        <f>SUM(BP12:BP14)</f>
        <v>75.999999999999957</v>
      </c>
      <c r="BQ15" s="170">
        <f t="shared" si="11"/>
        <v>318.19999999999993</v>
      </c>
      <c r="BR15" s="170">
        <f>SUM(BR12:BR14)</f>
        <v>78.3</v>
      </c>
      <c r="BS15" s="170">
        <f>SUM(BS12:BS14)</f>
        <v>94.000000000000014</v>
      </c>
      <c r="BT15" s="170">
        <f>SUM(BT12:BT14)</f>
        <v>83.6</v>
      </c>
      <c r="BU15" s="170">
        <f>SUM(BU12:BU14)</f>
        <v>81.700000000000031</v>
      </c>
      <c r="BV15" s="170">
        <f t="shared" si="12"/>
        <v>337.6</v>
      </c>
      <c r="BW15" s="170">
        <f>SUM(BW12:BW14)</f>
        <v>72.40000000000002</v>
      </c>
      <c r="BX15" s="170">
        <f>SUM(BX12:BX14)</f>
        <v>82.900000000000048</v>
      </c>
      <c r="BY15" s="170">
        <f>SUM(BY12:BY14)</f>
        <v>82.100000000000023</v>
      </c>
      <c r="BZ15" s="170">
        <f>SUM(BZ12:BZ14)</f>
        <v>85.799999999999983</v>
      </c>
      <c r="CA15" s="170">
        <f t="shared" si="13"/>
        <v>323.20000000000005</v>
      </c>
      <c r="CB15" s="170">
        <f>SUM(CB12:CB14)</f>
        <v>74.40000000000002</v>
      </c>
      <c r="CC15" s="170">
        <f>SUM(CC12:CC14)</f>
        <v>87.800000000000011</v>
      </c>
      <c r="CD15" s="170">
        <f>SUM(CD12:CD14)</f>
        <v>85.9</v>
      </c>
      <c r="CE15" s="170">
        <f>SUM(CE12:CE14)</f>
        <v>85.399999999999963</v>
      </c>
      <c r="CF15" s="170">
        <f t="shared" si="14"/>
        <v>333.5</v>
      </c>
      <c r="CG15" s="170">
        <f>SUM(CG12:CG14)</f>
        <v>90.799999999999983</v>
      </c>
      <c r="CH15" s="170">
        <f>SUM(CH12:CH14)</f>
        <v>103.2</v>
      </c>
      <c r="CI15" s="170">
        <f>SUM(CI12:CI14)</f>
        <v>98.899999999999977</v>
      </c>
      <c r="CJ15" s="170">
        <f>SUM(CJ12:CJ14)</f>
        <v>86.79999999999994</v>
      </c>
      <c r="CK15" s="170">
        <f t="shared" si="15"/>
        <v>379.69999999999993</v>
      </c>
      <c r="CL15" s="206">
        <f>SUM(CL12:CL14)</f>
        <v>53.699999999999974</v>
      </c>
      <c r="CM15" s="206">
        <f>SUM(CM12:CM14)</f>
        <v>-0.38945979999999558</v>
      </c>
      <c r="CN15" s="206">
        <f>SUM(CN12:CN14)</f>
        <v>19.074994800000006</v>
      </c>
      <c r="CO15" s="206">
        <f>SUM(CO12:CO14)</f>
        <v>36.317051200000002</v>
      </c>
      <c r="CP15" s="170">
        <f t="shared" si="16"/>
        <v>108.70258619999998</v>
      </c>
      <c r="CQ15" s="284">
        <f>SUM(CQ12:CQ14)</f>
        <v>168.81843851299996</v>
      </c>
      <c r="CR15" s="212">
        <f>SUM(CR12:CR14)</f>
        <v>214.319517195332</v>
      </c>
      <c r="CS15" s="212">
        <f>SUM(CS12:CS14)</f>
        <v>265.50343115909698</v>
      </c>
    </row>
    <row r="16" spans="2:97" ht="12" customHeight="1">
      <c r="B16" s="156" t="s">
        <v>25</v>
      </c>
      <c r="C16" s="156">
        <f>'Data (2)'!C16</f>
        <v>22.878</v>
      </c>
      <c r="D16" s="156">
        <f>'Data (2)'!D16</f>
        <v>-28.442</v>
      </c>
      <c r="E16" s="156">
        <f>'Data (2)'!E16</f>
        <v>1.7</v>
      </c>
      <c r="F16" s="156">
        <f>'Data (2)'!F16</f>
        <v>-26.3</v>
      </c>
      <c r="G16" s="156">
        <f>'Data (2)'!G16</f>
        <v>-40.5</v>
      </c>
      <c r="H16" s="156">
        <f>'Data (2)'!H16</f>
        <v>-11.3</v>
      </c>
      <c r="I16" s="156">
        <f>'Data (2)'!I16</f>
        <v>-13.5</v>
      </c>
      <c r="J16" s="156">
        <f>'Data (2)'!J16</f>
        <v>-3.4</v>
      </c>
      <c r="K16" s="156">
        <f>'Data (2)'!K16</f>
        <v>-5.2</v>
      </c>
      <c r="L16" s="156">
        <f>'Data (2)'!L16</f>
        <v>-2.2999999999999998</v>
      </c>
      <c r="M16" s="156">
        <f>'Data (2)'!M16</f>
        <v>-0.30000000000000071</v>
      </c>
      <c r="N16" s="156">
        <f t="shared" si="0"/>
        <v>-11.2</v>
      </c>
      <c r="O16" s="156">
        <f>'Data (2)'!O16</f>
        <v>-3.6</v>
      </c>
      <c r="P16" s="156">
        <f>'Data (2)'!P16</f>
        <v>-3.6</v>
      </c>
      <c r="Q16" s="156">
        <f>'Data (2)'!Q16</f>
        <v>-1.4</v>
      </c>
      <c r="R16" s="156">
        <f>'Data (2)'!R16</f>
        <v>115.3</v>
      </c>
      <c r="S16" s="156">
        <f t="shared" si="1"/>
        <v>106.7</v>
      </c>
      <c r="T16" s="156">
        <f>'Data (2)'!T16</f>
        <v>-8.6</v>
      </c>
      <c r="U16" s="156">
        <f>'Data (2)'!U16</f>
        <v>-10.7</v>
      </c>
      <c r="V16" s="156">
        <f>'Data (2)'!V16</f>
        <v>-4.2</v>
      </c>
      <c r="W16" s="156">
        <f>'Data (2)'!W16</f>
        <v>-10.600000000000005</v>
      </c>
      <c r="X16" s="156">
        <f t="shared" si="2"/>
        <v>-34.1</v>
      </c>
      <c r="Y16" s="156">
        <f>'Data (2)'!Y16</f>
        <v>-10</v>
      </c>
      <c r="Z16" s="156">
        <f>'Data (2)'!Z16</f>
        <v>-11.9</v>
      </c>
      <c r="AA16" s="156">
        <f>'Data (2)'!AA16</f>
        <v>-7.2</v>
      </c>
      <c r="AB16" s="156">
        <f>'Data (2)'!AB16</f>
        <v>-4.3000000000000007</v>
      </c>
      <c r="AC16" s="156">
        <f t="shared" si="3"/>
        <v>-33.4</v>
      </c>
      <c r="AD16" s="156">
        <f>'Data (2)'!AD16</f>
        <v>-9.6</v>
      </c>
      <c r="AE16" s="156">
        <f>'Data (2)'!AE16</f>
        <v>2</v>
      </c>
      <c r="AF16" s="156">
        <f>'Data (2)'!AF16</f>
        <v>-11.3</v>
      </c>
      <c r="AG16" s="156">
        <f>'Data (2)'!AG16</f>
        <v>3.2999999999999989</v>
      </c>
      <c r="AH16" s="156">
        <f t="shared" si="4"/>
        <v>-15.6</v>
      </c>
      <c r="AI16" s="156">
        <f>'Data (2)'!AI16</f>
        <v>-11.2</v>
      </c>
      <c r="AJ16" s="156">
        <f>'Data (2)'!AJ16</f>
        <v>-5.7</v>
      </c>
      <c r="AK16" s="156">
        <f>'Data (2)'!AK16</f>
        <v>-2.5</v>
      </c>
      <c r="AL16" s="156">
        <f>'Data (2)'!AL16</f>
        <v>-2.6</v>
      </c>
      <c r="AM16" s="156">
        <f t="shared" si="5"/>
        <v>-22</v>
      </c>
      <c r="AN16" s="156">
        <f>'Data (2)'!AN16</f>
        <v>-1.5</v>
      </c>
      <c r="AO16" s="156">
        <f>'Data (2)'!AO16</f>
        <v>-10.6</v>
      </c>
      <c r="AP16" s="156">
        <f>'Data (2)'!AP16</f>
        <v>-6.8</v>
      </c>
      <c r="AQ16" s="156">
        <f>'Data (2)'!AQ16</f>
        <v>-4</v>
      </c>
      <c r="AR16" s="156">
        <f t="shared" si="6"/>
        <v>-22.9</v>
      </c>
      <c r="AS16" s="156">
        <f>'Data (2)'!AS16</f>
        <v>-12.2</v>
      </c>
      <c r="AT16" s="156">
        <f>'Data (2)'!AT16</f>
        <v>-9.3000000000000007</v>
      </c>
      <c r="AU16" s="158">
        <f>'Data (2)'!AU16</f>
        <v>-12</v>
      </c>
      <c r="AV16" s="156">
        <f>'Data (2)'!AV16</f>
        <v>-8.1</v>
      </c>
      <c r="AW16" s="156">
        <f t="shared" si="7"/>
        <v>-41.6</v>
      </c>
      <c r="AX16" s="156">
        <f>'Data (2)'!AX16</f>
        <v>-18.399999999999999</v>
      </c>
      <c r="AY16" s="156">
        <f>'Data (2)'!AY16</f>
        <v>-22.1</v>
      </c>
      <c r="AZ16" s="156">
        <f>'Data (2)'!AZ16</f>
        <v>-18</v>
      </c>
      <c r="BA16" s="156">
        <f>'Data (2)'!BA16</f>
        <v>-15.6</v>
      </c>
      <c r="BB16" s="156">
        <f t="shared" si="8"/>
        <v>-74.099999999999994</v>
      </c>
      <c r="BC16" s="156">
        <f>'Data (2)'!BC16</f>
        <v>-17.899999999999999</v>
      </c>
      <c r="BD16" s="156">
        <f>'Data (2)'!BD16</f>
        <v>-20.6</v>
      </c>
      <c r="BE16" s="156">
        <f>'Data (2)'!BE16</f>
        <v>-18.7</v>
      </c>
      <c r="BF16" s="156">
        <f>'Data (2)'!BF16</f>
        <v>-18.8</v>
      </c>
      <c r="BG16" s="156">
        <f t="shared" si="9"/>
        <v>-76</v>
      </c>
      <c r="BH16" s="156">
        <f>'Data (2)'!BH16</f>
        <v>-22.8</v>
      </c>
      <c r="BI16" s="156">
        <f>'Data (2)'!BI16</f>
        <v>-22.9</v>
      </c>
      <c r="BJ16" s="156">
        <f>'Data (2)'!BJ16</f>
        <v>-21.2</v>
      </c>
      <c r="BK16" s="156">
        <f>'Data (2)'!BK16</f>
        <v>-22.4</v>
      </c>
      <c r="BL16" s="156">
        <f t="shared" si="10"/>
        <v>-89.300000000000011</v>
      </c>
      <c r="BM16" s="156">
        <f>'Data (2)'!BM16</f>
        <v>-12.9</v>
      </c>
      <c r="BN16" s="156">
        <f>'Data (2)'!BN16</f>
        <v>-27</v>
      </c>
      <c r="BO16" s="156">
        <f>'Data (2)'!BO16</f>
        <v>-20.7</v>
      </c>
      <c r="BP16" s="156">
        <f>'Data (2)'!BP16</f>
        <v>-22.4</v>
      </c>
      <c r="BQ16" s="156">
        <f t="shared" si="11"/>
        <v>-83</v>
      </c>
      <c r="BR16" s="156">
        <f>'Data (2)'!BR16</f>
        <v>-22.7</v>
      </c>
      <c r="BS16" s="156">
        <f>'Data (2)'!BS16</f>
        <v>-28.7</v>
      </c>
      <c r="BT16" s="156">
        <f>'Data (2)'!BT16</f>
        <v>-16.100000000000001</v>
      </c>
      <c r="BU16" s="156">
        <f>'Data (2)'!BU16</f>
        <v>-22.8</v>
      </c>
      <c r="BV16" s="156">
        <f t="shared" si="12"/>
        <v>-90.3</v>
      </c>
      <c r="BW16" s="156">
        <f>'Data (2)'!BW16</f>
        <v>-8.6</v>
      </c>
      <c r="BX16" s="156">
        <f>'Data (2)'!BX16</f>
        <v>-22.1</v>
      </c>
      <c r="BY16" s="156">
        <f>'Data (2)'!BY16</f>
        <v>-13.6</v>
      </c>
      <c r="BZ16" s="156">
        <f>'Data (2)'!BZ16</f>
        <v>1.8</v>
      </c>
      <c r="CA16" s="156">
        <f t="shared" si="13"/>
        <v>-42.500000000000007</v>
      </c>
      <c r="CB16" s="156">
        <f>'Data (2)'!CB16</f>
        <v>-14.1</v>
      </c>
      <c r="CC16" s="156">
        <f>'Data (2)'!CC16</f>
        <v>-20</v>
      </c>
      <c r="CD16" s="156">
        <f>'Data (2)'!CD16</f>
        <v>-7.8</v>
      </c>
      <c r="CE16" s="156">
        <f>'Data (2)'!CE16</f>
        <v>-20.6</v>
      </c>
      <c r="CF16" s="156">
        <f t="shared" si="14"/>
        <v>-62.5</v>
      </c>
      <c r="CG16" s="156">
        <f>'Data (2)'!CG16</f>
        <v>-20.6</v>
      </c>
      <c r="CH16" s="156">
        <f>'Data (2)'!CH16</f>
        <v>-23.6</v>
      </c>
      <c r="CI16" s="156">
        <f>'Data (2)'!CI16</f>
        <v>-18.2</v>
      </c>
      <c r="CJ16" s="156">
        <f>'Data (2)'!CJ16</f>
        <v>-14.4</v>
      </c>
      <c r="CK16" s="156">
        <f t="shared" si="15"/>
        <v>-76.800000000000011</v>
      </c>
      <c r="CL16" s="197">
        <f>'Data (2)'!CL16</f>
        <v>-11.8</v>
      </c>
      <c r="CM16" s="213">
        <f>-CM15*CM56</f>
        <v>8.9575753999998994E-2</v>
      </c>
      <c r="CN16" s="213">
        <f>-CN15*CN56</f>
        <v>-4.3872488040000013</v>
      </c>
      <c r="CO16" s="213">
        <f>-CO15*CO56</f>
        <v>-8.3529217760000005</v>
      </c>
      <c r="CP16" s="156">
        <f t="shared" si="16"/>
        <v>-24.450594826000007</v>
      </c>
      <c r="CQ16" s="285">
        <f>-CQ56*CQ15</f>
        <v>-38.828240857989989</v>
      </c>
      <c r="CR16" s="214">
        <f>-CR56*CR15</f>
        <v>-49.29348895492636</v>
      </c>
      <c r="CS16" s="214">
        <f>-CS56*CS15</f>
        <v>-61.06578916659231</v>
      </c>
    </row>
    <row r="17" spans="1:99" ht="12" customHeight="1">
      <c r="B17" s="156" t="s">
        <v>101</v>
      </c>
      <c r="C17" s="269">
        <f>'Data (2)'!C17</f>
        <v>0</v>
      </c>
      <c r="D17" s="269">
        <f>'Data (2)'!D17</f>
        <v>0</v>
      </c>
      <c r="E17" s="269">
        <f>'Data (2)'!E17</f>
        <v>0</v>
      </c>
      <c r="F17" s="269">
        <f>'Data (2)'!F17</f>
        <v>5.5</v>
      </c>
      <c r="G17" s="269">
        <f>'Data (2)'!G17</f>
        <v>-9.5</v>
      </c>
      <c r="H17" s="269">
        <f>'Data (2)'!H17</f>
        <v>-10</v>
      </c>
      <c r="I17" s="269">
        <f>'Data (2)'!I17</f>
        <v>-1.4</v>
      </c>
      <c r="J17" s="269">
        <f>'Data (2)'!J17</f>
        <v>0.3</v>
      </c>
      <c r="K17" s="269">
        <f>'Data (2)'!K17</f>
        <v>0.5</v>
      </c>
      <c r="L17" s="269">
        <f>'Data (2)'!L17</f>
        <v>0</v>
      </c>
      <c r="M17" s="269">
        <f>'Data (2)'!M17</f>
        <v>0.30000000000000004</v>
      </c>
      <c r="N17" s="269">
        <f t="shared" si="0"/>
        <v>1.1000000000000001</v>
      </c>
      <c r="O17" s="269">
        <f>'Data (2)'!O17</f>
        <v>0.5</v>
      </c>
      <c r="P17" s="269">
        <f>'Data (2)'!P17</f>
        <v>0.9</v>
      </c>
      <c r="Q17" s="269">
        <f>'Data (2)'!Q17</f>
        <v>1.2</v>
      </c>
      <c r="R17" s="269">
        <f>'Data (2)'!R17</f>
        <v>1.0000000000000004</v>
      </c>
      <c r="S17" s="269">
        <f t="shared" si="1"/>
        <v>3.6</v>
      </c>
      <c r="T17" s="269">
        <f>'Data (2)'!T17</f>
        <v>1.1000000000000001</v>
      </c>
      <c r="U17" s="269">
        <f>'Data (2)'!U17</f>
        <v>1.1000000000000001</v>
      </c>
      <c r="V17" s="269">
        <f>'Data (2)'!V17</f>
        <v>1</v>
      </c>
      <c r="W17" s="269">
        <f>'Data (2)'!W17</f>
        <v>0.89999999999999947</v>
      </c>
      <c r="X17" s="269">
        <f t="shared" si="2"/>
        <v>4.0999999999999996</v>
      </c>
      <c r="Y17" s="269">
        <f>'Data (2)'!Y17</f>
        <v>1</v>
      </c>
      <c r="Z17" s="269">
        <f>'Data (2)'!Z17</f>
        <v>1.4</v>
      </c>
      <c r="AA17" s="269">
        <f>'Data (2)'!AA17</f>
        <v>0.9</v>
      </c>
      <c r="AB17" s="269">
        <f>'Data (2)'!AB17</f>
        <v>1</v>
      </c>
      <c r="AC17" s="269">
        <f t="shared" si="3"/>
        <v>4.3</v>
      </c>
      <c r="AD17" s="269">
        <f>'Data (2)'!AD17</f>
        <v>1.4</v>
      </c>
      <c r="AE17" s="269">
        <f>'Data (2)'!AE17</f>
        <v>1.3</v>
      </c>
      <c r="AF17" s="269">
        <f>'Data (2)'!AF17</f>
        <v>13</v>
      </c>
      <c r="AG17" s="269">
        <f>'Data (2)'!AG17</f>
        <v>0.40000000000000213</v>
      </c>
      <c r="AH17" s="269">
        <f t="shared" si="4"/>
        <v>16.100000000000001</v>
      </c>
      <c r="AI17" s="269">
        <f>'Data (2)'!AI17</f>
        <v>0.1</v>
      </c>
      <c r="AJ17" s="269">
        <f>'Data (2)'!AJ17</f>
        <v>0.3</v>
      </c>
      <c r="AK17" s="269">
        <f>'Data (2)'!AK17</f>
        <v>0.2</v>
      </c>
      <c r="AL17" s="269">
        <f>'Data (2)'!AL17</f>
        <v>0.1</v>
      </c>
      <c r="AM17" s="269">
        <f t="shared" si="5"/>
        <v>0.70000000000000007</v>
      </c>
      <c r="AN17" s="269">
        <f>'Data (2)'!AN17</f>
        <v>0.1</v>
      </c>
      <c r="AO17" s="269">
        <f>'Data (2)'!AO17</f>
        <v>0.3</v>
      </c>
      <c r="AP17" s="269">
        <f>'Data (2)'!AP17</f>
        <v>0</v>
      </c>
      <c r="AQ17" s="269">
        <f>'Data (2)'!AQ17</f>
        <v>9.9999999999999978E-2</v>
      </c>
      <c r="AR17" s="269">
        <f t="shared" si="6"/>
        <v>0.5</v>
      </c>
      <c r="AS17" s="269">
        <f>'Data (2)'!AS17</f>
        <v>0</v>
      </c>
      <c r="AT17" s="269">
        <f>'Data (2)'!AT17</f>
        <v>0.2</v>
      </c>
      <c r="AU17" s="270">
        <f>'Data (2)'!AU17</f>
        <v>0.4</v>
      </c>
      <c r="AV17" s="269">
        <f>'Data (2)'!AV17</f>
        <v>0.5</v>
      </c>
      <c r="AW17" s="269">
        <f t="shared" si="7"/>
        <v>1.1000000000000001</v>
      </c>
      <c r="AX17" s="269">
        <f>'Data (2)'!AX17</f>
        <v>0.4</v>
      </c>
      <c r="AY17" s="269">
        <f>'Data (2)'!AY17</f>
        <v>0</v>
      </c>
      <c r="AZ17" s="269">
        <f>'Data (2)'!AZ17</f>
        <v>0</v>
      </c>
      <c r="BA17" s="269">
        <f>'Data (2)'!BA17</f>
        <v>0</v>
      </c>
      <c r="BB17" s="190">
        <f t="shared" si="8"/>
        <v>0.4</v>
      </c>
      <c r="BC17" s="190">
        <f>'Data (2)'!BC17</f>
        <v>0.2</v>
      </c>
      <c r="BD17" s="190">
        <f>'Data (2)'!BD17</f>
        <v>0.3</v>
      </c>
      <c r="BE17" s="190">
        <f>'Data (2)'!BE17</f>
        <v>0.3</v>
      </c>
      <c r="BF17" s="190">
        <f>'Data (2)'!BF17</f>
        <v>0.5</v>
      </c>
      <c r="BG17" s="190">
        <f t="shared" si="9"/>
        <v>1.3</v>
      </c>
      <c r="BH17" s="190">
        <f>'Data (2)'!BH17</f>
        <v>0.1</v>
      </c>
      <c r="BI17" s="190">
        <f>'Data (2)'!BI17</f>
        <v>0.4</v>
      </c>
      <c r="BJ17" s="190">
        <f>'Data (2)'!BJ17</f>
        <v>0.6</v>
      </c>
      <c r="BK17" s="190">
        <f>'Data (2)'!BK17</f>
        <v>0.3</v>
      </c>
      <c r="BL17" s="190">
        <f t="shared" si="10"/>
        <v>1.4000000000000001</v>
      </c>
      <c r="BM17" s="190">
        <f>'Data (2)'!BM17</f>
        <v>0.3</v>
      </c>
      <c r="BN17" s="190">
        <f>'Data (2)'!BN17</f>
        <v>0.6</v>
      </c>
      <c r="BO17" s="190">
        <f>'Data (2)'!BO17</f>
        <v>0.8</v>
      </c>
      <c r="BP17" s="190">
        <f>'Data (2)'!BP17</f>
        <v>0.3</v>
      </c>
      <c r="BQ17" s="190">
        <f t="shared" si="11"/>
        <v>2</v>
      </c>
      <c r="BR17" s="190">
        <f>'Data (2)'!BR17</f>
        <v>0.4</v>
      </c>
      <c r="BS17" s="190">
        <f>'Data (2)'!BS17</f>
        <v>0.8</v>
      </c>
      <c r="BT17" s="190">
        <f>'Data (2)'!BT17</f>
        <v>0.7</v>
      </c>
      <c r="BU17" s="190">
        <f>'Data (2)'!BU17</f>
        <v>0.6</v>
      </c>
      <c r="BV17" s="190">
        <f t="shared" si="12"/>
        <v>2.5</v>
      </c>
      <c r="BW17" s="190">
        <f>'Data (2)'!BW17</f>
        <v>0.8</v>
      </c>
      <c r="BX17" s="190">
        <f>'Data (2)'!BX17</f>
        <v>0.8</v>
      </c>
      <c r="BY17" s="190">
        <f>'Data (2)'!BY17</f>
        <v>1.2</v>
      </c>
      <c r="BZ17" s="190">
        <f>'Data (2)'!BZ17</f>
        <v>0.5</v>
      </c>
      <c r="CA17" s="190">
        <f t="shared" si="13"/>
        <v>3.3</v>
      </c>
      <c r="CB17" s="190">
        <f>'Data (2)'!CB17</f>
        <v>1.3</v>
      </c>
      <c r="CC17" s="190">
        <f>'Data (2)'!CC17</f>
        <v>1</v>
      </c>
      <c r="CD17" s="190">
        <f>'Data (2)'!CD17</f>
        <v>2</v>
      </c>
      <c r="CE17" s="190">
        <f>'Data (2)'!CE17</f>
        <v>1.3</v>
      </c>
      <c r="CF17" s="190">
        <f t="shared" si="14"/>
        <v>5.6</v>
      </c>
      <c r="CG17" s="190">
        <f>'Data (2)'!CG17</f>
        <v>2</v>
      </c>
      <c r="CH17" s="190">
        <f>'Data (2)'!CH17</f>
        <v>1.3</v>
      </c>
      <c r="CI17" s="190">
        <f>'Data (2)'!CI17</f>
        <v>-0.4</v>
      </c>
      <c r="CJ17" s="190">
        <f>'Data (2)'!CJ17</f>
        <v>0.8</v>
      </c>
      <c r="CK17" s="190">
        <f t="shared" si="15"/>
        <v>3.7</v>
      </c>
      <c r="CL17" s="211">
        <f>'Data (2)'!CL17</f>
        <v>0.5</v>
      </c>
      <c r="CM17" s="215">
        <v>0.5</v>
      </c>
      <c r="CN17" s="215">
        <v>2</v>
      </c>
      <c r="CO17" s="215">
        <v>2</v>
      </c>
      <c r="CP17" s="269">
        <f t="shared" si="16"/>
        <v>5</v>
      </c>
      <c r="CQ17" s="286">
        <v>6</v>
      </c>
      <c r="CR17" s="216">
        <v>6</v>
      </c>
      <c r="CS17" s="216">
        <v>6</v>
      </c>
    </row>
    <row r="18" spans="1:99" ht="12" hidden="1" customHeight="1" outlineLevel="1">
      <c r="A18" s="156"/>
      <c r="B18" s="295" t="s">
        <v>26</v>
      </c>
      <c r="C18" s="295">
        <f t="shared" ref="C18:M18" si="20">SUM(C15:C17)</f>
        <v>73.630000000000067</v>
      </c>
      <c r="D18" s="295">
        <f t="shared" si="20"/>
        <v>50.439000000000142</v>
      </c>
      <c r="E18" s="295">
        <f t="shared" si="20"/>
        <v>-23.3</v>
      </c>
      <c r="F18" s="295">
        <f t="shared" si="20"/>
        <v>54.200000000000074</v>
      </c>
      <c r="G18" s="295">
        <f t="shared" si="20"/>
        <v>-431.00000000000006</v>
      </c>
      <c r="H18" s="295">
        <f t="shared" si="20"/>
        <v>-13.600000000000051</v>
      </c>
      <c r="I18" s="295">
        <f t="shared" si="20"/>
        <v>-11.100000000000005</v>
      </c>
      <c r="J18" s="295">
        <f t="shared" si="20"/>
        <v>8.1000000000000245</v>
      </c>
      <c r="K18" s="295">
        <f t="shared" si="20"/>
        <v>8.7999999999999972</v>
      </c>
      <c r="L18" s="295">
        <f t="shared" si="20"/>
        <v>4.3000000000000336</v>
      </c>
      <c r="M18" s="295">
        <f t="shared" si="20"/>
        <v>7.5999999999999028</v>
      </c>
      <c r="N18" s="295">
        <f t="shared" si="0"/>
        <v>28.799999999999955</v>
      </c>
      <c r="O18" s="295">
        <f>SUM(O15:O17)</f>
        <v>-22.399999999999991</v>
      </c>
      <c r="P18" s="295">
        <f>SUM(P15:P17)</f>
        <v>26.200000000000017</v>
      </c>
      <c r="Q18" s="295">
        <f>SUM(Q15:Q17)</f>
        <v>1.1000000000000345</v>
      </c>
      <c r="R18" s="295">
        <f>SUM(R15:R17)</f>
        <v>134.79999999999998</v>
      </c>
      <c r="S18" s="295">
        <f t="shared" si="1"/>
        <v>139.70000000000005</v>
      </c>
      <c r="T18" s="295">
        <f>SUM(T15:T17)</f>
        <v>14.499999999999989</v>
      </c>
      <c r="U18" s="295">
        <f>SUM(U15:U17)</f>
        <v>17.599999999999991</v>
      </c>
      <c r="V18" s="295">
        <f>SUM(V15:V17)</f>
        <v>15.700000000000028</v>
      </c>
      <c r="W18" s="295">
        <f>SUM(W15:W17)</f>
        <v>16.299999999999983</v>
      </c>
      <c r="X18" s="295">
        <f t="shared" si="2"/>
        <v>64.099999999999994</v>
      </c>
      <c r="Y18" s="295">
        <f>SUM(Y15:Y17)</f>
        <v>14.800000000000029</v>
      </c>
      <c r="Z18" s="295">
        <f>SUM(Z15:Z17)</f>
        <v>17.500000000000007</v>
      </c>
      <c r="AA18" s="295">
        <f>SUM(AA15:AA17)</f>
        <v>18.10000000000003</v>
      </c>
      <c r="AB18" s="295">
        <f>SUM(AB15:AB17)</f>
        <v>12.99999999999984</v>
      </c>
      <c r="AC18" s="295">
        <f t="shared" si="3"/>
        <v>63.399999999999906</v>
      </c>
      <c r="AD18" s="295">
        <f>SUM(AD15:AD17)</f>
        <v>23.200000000000024</v>
      </c>
      <c r="AE18" s="295">
        <f>SUM(AE15:AE17)</f>
        <v>26.700000000000028</v>
      </c>
      <c r="AF18" s="295">
        <f>SUM(AF15:AF17)</f>
        <v>32.999999999999957</v>
      </c>
      <c r="AG18" s="295">
        <f>SUM(AG15:AG17)</f>
        <v>28.299999999999859</v>
      </c>
      <c r="AH18" s="295">
        <f t="shared" si="4"/>
        <v>111.19999999999986</v>
      </c>
      <c r="AI18" s="295">
        <f>SUM(AI15:AI17)</f>
        <v>23.400000000000009</v>
      </c>
      <c r="AJ18" s="295">
        <f>SUM(AJ15:AJ17)</f>
        <v>16.800000000000029</v>
      </c>
      <c r="AK18" s="295">
        <f>SUM(AK15:AK17)</f>
        <v>10.400000000000018</v>
      </c>
      <c r="AL18" s="295">
        <f>SUM(AL15:AL17)</f>
        <v>5.7000000000000099</v>
      </c>
      <c r="AM18" s="295">
        <f t="shared" si="5"/>
        <v>56.300000000000068</v>
      </c>
      <c r="AN18" s="295">
        <f>SUM(AN15:AN17)</f>
        <v>15.799999999999995</v>
      </c>
      <c r="AO18" s="295">
        <f>SUM(AO15:AO17)</f>
        <v>23.100000000000026</v>
      </c>
      <c r="AP18" s="295">
        <f>SUM(AP15:AP17)</f>
        <v>15.599999999999998</v>
      </c>
      <c r="AQ18" s="295">
        <f>SUM(AQ15:AQ17)</f>
        <v>22.899999999999913</v>
      </c>
      <c r="AR18" s="295">
        <f t="shared" si="6"/>
        <v>77.39999999999992</v>
      </c>
      <c r="AS18" s="295">
        <f>SUM(AS15:AS17)</f>
        <v>25.900000000000031</v>
      </c>
      <c r="AT18" s="295">
        <f>SUM(AT15:AT17)</f>
        <v>37.400000000000006</v>
      </c>
      <c r="AU18" s="295">
        <f>SUM(AU15:AU17)</f>
        <v>32.199999999999996</v>
      </c>
      <c r="AV18" s="295">
        <f>SUM(AV15:AV17)</f>
        <v>39.500000000000021</v>
      </c>
      <c r="AW18" s="295">
        <f t="shared" si="7"/>
        <v>135.00000000000006</v>
      </c>
      <c r="AX18" s="295">
        <f>SUM(AX15:AX17)</f>
        <v>39.600000000000037</v>
      </c>
      <c r="AY18" s="295">
        <f>SUM(AY15:AY17)</f>
        <v>47.70000000000001</v>
      </c>
      <c r="AZ18" s="295">
        <f>SUM(AZ15:AZ17)</f>
        <v>39.800000000000047</v>
      </c>
      <c r="BA18" s="295">
        <f>SUM(BA15:BA17)</f>
        <v>36.900000000000027</v>
      </c>
      <c r="BB18" s="295">
        <f t="shared" si="8"/>
        <v>164.00000000000011</v>
      </c>
      <c r="BC18" s="295">
        <f>SUM(BC15:BC17)</f>
        <v>43.6</v>
      </c>
      <c r="BD18" s="295">
        <f>SUM(BD15:BD17)</f>
        <v>48.500000000000021</v>
      </c>
      <c r="BE18" s="295">
        <f>SUM(BE15:BE17)</f>
        <v>48.7</v>
      </c>
      <c r="BF18" s="295">
        <f>SUM(BF15:BF17)</f>
        <v>47.100000000000023</v>
      </c>
      <c r="BG18" s="295">
        <f t="shared" si="9"/>
        <v>187.90000000000003</v>
      </c>
      <c r="BH18" s="295">
        <f>SUM(BH15:BH17)</f>
        <v>50.1</v>
      </c>
      <c r="BI18" s="295">
        <f>SUM(BI15:BI17)</f>
        <v>50.600000000000023</v>
      </c>
      <c r="BJ18" s="295">
        <f>SUM(BJ15:BJ17)</f>
        <v>55.800000000000004</v>
      </c>
      <c r="BK18" s="295">
        <f>SUM(BK15:BK17)</f>
        <v>52.900000000000013</v>
      </c>
      <c r="BL18" s="295">
        <f t="shared" si="10"/>
        <v>209.40000000000003</v>
      </c>
      <c r="BM18" s="295">
        <f>SUM(BM15:BM17)</f>
        <v>68.099999999999994</v>
      </c>
      <c r="BN18" s="295">
        <f>SUM(BN15:BN17)</f>
        <v>61.699999999999967</v>
      </c>
      <c r="BO18" s="295">
        <f>SUM(BO15:BO17)</f>
        <v>53.500000000000028</v>
      </c>
      <c r="BP18" s="295">
        <f>SUM(BP15:BP17)</f>
        <v>53.899999999999956</v>
      </c>
      <c r="BQ18" s="295">
        <f t="shared" si="11"/>
        <v>237.19999999999993</v>
      </c>
      <c r="BR18" s="295">
        <f>SUM(BR15:BR17)</f>
        <v>55.999999999999993</v>
      </c>
      <c r="BS18" s="295">
        <f>SUM(BS15:BS17)</f>
        <v>66.100000000000009</v>
      </c>
      <c r="BT18" s="295">
        <f>SUM(BT15:BT17)</f>
        <v>68.2</v>
      </c>
      <c r="BU18" s="295">
        <f>SUM(BU15:BU17)</f>
        <v>59.500000000000036</v>
      </c>
      <c r="BV18" s="295">
        <f t="shared" si="12"/>
        <v>249.80000000000004</v>
      </c>
      <c r="BW18" s="295">
        <f>SUM(BW15:BW17)</f>
        <v>64.600000000000023</v>
      </c>
      <c r="BX18" s="295">
        <f>SUM(BX15:BX17)</f>
        <v>61.600000000000044</v>
      </c>
      <c r="BY18" s="295">
        <f>SUM(BY15:BY17)</f>
        <v>69.700000000000031</v>
      </c>
      <c r="BZ18" s="295">
        <f>SUM(BZ15:BZ17)</f>
        <v>88.09999999999998</v>
      </c>
      <c r="CA18" s="295">
        <f t="shared" si="13"/>
        <v>284.00000000000006</v>
      </c>
      <c r="CB18" s="295">
        <f>SUM(CB15:CB17)</f>
        <v>61.600000000000016</v>
      </c>
      <c r="CC18" s="295">
        <f>SUM(CC15:CC17)</f>
        <v>68.800000000000011</v>
      </c>
      <c r="CD18" s="295">
        <f>SUM(CD15:CD17)</f>
        <v>80.100000000000009</v>
      </c>
      <c r="CE18" s="295">
        <f>SUM(CE15:CE17)</f>
        <v>66.099999999999952</v>
      </c>
      <c r="CF18" s="295">
        <f t="shared" si="14"/>
        <v>276.60000000000002</v>
      </c>
      <c r="CG18" s="295">
        <f>SUM(CG15:CG17)</f>
        <v>72.199999999999989</v>
      </c>
      <c r="CH18" s="295">
        <f>SUM(CH15:CH17)</f>
        <v>80.899999999999991</v>
      </c>
      <c r="CI18" s="295">
        <f>SUM(CI15:CI17)</f>
        <v>80.299999999999969</v>
      </c>
      <c r="CJ18" s="295">
        <f>SUM(CJ15:CJ17)</f>
        <v>73.199999999999932</v>
      </c>
      <c r="CK18" s="295">
        <f t="shared" si="15"/>
        <v>306.59999999999985</v>
      </c>
      <c r="CL18" s="295">
        <f>SUM(CL15:CL17)</f>
        <v>42.399999999999977</v>
      </c>
      <c r="CM18" s="295">
        <f>SUM(CM15:CM17)</f>
        <v>0.20011595400000343</v>
      </c>
      <c r="CN18" s="295">
        <f>SUM(CN15:CN17)</f>
        <v>16.687745996000004</v>
      </c>
      <c r="CO18" s="295">
        <f>SUM(CO15:CO17)</f>
        <v>29.964129423999999</v>
      </c>
      <c r="CP18" s="295">
        <f t="shared" si="16"/>
        <v>89.251991373999985</v>
      </c>
      <c r="CQ18" s="295">
        <f>SUM(CQ15:CQ17)</f>
        <v>135.99019765500998</v>
      </c>
      <c r="CR18" s="295">
        <f>SUM(CR15:CR17)</f>
        <v>171.02602824040565</v>
      </c>
      <c r="CS18" s="295">
        <f>SUM(CS15:CS17)</f>
        <v>210.43764199250467</v>
      </c>
    </row>
    <row r="19" spans="1:99" ht="12" hidden="1" customHeight="1" outlineLevel="1">
      <c r="A19" s="156"/>
      <c r="B19" s="156" t="s">
        <v>27</v>
      </c>
      <c r="C19" s="269">
        <f>'Data (2)'!C19</f>
        <v>0</v>
      </c>
      <c r="D19" s="269">
        <f>'Data (2)'!D19</f>
        <v>0</v>
      </c>
      <c r="E19" s="269">
        <f>'Data (2)'!E19</f>
        <v>0</v>
      </c>
      <c r="F19" s="269">
        <f>'Data (2)'!F19</f>
        <v>0</v>
      </c>
      <c r="G19" s="269">
        <f>'Data (2)'!G19</f>
        <v>-2.7</v>
      </c>
      <c r="H19" s="269">
        <f>'Data (2)'!H19</f>
        <v>0</v>
      </c>
      <c r="I19" s="269">
        <f>'Data (2)'!I19</f>
        <v>-9.6</v>
      </c>
      <c r="J19" s="269">
        <f>'Data (2)'!J19</f>
        <v>-3.1</v>
      </c>
      <c r="K19" s="269">
        <f>'Data (2)'!K19</f>
        <v>-3.1</v>
      </c>
      <c r="L19" s="269">
        <f>'Data (2)'!L19</f>
        <v>-3.2</v>
      </c>
      <c r="M19" s="269">
        <f>'Data (2)'!M19</f>
        <v>-15.999999999999998</v>
      </c>
      <c r="N19" s="269">
        <f t="shared" si="0"/>
        <v>-25.4</v>
      </c>
      <c r="O19" s="269">
        <f>'Data (2)'!O19</f>
        <v>-2.2999999999999998</v>
      </c>
      <c r="P19" s="269">
        <f>'Data (2)'!P19</f>
        <v>-2.2999999999999998</v>
      </c>
      <c r="Q19" s="269">
        <f>'Data (2)'!Q19</f>
        <v>-11.8</v>
      </c>
      <c r="R19" s="269">
        <f>'Data (2)'!R19</f>
        <v>-14.400000000000002</v>
      </c>
      <c r="S19" s="269">
        <f t="shared" si="1"/>
        <v>-30.8</v>
      </c>
      <c r="T19" s="269">
        <f>'Data (2)'!T19</f>
        <v>0</v>
      </c>
      <c r="U19" s="269">
        <f>'Data (2)'!U19</f>
        <v>0</v>
      </c>
      <c r="V19" s="269">
        <f>'Data (2)'!V19</f>
        <v>0</v>
      </c>
      <c r="W19" s="269">
        <f>'Data (2)'!W19</f>
        <v>1.8</v>
      </c>
      <c r="X19" s="269">
        <f t="shared" si="2"/>
        <v>1.8</v>
      </c>
      <c r="Y19" s="269">
        <f>'Data (2)'!Y19</f>
        <v>8.6999999999999993</v>
      </c>
      <c r="Z19" s="269">
        <f>'Data (2)'!Z19</f>
        <v>-8.6999999999999993</v>
      </c>
      <c r="AA19" s="269">
        <f>'Data (2)'!AA19</f>
        <v>-0.79999999999999982</v>
      </c>
      <c r="AB19" s="269">
        <f>'Data (2)'!AB19</f>
        <v>-4.3</v>
      </c>
      <c r="AC19" s="269">
        <f t="shared" si="3"/>
        <v>-5.0999999999999996</v>
      </c>
      <c r="AD19" s="269">
        <f>'Data (2)'!AD19</f>
        <v>0</v>
      </c>
      <c r="AE19" s="269">
        <f>'Data (2)'!AE19</f>
        <v>0</v>
      </c>
      <c r="AF19" s="269">
        <f>'Data (2)'!AF19</f>
        <v>0</v>
      </c>
      <c r="AG19" s="269">
        <f>'Data (2)'!AG19</f>
        <v>0</v>
      </c>
      <c r="AH19" s="269">
        <f t="shared" si="4"/>
        <v>0</v>
      </c>
      <c r="AI19" s="269">
        <f>'Data (2)'!AI19</f>
        <v>0</v>
      </c>
      <c r="AJ19" s="269">
        <f>'Data (2)'!AJ19</f>
        <v>0</v>
      </c>
      <c r="AK19" s="269">
        <f>'Data (2)'!AK19</f>
        <v>0</v>
      </c>
      <c r="AL19" s="269">
        <f>'Data (2)'!AL19</f>
        <v>0</v>
      </c>
      <c r="AM19" s="269">
        <f t="shared" si="5"/>
        <v>0</v>
      </c>
      <c r="AN19" s="269">
        <f>'Data (2)'!AN19</f>
        <v>0</v>
      </c>
      <c r="AO19" s="269">
        <f>'Data (2)'!AO19</f>
        <v>0</v>
      </c>
      <c r="AP19" s="269">
        <f>'Data (2)'!AP19</f>
        <v>0</v>
      </c>
      <c r="AQ19" s="269">
        <f>'Data (2)'!AQ19</f>
        <v>0</v>
      </c>
      <c r="AR19" s="269">
        <f t="shared" si="6"/>
        <v>0</v>
      </c>
      <c r="AS19" s="269">
        <f>'Data (2)'!AS19</f>
        <v>0.5</v>
      </c>
      <c r="AT19" s="269">
        <f>'Data (2)'!AT19</f>
        <v>0</v>
      </c>
      <c r="AU19" s="270">
        <v>0</v>
      </c>
      <c r="AV19" s="269">
        <v>0</v>
      </c>
      <c r="AW19" s="269">
        <f t="shared" si="7"/>
        <v>0.5</v>
      </c>
      <c r="AX19" s="269">
        <f>'Data (2)'!AX19</f>
        <v>0</v>
      </c>
      <c r="AY19" s="269">
        <f>'Data (2)'!AY19</f>
        <v>0.3</v>
      </c>
      <c r="AZ19" s="269">
        <f>'Data (2)'!AZ19</f>
        <v>0</v>
      </c>
      <c r="BA19" s="269">
        <f>'Data (2)'!BA19</f>
        <v>0</v>
      </c>
      <c r="BB19" s="269">
        <f t="shared" si="8"/>
        <v>0.3</v>
      </c>
      <c r="BC19" s="269">
        <f>'Data (2)'!BC19</f>
        <v>0</v>
      </c>
      <c r="BD19" s="269">
        <f>'Data (2)'!BD19</f>
        <v>0</v>
      </c>
      <c r="BE19" s="269">
        <f>'Data (2)'!BE19</f>
        <v>0</v>
      </c>
      <c r="BF19" s="269">
        <f>'Data (2)'!BF19</f>
        <v>0</v>
      </c>
      <c r="BG19" s="269">
        <f t="shared" si="9"/>
        <v>0</v>
      </c>
      <c r="BH19" s="269">
        <f>'Data (2)'!BH19</f>
        <v>0</v>
      </c>
      <c r="BI19" s="269">
        <v>0</v>
      </c>
      <c r="BJ19" s="269">
        <v>0</v>
      </c>
      <c r="BK19" s="269">
        <v>0</v>
      </c>
      <c r="BL19" s="269">
        <f t="shared" si="10"/>
        <v>0</v>
      </c>
      <c r="BM19" s="269">
        <f>'Data (2)'!BM19</f>
        <v>0</v>
      </c>
      <c r="BN19" s="269">
        <f>'Data (2)'!BN19</f>
        <v>0</v>
      </c>
      <c r="BO19" s="269">
        <f>'Data (2)'!BO19</f>
        <v>0</v>
      </c>
      <c r="BP19" s="269">
        <v>0</v>
      </c>
      <c r="BQ19" s="269">
        <f t="shared" si="11"/>
        <v>0</v>
      </c>
      <c r="BR19" s="269">
        <f>'Data (2)'!BR19</f>
        <v>0</v>
      </c>
      <c r="BS19" s="269">
        <f>'Data (2)'!BS19</f>
        <v>0</v>
      </c>
      <c r="BT19" s="269">
        <v>0</v>
      </c>
      <c r="BU19" s="269">
        <v>0</v>
      </c>
      <c r="BV19" s="269">
        <f t="shared" si="12"/>
        <v>0</v>
      </c>
      <c r="BW19" s="269">
        <f>'Data (2)'!BW19</f>
        <v>0</v>
      </c>
      <c r="BX19" s="269">
        <f>'Data (2)'!BX19</f>
        <v>0</v>
      </c>
      <c r="BY19" s="269">
        <f>'Data (2)'!BY19</f>
        <v>0</v>
      </c>
      <c r="BZ19" s="269">
        <f>'Data (2)'!BZ19</f>
        <v>0</v>
      </c>
      <c r="CA19" s="269">
        <f t="shared" si="13"/>
        <v>0</v>
      </c>
      <c r="CB19" s="269">
        <f>'Data (2)'!CB19</f>
        <v>0</v>
      </c>
      <c r="CC19" s="269">
        <v>0</v>
      </c>
      <c r="CD19" s="269">
        <v>0</v>
      </c>
      <c r="CE19" s="269">
        <v>0</v>
      </c>
      <c r="CF19" s="269">
        <f t="shared" si="14"/>
        <v>0</v>
      </c>
      <c r="CG19" s="269">
        <v>0</v>
      </c>
      <c r="CH19" s="269">
        <v>0</v>
      </c>
      <c r="CI19" s="269">
        <v>0</v>
      </c>
      <c r="CJ19" s="269">
        <v>0</v>
      </c>
      <c r="CK19" s="269">
        <f t="shared" si="15"/>
        <v>0</v>
      </c>
      <c r="CL19" s="269">
        <v>0</v>
      </c>
      <c r="CM19" s="269">
        <v>0</v>
      </c>
      <c r="CN19" s="269">
        <v>0</v>
      </c>
      <c r="CO19" s="269">
        <v>0</v>
      </c>
      <c r="CP19" s="269">
        <f t="shared" si="16"/>
        <v>0</v>
      </c>
      <c r="CQ19" s="269">
        <v>0</v>
      </c>
      <c r="CR19" s="269">
        <v>0</v>
      </c>
      <c r="CS19" s="269">
        <v>0</v>
      </c>
    </row>
    <row r="20" spans="1:99" ht="12" customHeight="1" collapsed="1">
      <c r="B20" s="170" t="s">
        <v>28</v>
      </c>
      <c r="C20" s="170">
        <f t="shared" ref="C20:M20" si="21">C19+C18</f>
        <v>73.630000000000067</v>
      </c>
      <c r="D20" s="170">
        <f t="shared" si="21"/>
        <v>50.439000000000142</v>
      </c>
      <c r="E20" s="170">
        <f t="shared" si="21"/>
        <v>-23.3</v>
      </c>
      <c r="F20" s="170">
        <f t="shared" si="21"/>
        <v>54.200000000000074</v>
      </c>
      <c r="G20" s="170">
        <f t="shared" si="21"/>
        <v>-433.70000000000005</v>
      </c>
      <c r="H20" s="170">
        <f t="shared" si="21"/>
        <v>-13.600000000000051</v>
      </c>
      <c r="I20" s="170">
        <f t="shared" si="21"/>
        <v>-20.700000000000003</v>
      </c>
      <c r="J20" s="170">
        <f t="shared" si="21"/>
        <v>5.0000000000000249</v>
      </c>
      <c r="K20" s="170">
        <f t="shared" si="21"/>
        <v>5.6999999999999975</v>
      </c>
      <c r="L20" s="170">
        <f t="shared" si="21"/>
        <v>1.1000000000000334</v>
      </c>
      <c r="M20" s="170">
        <f t="shared" si="21"/>
        <v>-8.4000000000000945</v>
      </c>
      <c r="N20" s="170">
        <f t="shared" si="0"/>
        <v>3.3999999999999613</v>
      </c>
      <c r="O20" s="170">
        <f>O19+O18</f>
        <v>-24.699999999999992</v>
      </c>
      <c r="P20" s="170">
        <f>P19+P18</f>
        <v>23.900000000000016</v>
      </c>
      <c r="Q20" s="170">
        <f>Q19+Q18</f>
        <v>-10.699999999999966</v>
      </c>
      <c r="R20" s="170">
        <f>R19+R18</f>
        <v>120.39999999999998</v>
      </c>
      <c r="S20" s="170">
        <f t="shared" si="1"/>
        <v>108.90000000000003</v>
      </c>
      <c r="T20" s="170">
        <f>T19+T18</f>
        <v>14.499999999999989</v>
      </c>
      <c r="U20" s="170">
        <f>U19+U18</f>
        <v>17.599999999999991</v>
      </c>
      <c r="V20" s="170">
        <f>V19+V18</f>
        <v>15.700000000000028</v>
      </c>
      <c r="W20" s="170">
        <f>W19+W18</f>
        <v>18.099999999999984</v>
      </c>
      <c r="X20" s="170">
        <f t="shared" si="2"/>
        <v>65.899999999999991</v>
      </c>
      <c r="Y20" s="170">
        <f>Y19+Y18</f>
        <v>23.500000000000028</v>
      </c>
      <c r="Z20" s="170">
        <f>Z19+Z18</f>
        <v>8.8000000000000078</v>
      </c>
      <c r="AA20" s="170">
        <f>AA19+AA18</f>
        <v>17.300000000000029</v>
      </c>
      <c r="AB20" s="170">
        <f>AB19+AB18</f>
        <v>8.6999999999998394</v>
      </c>
      <c r="AC20" s="170">
        <f t="shared" si="3"/>
        <v>58.299999999999905</v>
      </c>
      <c r="AD20" s="170">
        <f>AD19+AD18</f>
        <v>23.200000000000024</v>
      </c>
      <c r="AE20" s="170">
        <f>AE19+AE18</f>
        <v>26.700000000000028</v>
      </c>
      <c r="AF20" s="170">
        <f>AF19+AF18</f>
        <v>32.999999999999957</v>
      </c>
      <c r="AG20" s="170">
        <f>AG19+AG18</f>
        <v>28.299999999999859</v>
      </c>
      <c r="AH20" s="170">
        <f t="shared" si="4"/>
        <v>111.19999999999986</v>
      </c>
      <c r="AI20" s="170">
        <f>AI19+AI18</f>
        <v>23.400000000000009</v>
      </c>
      <c r="AJ20" s="170">
        <f>AJ19+AJ18</f>
        <v>16.800000000000029</v>
      </c>
      <c r="AK20" s="170">
        <f>AK19+AK18</f>
        <v>10.400000000000018</v>
      </c>
      <c r="AL20" s="170">
        <f>AL19+AL18</f>
        <v>5.7000000000000099</v>
      </c>
      <c r="AM20" s="170">
        <f t="shared" si="5"/>
        <v>56.300000000000068</v>
      </c>
      <c r="AN20" s="170">
        <f>AN19+AN18</f>
        <v>15.799999999999995</v>
      </c>
      <c r="AO20" s="170">
        <f>AO19+AO18</f>
        <v>23.100000000000026</v>
      </c>
      <c r="AP20" s="170">
        <f>AP19+AP18</f>
        <v>15.599999999999998</v>
      </c>
      <c r="AQ20" s="170">
        <f>AQ19+AQ18</f>
        <v>22.899999999999913</v>
      </c>
      <c r="AR20" s="170">
        <f t="shared" si="6"/>
        <v>77.39999999999992</v>
      </c>
      <c r="AS20" s="170">
        <f>AS19+AS18</f>
        <v>26.400000000000031</v>
      </c>
      <c r="AT20" s="170">
        <f>AT19+AT18</f>
        <v>37.400000000000006</v>
      </c>
      <c r="AU20" s="170">
        <f>AU19+AU18</f>
        <v>32.199999999999996</v>
      </c>
      <c r="AV20" s="170">
        <f>AV19+AV18</f>
        <v>39.500000000000021</v>
      </c>
      <c r="AW20" s="170">
        <f t="shared" si="7"/>
        <v>135.50000000000006</v>
      </c>
      <c r="AX20" s="170">
        <f>AX19+AX18</f>
        <v>39.600000000000037</v>
      </c>
      <c r="AY20" s="170">
        <f>AY19+AY18</f>
        <v>48.000000000000007</v>
      </c>
      <c r="AZ20" s="170">
        <f>AZ19+AZ18</f>
        <v>39.800000000000047</v>
      </c>
      <c r="BA20" s="170">
        <f>BA19+BA18</f>
        <v>36.900000000000027</v>
      </c>
      <c r="BB20" s="170">
        <f t="shared" si="8"/>
        <v>164.30000000000013</v>
      </c>
      <c r="BC20" s="170">
        <f>BC19+BC18</f>
        <v>43.6</v>
      </c>
      <c r="BD20" s="170">
        <f>BD19+BD18</f>
        <v>48.500000000000021</v>
      </c>
      <c r="BE20" s="170">
        <f>BE19+BE18</f>
        <v>48.7</v>
      </c>
      <c r="BF20" s="170">
        <f>BF19+BF18</f>
        <v>47.100000000000023</v>
      </c>
      <c r="BG20" s="170">
        <f t="shared" si="9"/>
        <v>187.90000000000003</v>
      </c>
      <c r="BH20" s="170">
        <f>BH19+BH18</f>
        <v>50.1</v>
      </c>
      <c r="BI20" s="170">
        <f>BI19+BI18</f>
        <v>50.600000000000023</v>
      </c>
      <c r="BJ20" s="170">
        <f>BJ19+BJ18</f>
        <v>55.800000000000004</v>
      </c>
      <c r="BK20" s="170">
        <f>BK19+BK18</f>
        <v>52.900000000000013</v>
      </c>
      <c r="BL20" s="170">
        <f t="shared" si="10"/>
        <v>209.40000000000003</v>
      </c>
      <c r="BM20" s="170">
        <f>BM19+BM18</f>
        <v>68.099999999999994</v>
      </c>
      <c r="BN20" s="170">
        <f>BN19+BN18</f>
        <v>61.699999999999967</v>
      </c>
      <c r="BO20" s="170">
        <f>BO19+BO18</f>
        <v>53.500000000000028</v>
      </c>
      <c r="BP20" s="170">
        <f>BP19+BP18</f>
        <v>53.899999999999956</v>
      </c>
      <c r="BQ20" s="170">
        <f t="shared" si="11"/>
        <v>237.19999999999993</v>
      </c>
      <c r="BR20" s="170">
        <f>BR19+BR18</f>
        <v>55.999999999999993</v>
      </c>
      <c r="BS20" s="170">
        <f>BS19+BS18</f>
        <v>66.100000000000009</v>
      </c>
      <c r="BT20" s="170">
        <f>BT19+BT18</f>
        <v>68.2</v>
      </c>
      <c r="BU20" s="170">
        <f>BU19+BU18</f>
        <v>59.500000000000036</v>
      </c>
      <c r="BV20" s="170">
        <f t="shared" si="12"/>
        <v>249.80000000000004</v>
      </c>
      <c r="BW20" s="170">
        <f>BW19+BW18</f>
        <v>64.600000000000023</v>
      </c>
      <c r="BX20" s="170">
        <f>BX19+BX18</f>
        <v>61.600000000000044</v>
      </c>
      <c r="BY20" s="170">
        <f>BY19+BY18</f>
        <v>69.700000000000031</v>
      </c>
      <c r="BZ20" s="170">
        <f>BZ19+BZ18</f>
        <v>88.09999999999998</v>
      </c>
      <c r="CA20" s="170">
        <f t="shared" si="13"/>
        <v>284.00000000000006</v>
      </c>
      <c r="CB20" s="170">
        <f>CB19+CB18</f>
        <v>61.600000000000016</v>
      </c>
      <c r="CC20" s="170">
        <f>CC19+CC18</f>
        <v>68.800000000000011</v>
      </c>
      <c r="CD20" s="170">
        <f>CD19+CD18</f>
        <v>80.100000000000009</v>
      </c>
      <c r="CE20" s="170">
        <f>CE19+CE18</f>
        <v>66.099999999999952</v>
      </c>
      <c r="CF20" s="170">
        <f t="shared" si="14"/>
        <v>276.60000000000002</v>
      </c>
      <c r="CG20" s="170">
        <f>CG19+CG18</f>
        <v>72.199999999999989</v>
      </c>
      <c r="CH20" s="170">
        <f>CH19+CH18</f>
        <v>80.899999999999991</v>
      </c>
      <c r="CI20" s="170">
        <f>CI19+CI18</f>
        <v>80.299999999999969</v>
      </c>
      <c r="CJ20" s="170">
        <f>CJ19+CJ18</f>
        <v>73.199999999999932</v>
      </c>
      <c r="CK20" s="170">
        <f t="shared" si="15"/>
        <v>306.59999999999985</v>
      </c>
      <c r="CL20" s="206">
        <f>CL19+CL18</f>
        <v>42.399999999999977</v>
      </c>
      <c r="CM20" s="206">
        <f>CM19+CM18</f>
        <v>0.20011595400000343</v>
      </c>
      <c r="CN20" s="206">
        <f>CN19+CN18</f>
        <v>16.687745996000004</v>
      </c>
      <c r="CO20" s="206">
        <f>CO19+CO18</f>
        <v>29.964129423999999</v>
      </c>
      <c r="CP20" s="170">
        <f t="shared" si="16"/>
        <v>89.251991373999985</v>
      </c>
      <c r="CQ20" s="284">
        <f>CQ19+CQ18</f>
        <v>135.99019765500998</v>
      </c>
      <c r="CR20" s="212">
        <f>CR19+CR18</f>
        <v>171.02602824040565</v>
      </c>
      <c r="CS20" s="212">
        <f>CS19+CS18</f>
        <v>210.43764199250467</v>
      </c>
    </row>
    <row r="21" spans="1:99" ht="12" hidden="1" customHeight="1" outlineLevel="1">
      <c r="A21" s="156"/>
      <c r="B21" s="170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219"/>
      <c r="BH21" s="156"/>
      <c r="BI21" s="156"/>
      <c r="BJ21" s="156"/>
      <c r="BK21" s="156"/>
      <c r="BL21" s="219"/>
      <c r="BM21" s="156"/>
      <c r="BN21" s="156"/>
      <c r="BO21" s="156"/>
      <c r="BP21" s="156"/>
      <c r="BQ21" s="219"/>
      <c r="BR21" s="156"/>
      <c r="BS21" s="156"/>
      <c r="BT21" s="156"/>
      <c r="BU21" s="156"/>
      <c r="BV21" s="219"/>
      <c r="BW21" s="156"/>
      <c r="BX21" s="156"/>
      <c r="BY21" s="156"/>
      <c r="BZ21" s="156"/>
      <c r="CA21" s="219"/>
      <c r="CB21" s="156"/>
      <c r="CC21" s="156"/>
      <c r="CD21" s="156"/>
      <c r="CE21" s="156"/>
      <c r="CF21" s="219"/>
      <c r="CG21" s="156"/>
      <c r="CH21" s="156"/>
      <c r="CI21" s="156"/>
      <c r="CJ21" s="156"/>
      <c r="CK21" s="219"/>
      <c r="CL21" s="156"/>
      <c r="CM21" s="156"/>
      <c r="CN21" s="156"/>
      <c r="CO21" s="156"/>
      <c r="CP21" s="219"/>
      <c r="CQ21" s="219"/>
      <c r="CR21" s="219"/>
      <c r="CS21" s="219"/>
      <c r="CT21" s="219"/>
      <c r="CU21" s="219"/>
    </row>
    <row r="22" spans="1:99" ht="12" hidden="1" customHeight="1" outlineLevel="2">
      <c r="A22" s="156"/>
      <c r="B22" s="156" t="s">
        <v>29</v>
      </c>
      <c r="C22" s="252">
        <f t="shared" ref="C22:AH22" si="22">C18/C34</f>
        <v>2.0036464569500398</v>
      </c>
      <c r="D22" s="252">
        <f t="shared" si="22"/>
        <v>1.3752965235173864</v>
      </c>
      <c r="E22" s="252">
        <f t="shared" si="22"/>
        <v>-0.64010989010989017</v>
      </c>
      <c r="F22" s="252">
        <f t="shared" si="22"/>
        <v>1.4728260869565239</v>
      </c>
      <c r="G22" s="252">
        <f t="shared" si="22"/>
        <v>-11.462765957446809</v>
      </c>
      <c r="H22" s="252">
        <f t="shared" si="22"/>
        <v>-0.35416666666666802</v>
      </c>
      <c r="I22" s="252">
        <f t="shared" si="22"/>
        <v>-0.28756476683937837</v>
      </c>
      <c r="J22" s="252">
        <f t="shared" si="22"/>
        <v>0.20822622107969216</v>
      </c>
      <c r="K22" s="252">
        <f t="shared" si="22"/>
        <v>0.22448979591836726</v>
      </c>
      <c r="L22" s="252">
        <f t="shared" si="22"/>
        <v>0.10913705583756431</v>
      </c>
      <c r="M22" s="252">
        <f t="shared" si="22"/>
        <v>0.18269230769230535</v>
      </c>
      <c r="N22" s="252">
        <f t="shared" si="22"/>
        <v>0.72407291011942065</v>
      </c>
      <c r="O22" s="252">
        <f t="shared" si="22"/>
        <v>-0.41558441558441545</v>
      </c>
      <c r="P22" s="252">
        <f t="shared" si="22"/>
        <v>0.48073394495412874</v>
      </c>
      <c r="Q22" s="252">
        <f t="shared" si="22"/>
        <v>1.7628205128205683E-2</v>
      </c>
      <c r="R22" s="252">
        <f t="shared" si="22"/>
        <v>1.9536231884057969</v>
      </c>
      <c r="S22" s="252">
        <f t="shared" si="22"/>
        <v>2.328333333333334</v>
      </c>
      <c r="T22" s="252">
        <f t="shared" si="22"/>
        <v>0.15608180839612473</v>
      </c>
      <c r="U22" s="252">
        <f t="shared" si="22"/>
        <v>0.18843683083511767</v>
      </c>
      <c r="V22" s="252">
        <f t="shared" si="22"/>
        <v>0.16755602988260435</v>
      </c>
      <c r="W22" s="252">
        <f t="shared" si="22"/>
        <v>0.17414529914529892</v>
      </c>
      <c r="X22" s="252">
        <f t="shared" si="22"/>
        <v>0.68629550321199129</v>
      </c>
      <c r="Y22" s="252">
        <f t="shared" si="22"/>
        <v>0.15744680851063861</v>
      </c>
      <c r="Z22" s="252">
        <f t="shared" si="22"/>
        <v>0.18538135593220345</v>
      </c>
      <c r="AA22" s="252">
        <f t="shared" si="22"/>
        <v>0.19072708113804035</v>
      </c>
      <c r="AB22" s="252">
        <f t="shared" si="22"/>
        <v>0.13612565445026015</v>
      </c>
      <c r="AC22" s="252">
        <f t="shared" si="22"/>
        <v>0.66948257655754928</v>
      </c>
      <c r="AD22" s="252">
        <f t="shared" si="22"/>
        <v>0.24141519250780463</v>
      </c>
      <c r="AE22" s="252">
        <f t="shared" si="22"/>
        <v>0.27754677754677781</v>
      </c>
      <c r="AF22" s="252">
        <f t="shared" si="22"/>
        <v>0.341968911917098</v>
      </c>
      <c r="AG22" s="252">
        <f t="shared" si="22"/>
        <v>0.29235537190082489</v>
      </c>
      <c r="AH22" s="252">
        <f t="shared" si="22"/>
        <v>1.1535269709543554</v>
      </c>
      <c r="AI22" s="252">
        <f t="shared" ref="AI22:BN22" si="23">AI18/AI34</f>
        <v>0.24173553719008276</v>
      </c>
      <c r="AJ22" s="252">
        <f t="shared" si="23"/>
        <v>0.17337461300309626</v>
      </c>
      <c r="AK22" s="252">
        <f t="shared" si="23"/>
        <v>0.10732714138286911</v>
      </c>
      <c r="AL22" s="252">
        <f t="shared" si="23"/>
        <v>5.8823529411764802E-2</v>
      </c>
      <c r="AM22" s="252">
        <f t="shared" si="23"/>
        <v>0.58116129032258135</v>
      </c>
      <c r="AN22" s="252">
        <f t="shared" si="23"/>
        <v>0.16238437821171631</v>
      </c>
      <c r="AO22" s="252">
        <f t="shared" si="23"/>
        <v>0.23692307692307718</v>
      </c>
      <c r="AP22" s="252">
        <f t="shared" si="23"/>
        <v>0.15967246673490273</v>
      </c>
      <c r="AQ22" s="252">
        <f t="shared" si="23"/>
        <v>0.23391215526046899</v>
      </c>
      <c r="AR22" s="252">
        <f t="shared" si="23"/>
        <v>0.79303278688524514</v>
      </c>
      <c r="AS22" s="252">
        <f t="shared" si="23"/>
        <v>0.26374745417515305</v>
      </c>
      <c r="AT22" s="252">
        <f t="shared" si="23"/>
        <v>0.3793103448275863</v>
      </c>
      <c r="AU22" s="252">
        <f t="shared" si="23"/>
        <v>0.32525252525252518</v>
      </c>
      <c r="AV22" s="252">
        <f t="shared" si="23"/>
        <v>0.39818548387096797</v>
      </c>
      <c r="AW22" s="252">
        <f t="shared" si="23"/>
        <v>1.3670886075949373</v>
      </c>
      <c r="AX22" s="252">
        <f t="shared" si="23"/>
        <v>0.39679358717434909</v>
      </c>
      <c r="AY22" s="252">
        <f t="shared" si="23"/>
        <v>0.47604790419161686</v>
      </c>
      <c r="AZ22" s="252">
        <f t="shared" si="23"/>
        <v>0.39680957128614203</v>
      </c>
      <c r="BA22" s="252">
        <f t="shared" si="23"/>
        <v>0.36752988047808788</v>
      </c>
      <c r="BB22" s="252">
        <f t="shared" si="23"/>
        <v>1.6371350137259806</v>
      </c>
      <c r="BC22" s="252">
        <f t="shared" si="23"/>
        <v>0.43426294820717132</v>
      </c>
      <c r="BD22" s="252">
        <f t="shared" si="23"/>
        <v>0.48500000000000021</v>
      </c>
      <c r="BE22" s="252">
        <f t="shared" si="23"/>
        <v>0.48846539618856571</v>
      </c>
      <c r="BF22" s="252">
        <f t="shared" si="23"/>
        <v>0.472417251755266</v>
      </c>
      <c r="BG22" s="252">
        <f t="shared" si="23"/>
        <v>1.8799399699849928</v>
      </c>
      <c r="BH22" s="252">
        <f t="shared" si="23"/>
        <v>0.50862944162436552</v>
      </c>
      <c r="BI22" s="252">
        <f t="shared" si="23"/>
        <v>0.52004110996916775</v>
      </c>
      <c r="BJ22" s="252">
        <f t="shared" si="23"/>
        <v>0.58246346555323592</v>
      </c>
      <c r="BK22" s="252">
        <f t="shared" si="23"/>
        <v>0.55334728033472824</v>
      </c>
      <c r="BL22" s="252">
        <f t="shared" si="23"/>
        <v>2.1632231404958677</v>
      </c>
      <c r="BM22" s="252">
        <f t="shared" si="23"/>
        <v>0.7079002079002078</v>
      </c>
      <c r="BN22" s="252">
        <f t="shared" si="23"/>
        <v>0.6387163561076602</v>
      </c>
      <c r="BO22" s="252">
        <f t="shared" ref="BO22:CS22" si="24">BO18/BO34</f>
        <v>0.55845511482254728</v>
      </c>
      <c r="BP22" s="252">
        <f t="shared" si="24"/>
        <v>0.57097457627118597</v>
      </c>
      <c r="BQ22" s="252">
        <f t="shared" si="24"/>
        <v>2.4772845953002602</v>
      </c>
      <c r="BR22" s="252">
        <f t="shared" si="24"/>
        <v>0.5995717344753746</v>
      </c>
      <c r="BS22" s="252">
        <f t="shared" si="24"/>
        <v>0.70998925886143949</v>
      </c>
      <c r="BT22" s="252">
        <f t="shared" si="24"/>
        <v>0.7357065803667745</v>
      </c>
      <c r="BU22" s="252">
        <f t="shared" si="24"/>
        <v>0.64814814814814858</v>
      </c>
      <c r="BV22" s="252">
        <f t="shared" si="24"/>
        <v>2.6932614555256067</v>
      </c>
      <c r="BW22" s="252">
        <f t="shared" si="24"/>
        <v>0.70678336980306367</v>
      </c>
      <c r="BX22" s="252">
        <f t="shared" si="24"/>
        <v>0.6791620727673654</v>
      </c>
      <c r="BY22" s="252">
        <f t="shared" si="24"/>
        <v>0.77358490566037774</v>
      </c>
      <c r="BZ22" s="252">
        <f t="shared" si="24"/>
        <v>0.9788888888888887</v>
      </c>
      <c r="CA22" s="252">
        <f t="shared" si="24"/>
        <v>3.1363887355052458</v>
      </c>
      <c r="CB22" s="252">
        <f t="shared" si="24"/>
        <v>0.68444444444444463</v>
      </c>
      <c r="CC22" s="252">
        <f t="shared" si="24"/>
        <v>0.77477477477477497</v>
      </c>
      <c r="CD22" s="252">
        <f t="shared" si="24"/>
        <v>0.92068965517241386</v>
      </c>
      <c r="CE22" s="252">
        <f t="shared" si="24"/>
        <v>0.76949941792782239</v>
      </c>
      <c r="CF22" s="252">
        <f t="shared" si="24"/>
        <v>3.1467576791808876</v>
      </c>
      <c r="CG22" s="252">
        <f t="shared" si="24"/>
        <v>0.8494117647058822</v>
      </c>
      <c r="CH22" s="252">
        <f t="shared" si="24"/>
        <v>0.94953051643192476</v>
      </c>
      <c r="CI22" s="252">
        <f t="shared" si="24"/>
        <v>0.94359576968272585</v>
      </c>
      <c r="CJ22" s="252">
        <f t="shared" si="24"/>
        <v>0.86729857819905132</v>
      </c>
      <c r="CK22" s="252">
        <f t="shared" si="24"/>
        <v>3.6113074204946978</v>
      </c>
      <c r="CL22" s="252">
        <f t="shared" si="24"/>
        <v>0.50657108721624822</v>
      </c>
      <c r="CM22" s="252">
        <f t="shared" si="24"/>
        <v>2.3937315071770743E-3</v>
      </c>
      <c r="CN22" s="252">
        <f t="shared" si="24"/>
        <v>0.19985324546107786</v>
      </c>
      <c r="CO22" s="252">
        <f t="shared" si="24"/>
        <v>0.36014578634615374</v>
      </c>
      <c r="CP22" s="252">
        <f t="shared" si="24"/>
        <v>1.0688861242395207</v>
      </c>
      <c r="CQ22" s="252">
        <f t="shared" si="24"/>
        <v>1.6483660321819391</v>
      </c>
      <c r="CR22" s="252">
        <f t="shared" si="24"/>
        <v>2.1378253530050708</v>
      </c>
      <c r="CS22" s="252">
        <f t="shared" si="24"/>
        <v>2.7436459190678573</v>
      </c>
    </row>
    <row r="23" spans="1:99" ht="12" hidden="1" customHeight="1" outlineLevel="2">
      <c r="A23" s="156"/>
      <c r="B23" s="156" t="s">
        <v>27</v>
      </c>
      <c r="C23" s="252">
        <f t="shared" ref="C23:AH23" si="25">C19/C34</f>
        <v>0</v>
      </c>
      <c r="D23" s="252">
        <f t="shared" si="25"/>
        <v>0</v>
      </c>
      <c r="E23" s="252">
        <f t="shared" si="25"/>
        <v>0</v>
      </c>
      <c r="F23" s="252">
        <f t="shared" si="25"/>
        <v>0</v>
      </c>
      <c r="G23" s="252">
        <f t="shared" si="25"/>
        <v>-7.1808510638297879E-2</v>
      </c>
      <c r="H23" s="252">
        <f t="shared" si="25"/>
        <v>0</v>
      </c>
      <c r="I23" s="252">
        <f t="shared" si="25"/>
        <v>-0.24870466321243523</v>
      </c>
      <c r="J23" s="252">
        <f t="shared" si="25"/>
        <v>-7.9691516709511578E-2</v>
      </c>
      <c r="K23" s="252">
        <f t="shared" si="25"/>
        <v>-7.9081632653061215E-2</v>
      </c>
      <c r="L23" s="252">
        <f t="shared" si="25"/>
        <v>-8.1218274111675134E-2</v>
      </c>
      <c r="M23" s="252">
        <f t="shared" si="25"/>
        <v>-0.38461538461538458</v>
      </c>
      <c r="N23" s="252">
        <f t="shared" si="25"/>
        <v>-0.63859208045254556</v>
      </c>
      <c r="O23" s="252">
        <f t="shared" si="25"/>
        <v>-4.2671614100185523E-2</v>
      </c>
      <c r="P23" s="252">
        <f t="shared" si="25"/>
        <v>-4.2201834862385317E-2</v>
      </c>
      <c r="Q23" s="252">
        <f t="shared" si="25"/>
        <v>-0.18910256410256412</v>
      </c>
      <c r="R23" s="252">
        <f t="shared" si="25"/>
        <v>-0.20869565217391309</v>
      </c>
      <c r="S23" s="252">
        <f t="shared" si="25"/>
        <v>-0.51333333333333331</v>
      </c>
      <c r="T23" s="252">
        <f t="shared" si="25"/>
        <v>0</v>
      </c>
      <c r="U23" s="252">
        <f t="shared" si="25"/>
        <v>0</v>
      </c>
      <c r="V23" s="252">
        <f t="shared" si="25"/>
        <v>0</v>
      </c>
      <c r="W23" s="252">
        <f t="shared" si="25"/>
        <v>1.9230769230769225E-2</v>
      </c>
      <c r="X23" s="252">
        <f t="shared" si="25"/>
        <v>1.9271948608137045E-2</v>
      </c>
      <c r="Y23" s="252">
        <f t="shared" si="25"/>
        <v>9.2553191489361697E-2</v>
      </c>
      <c r="Z23" s="252">
        <f t="shared" si="25"/>
        <v>-9.2161016949152533E-2</v>
      </c>
      <c r="AA23" s="252">
        <f t="shared" si="25"/>
        <v>-8.4299262381454139E-3</v>
      </c>
      <c r="AB23" s="252">
        <f t="shared" si="25"/>
        <v>-4.5026178010471214E-2</v>
      </c>
      <c r="AC23" s="252">
        <f t="shared" si="25"/>
        <v>-5.385427666314678E-2</v>
      </c>
      <c r="AD23" s="252">
        <f t="shared" si="25"/>
        <v>0</v>
      </c>
      <c r="AE23" s="252">
        <f t="shared" si="25"/>
        <v>0</v>
      </c>
      <c r="AF23" s="252">
        <f t="shared" si="25"/>
        <v>0</v>
      </c>
      <c r="AG23" s="252">
        <f t="shared" si="25"/>
        <v>0</v>
      </c>
      <c r="AH23" s="252">
        <f t="shared" si="25"/>
        <v>0</v>
      </c>
      <c r="AI23" s="252">
        <f t="shared" ref="AI23:BN23" si="26">AI19/AI34</f>
        <v>0</v>
      </c>
      <c r="AJ23" s="252">
        <f t="shared" si="26"/>
        <v>0</v>
      </c>
      <c r="AK23" s="252">
        <f t="shared" si="26"/>
        <v>0</v>
      </c>
      <c r="AL23" s="252">
        <f t="shared" si="26"/>
        <v>0</v>
      </c>
      <c r="AM23" s="252">
        <f t="shared" si="26"/>
        <v>0</v>
      </c>
      <c r="AN23" s="252">
        <f t="shared" si="26"/>
        <v>0</v>
      </c>
      <c r="AO23" s="252">
        <f t="shared" si="26"/>
        <v>0</v>
      </c>
      <c r="AP23" s="252">
        <f t="shared" si="26"/>
        <v>0</v>
      </c>
      <c r="AQ23" s="252">
        <f t="shared" si="26"/>
        <v>0</v>
      </c>
      <c r="AR23" s="252">
        <f t="shared" si="26"/>
        <v>0</v>
      </c>
      <c r="AS23" s="252">
        <f t="shared" si="26"/>
        <v>5.0916496945010185E-3</v>
      </c>
      <c r="AT23" s="252">
        <f t="shared" si="26"/>
        <v>0</v>
      </c>
      <c r="AU23" s="252">
        <f t="shared" si="26"/>
        <v>0</v>
      </c>
      <c r="AV23" s="252">
        <f t="shared" si="26"/>
        <v>0</v>
      </c>
      <c r="AW23" s="252">
        <f t="shared" si="26"/>
        <v>5.0632911392405064E-3</v>
      </c>
      <c r="AX23" s="252">
        <f t="shared" si="26"/>
        <v>0</v>
      </c>
      <c r="AY23" s="252">
        <f t="shared" si="26"/>
        <v>2.9940119760479039E-3</v>
      </c>
      <c r="AZ23" s="252">
        <f t="shared" si="26"/>
        <v>0</v>
      </c>
      <c r="BA23" s="252">
        <f t="shared" si="26"/>
        <v>0</v>
      </c>
      <c r="BB23" s="252">
        <f t="shared" si="26"/>
        <v>2.9947591714499619E-3</v>
      </c>
      <c r="BC23" s="252">
        <f t="shared" si="26"/>
        <v>0</v>
      </c>
      <c r="BD23" s="252">
        <f t="shared" si="26"/>
        <v>0</v>
      </c>
      <c r="BE23" s="252">
        <f t="shared" si="26"/>
        <v>0</v>
      </c>
      <c r="BF23" s="252">
        <f t="shared" si="26"/>
        <v>0</v>
      </c>
      <c r="BG23" s="252">
        <f t="shared" si="26"/>
        <v>0</v>
      </c>
      <c r="BH23" s="252">
        <f t="shared" si="26"/>
        <v>0</v>
      </c>
      <c r="BI23" s="252">
        <f t="shared" si="26"/>
        <v>0</v>
      </c>
      <c r="BJ23" s="252">
        <f t="shared" si="26"/>
        <v>0</v>
      </c>
      <c r="BK23" s="252">
        <f t="shared" si="26"/>
        <v>0</v>
      </c>
      <c r="BL23" s="252">
        <f t="shared" si="26"/>
        <v>0</v>
      </c>
      <c r="BM23" s="252">
        <f t="shared" si="26"/>
        <v>0</v>
      </c>
      <c r="BN23" s="252">
        <f t="shared" si="26"/>
        <v>0</v>
      </c>
      <c r="BO23" s="252">
        <f t="shared" ref="BO23:CS23" si="27">BO19/BO34</f>
        <v>0</v>
      </c>
      <c r="BP23" s="252">
        <f t="shared" si="27"/>
        <v>0</v>
      </c>
      <c r="BQ23" s="252">
        <f t="shared" si="27"/>
        <v>0</v>
      </c>
      <c r="BR23" s="252">
        <f t="shared" si="27"/>
        <v>0</v>
      </c>
      <c r="BS23" s="252">
        <f t="shared" si="27"/>
        <v>0</v>
      </c>
      <c r="BT23" s="252">
        <f t="shared" si="27"/>
        <v>0</v>
      </c>
      <c r="BU23" s="252">
        <f t="shared" si="27"/>
        <v>0</v>
      </c>
      <c r="BV23" s="252">
        <f t="shared" si="27"/>
        <v>0</v>
      </c>
      <c r="BW23" s="252">
        <f t="shared" si="27"/>
        <v>0</v>
      </c>
      <c r="BX23" s="252">
        <f t="shared" si="27"/>
        <v>0</v>
      </c>
      <c r="BY23" s="252">
        <f t="shared" si="27"/>
        <v>0</v>
      </c>
      <c r="BZ23" s="252">
        <f t="shared" si="27"/>
        <v>0</v>
      </c>
      <c r="CA23" s="252">
        <f t="shared" si="27"/>
        <v>0</v>
      </c>
      <c r="CB23" s="252">
        <f t="shared" si="27"/>
        <v>0</v>
      </c>
      <c r="CC23" s="252">
        <f t="shared" si="27"/>
        <v>0</v>
      </c>
      <c r="CD23" s="252">
        <f t="shared" si="27"/>
        <v>0</v>
      </c>
      <c r="CE23" s="252">
        <f t="shared" si="27"/>
        <v>0</v>
      </c>
      <c r="CF23" s="252">
        <f t="shared" si="27"/>
        <v>0</v>
      </c>
      <c r="CG23" s="252">
        <f t="shared" si="27"/>
        <v>0</v>
      </c>
      <c r="CH23" s="252">
        <f t="shared" si="27"/>
        <v>0</v>
      </c>
      <c r="CI23" s="252">
        <f t="shared" si="27"/>
        <v>0</v>
      </c>
      <c r="CJ23" s="252">
        <f t="shared" si="27"/>
        <v>0</v>
      </c>
      <c r="CK23" s="252">
        <f t="shared" si="27"/>
        <v>0</v>
      </c>
      <c r="CL23" s="252">
        <f t="shared" si="27"/>
        <v>0</v>
      </c>
      <c r="CM23" s="252">
        <f t="shared" si="27"/>
        <v>0</v>
      </c>
      <c r="CN23" s="252">
        <f t="shared" si="27"/>
        <v>0</v>
      </c>
      <c r="CO23" s="252">
        <f t="shared" si="27"/>
        <v>0</v>
      </c>
      <c r="CP23" s="252">
        <f t="shared" si="27"/>
        <v>0</v>
      </c>
      <c r="CQ23" s="252">
        <f t="shared" si="27"/>
        <v>0</v>
      </c>
      <c r="CR23" s="252">
        <f t="shared" si="27"/>
        <v>0</v>
      </c>
      <c r="CS23" s="252">
        <f t="shared" si="27"/>
        <v>0</v>
      </c>
    </row>
    <row r="24" spans="1:99" ht="12" hidden="1" customHeight="1" outlineLevel="2">
      <c r="A24" s="156"/>
      <c r="B24" s="156" t="s">
        <v>30</v>
      </c>
      <c r="C24" s="252">
        <f t="shared" ref="C24:AH24" si="28">C20/C34</f>
        <v>2.0036464569500398</v>
      </c>
      <c r="D24" s="252">
        <f t="shared" si="28"/>
        <v>1.3752965235173864</v>
      </c>
      <c r="E24" s="252">
        <f t="shared" si="28"/>
        <v>-0.64010989010989017</v>
      </c>
      <c r="F24" s="252">
        <f t="shared" si="28"/>
        <v>1.4728260869565239</v>
      </c>
      <c r="G24" s="252">
        <f t="shared" si="28"/>
        <v>-11.534574468085108</v>
      </c>
      <c r="H24" s="252">
        <f t="shared" si="28"/>
        <v>-0.35416666666666802</v>
      </c>
      <c r="I24" s="252">
        <f t="shared" si="28"/>
        <v>-0.53626943005181349</v>
      </c>
      <c r="J24" s="252">
        <f t="shared" si="28"/>
        <v>0.12853470437018058</v>
      </c>
      <c r="K24" s="252">
        <f t="shared" si="28"/>
        <v>0.14540816326530606</v>
      </c>
      <c r="L24" s="252">
        <f t="shared" si="28"/>
        <v>2.7918781725889172E-2</v>
      </c>
      <c r="M24" s="252">
        <f t="shared" si="28"/>
        <v>-0.20192307692307918</v>
      </c>
      <c r="N24" s="252">
        <f t="shared" si="28"/>
        <v>8.5480829666875202E-2</v>
      </c>
      <c r="O24" s="252">
        <f t="shared" si="28"/>
        <v>-0.458256029684601</v>
      </c>
      <c r="P24" s="252">
        <f t="shared" si="28"/>
        <v>0.43853211009174342</v>
      </c>
      <c r="Q24" s="252">
        <f t="shared" si="28"/>
        <v>-0.17147435897435842</v>
      </c>
      <c r="R24" s="252">
        <f t="shared" si="28"/>
        <v>1.7449275362318837</v>
      </c>
      <c r="S24" s="252">
        <f t="shared" si="28"/>
        <v>1.8150000000000006</v>
      </c>
      <c r="T24" s="252">
        <f t="shared" si="28"/>
        <v>0.15608180839612473</v>
      </c>
      <c r="U24" s="252">
        <f t="shared" si="28"/>
        <v>0.18843683083511767</v>
      </c>
      <c r="V24" s="252">
        <f t="shared" si="28"/>
        <v>0.16755602988260435</v>
      </c>
      <c r="W24" s="252">
        <f t="shared" si="28"/>
        <v>0.19337606837606816</v>
      </c>
      <c r="X24" s="252">
        <f t="shared" si="28"/>
        <v>0.70556745182012837</v>
      </c>
      <c r="Y24" s="252">
        <f t="shared" si="28"/>
        <v>0.25000000000000028</v>
      </c>
      <c r="Z24" s="252">
        <f t="shared" si="28"/>
        <v>9.3220338983050918E-2</v>
      </c>
      <c r="AA24" s="252">
        <f t="shared" si="28"/>
        <v>0.18229715489989493</v>
      </c>
      <c r="AB24" s="252">
        <f t="shared" si="28"/>
        <v>9.1099476439788926E-2</v>
      </c>
      <c r="AC24" s="252">
        <f t="shared" si="28"/>
        <v>0.61562829989440249</v>
      </c>
      <c r="AD24" s="252">
        <f t="shared" si="28"/>
        <v>0.24141519250780463</v>
      </c>
      <c r="AE24" s="252">
        <f t="shared" si="28"/>
        <v>0.27754677754677781</v>
      </c>
      <c r="AF24" s="252">
        <f t="shared" si="28"/>
        <v>0.341968911917098</v>
      </c>
      <c r="AG24" s="252">
        <f t="shared" si="28"/>
        <v>0.29235537190082489</v>
      </c>
      <c r="AH24" s="252">
        <f t="shared" si="28"/>
        <v>1.1535269709543554</v>
      </c>
      <c r="AI24" s="252">
        <f t="shared" ref="AI24:BN24" si="29">AI20/AI34</f>
        <v>0.24173553719008276</v>
      </c>
      <c r="AJ24" s="252">
        <f t="shared" si="29"/>
        <v>0.17337461300309626</v>
      </c>
      <c r="AK24" s="252">
        <f t="shared" si="29"/>
        <v>0.10732714138286911</v>
      </c>
      <c r="AL24" s="252">
        <f t="shared" si="29"/>
        <v>5.8823529411764802E-2</v>
      </c>
      <c r="AM24" s="252">
        <f t="shared" si="29"/>
        <v>0.58116129032258135</v>
      </c>
      <c r="AN24" s="252">
        <f t="shared" si="29"/>
        <v>0.16238437821171631</v>
      </c>
      <c r="AO24" s="252">
        <f t="shared" si="29"/>
        <v>0.23692307692307718</v>
      </c>
      <c r="AP24" s="252">
        <f t="shared" si="29"/>
        <v>0.15967246673490273</v>
      </c>
      <c r="AQ24" s="252">
        <f t="shared" si="29"/>
        <v>0.23391215526046899</v>
      </c>
      <c r="AR24" s="252">
        <f t="shared" si="29"/>
        <v>0.79303278688524514</v>
      </c>
      <c r="AS24" s="252">
        <f t="shared" si="29"/>
        <v>0.26883910386965409</v>
      </c>
      <c r="AT24" s="252">
        <f t="shared" si="29"/>
        <v>0.3793103448275863</v>
      </c>
      <c r="AU24" s="252">
        <f t="shared" si="29"/>
        <v>0.32525252525252518</v>
      </c>
      <c r="AV24" s="252">
        <f t="shared" si="29"/>
        <v>0.39818548387096797</v>
      </c>
      <c r="AW24" s="252">
        <f t="shared" si="29"/>
        <v>1.3721518987341779</v>
      </c>
      <c r="AX24" s="252">
        <f t="shared" si="29"/>
        <v>0.39679358717434909</v>
      </c>
      <c r="AY24" s="252">
        <f t="shared" si="29"/>
        <v>0.47904191616766473</v>
      </c>
      <c r="AZ24" s="252">
        <f t="shared" si="29"/>
        <v>0.39680957128614203</v>
      </c>
      <c r="BA24" s="252">
        <f t="shared" si="29"/>
        <v>0.36752988047808788</v>
      </c>
      <c r="BB24" s="252">
        <f t="shared" si="29"/>
        <v>1.6401297728974307</v>
      </c>
      <c r="BC24" s="252">
        <f t="shared" si="29"/>
        <v>0.43426294820717132</v>
      </c>
      <c r="BD24" s="252">
        <f t="shared" si="29"/>
        <v>0.48500000000000021</v>
      </c>
      <c r="BE24" s="252">
        <f t="shared" si="29"/>
        <v>0.48846539618856571</v>
      </c>
      <c r="BF24" s="252">
        <f t="shared" si="29"/>
        <v>0.472417251755266</v>
      </c>
      <c r="BG24" s="252">
        <f t="shared" si="29"/>
        <v>1.8799399699849928</v>
      </c>
      <c r="BH24" s="252">
        <f t="shared" si="29"/>
        <v>0.50862944162436552</v>
      </c>
      <c r="BI24" s="252">
        <f t="shared" si="29"/>
        <v>0.52004110996916775</v>
      </c>
      <c r="BJ24" s="252">
        <f t="shared" si="29"/>
        <v>0.58246346555323592</v>
      </c>
      <c r="BK24" s="252">
        <f t="shared" si="29"/>
        <v>0.55334728033472824</v>
      </c>
      <c r="BL24" s="252">
        <f t="shared" si="29"/>
        <v>2.1632231404958677</v>
      </c>
      <c r="BM24" s="252">
        <f t="shared" si="29"/>
        <v>0.7079002079002078</v>
      </c>
      <c r="BN24" s="252">
        <f t="shared" si="29"/>
        <v>0.6387163561076602</v>
      </c>
      <c r="BO24" s="252">
        <f t="shared" ref="BO24:CS24" si="30">BO20/BO34</f>
        <v>0.55845511482254728</v>
      </c>
      <c r="BP24" s="252">
        <f t="shared" si="30"/>
        <v>0.57097457627118597</v>
      </c>
      <c r="BQ24" s="252">
        <f t="shared" si="30"/>
        <v>2.4772845953002602</v>
      </c>
      <c r="BR24" s="252">
        <f t="shared" si="30"/>
        <v>0.5995717344753746</v>
      </c>
      <c r="BS24" s="252">
        <f t="shared" si="30"/>
        <v>0.70998925886143949</v>
      </c>
      <c r="BT24" s="252">
        <f t="shared" si="30"/>
        <v>0.7357065803667745</v>
      </c>
      <c r="BU24" s="252">
        <f t="shared" si="30"/>
        <v>0.64814814814814858</v>
      </c>
      <c r="BV24" s="252">
        <f t="shared" si="30"/>
        <v>2.6932614555256067</v>
      </c>
      <c r="BW24" s="252">
        <f t="shared" si="30"/>
        <v>0.70678336980306367</v>
      </c>
      <c r="BX24" s="252">
        <f t="shared" si="30"/>
        <v>0.6791620727673654</v>
      </c>
      <c r="BY24" s="252">
        <f t="shared" si="30"/>
        <v>0.77358490566037774</v>
      </c>
      <c r="BZ24" s="252">
        <f t="shared" si="30"/>
        <v>0.9788888888888887</v>
      </c>
      <c r="CA24" s="252">
        <f t="shared" si="30"/>
        <v>3.1363887355052458</v>
      </c>
      <c r="CB24" s="252">
        <f t="shared" si="30"/>
        <v>0.68444444444444463</v>
      </c>
      <c r="CC24" s="252">
        <f t="shared" si="30"/>
        <v>0.77477477477477497</v>
      </c>
      <c r="CD24" s="252">
        <f t="shared" si="30"/>
        <v>0.92068965517241386</v>
      </c>
      <c r="CE24" s="252">
        <f t="shared" si="30"/>
        <v>0.76949941792782239</v>
      </c>
      <c r="CF24" s="252">
        <f t="shared" si="30"/>
        <v>3.1467576791808876</v>
      </c>
      <c r="CG24" s="252">
        <f t="shared" si="30"/>
        <v>0.8494117647058822</v>
      </c>
      <c r="CH24" s="252">
        <f t="shared" si="30"/>
        <v>0.94953051643192476</v>
      </c>
      <c r="CI24" s="252">
        <f t="shared" si="30"/>
        <v>0.94359576968272585</v>
      </c>
      <c r="CJ24" s="252">
        <f t="shared" si="30"/>
        <v>0.86729857819905132</v>
      </c>
      <c r="CK24" s="252">
        <f t="shared" si="30"/>
        <v>3.6113074204946978</v>
      </c>
      <c r="CL24" s="252">
        <f t="shared" si="30"/>
        <v>0.50657108721624822</v>
      </c>
      <c r="CM24" s="252">
        <f t="shared" si="30"/>
        <v>2.3937315071770743E-3</v>
      </c>
      <c r="CN24" s="252">
        <f t="shared" si="30"/>
        <v>0.19985324546107786</v>
      </c>
      <c r="CO24" s="252">
        <f t="shared" si="30"/>
        <v>0.36014578634615374</v>
      </c>
      <c r="CP24" s="252">
        <f t="shared" si="30"/>
        <v>1.0688861242395207</v>
      </c>
      <c r="CQ24" s="252">
        <f t="shared" si="30"/>
        <v>1.6483660321819391</v>
      </c>
      <c r="CR24" s="252">
        <f t="shared" si="30"/>
        <v>2.1378253530050708</v>
      </c>
      <c r="CS24" s="252">
        <f t="shared" si="30"/>
        <v>2.7436459190678573</v>
      </c>
    </row>
    <row r="25" spans="1:99" ht="12" hidden="1" customHeight="1" outlineLevel="2">
      <c r="A25" s="156"/>
      <c r="B25" s="170"/>
      <c r="C25" s="252"/>
      <c r="D25" s="252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2"/>
      <c r="AX25" s="252"/>
      <c r="AY25" s="252"/>
      <c r="AZ25" s="252"/>
      <c r="BA25" s="252"/>
      <c r="BB25" s="252"/>
      <c r="BC25" s="252"/>
      <c r="BD25" s="252"/>
      <c r="BE25" s="252"/>
      <c r="BF25" s="252"/>
      <c r="BG25" s="252"/>
      <c r="BH25" s="252"/>
      <c r="BI25" s="252"/>
      <c r="BJ25" s="252"/>
      <c r="BK25" s="252"/>
      <c r="BL25" s="252"/>
      <c r="BM25" s="252"/>
      <c r="BN25" s="252"/>
      <c r="BO25" s="252"/>
      <c r="BP25" s="252"/>
      <c r="BQ25" s="252"/>
      <c r="BR25" s="252"/>
      <c r="BS25" s="252"/>
      <c r="BT25" s="252"/>
      <c r="BU25" s="252"/>
      <c r="BV25" s="252"/>
      <c r="BW25" s="252"/>
      <c r="BX25" s="252"/>
      <c r="BY25" s="252"/>
      <c r="BZ25" s="252"/>
      <c r="CA25" s="252"/>
      <c r="CB25" s="252"/>
      <c r="CC25" s="252"/>
      <c r="CD25" s="252"/>
      <c r="CE25" s="252"/>
      <c r="CF25" s="252"/>
      <c r="CG25" s="252"/>
      <c r="CH25" s="252"/>
      <c r="CI25" s="252"/>
      <c r="CJ25" s="252"/>
      <c r="CK25" s="252"/>
      <c r="CL25" s="252"/>
      <c r="CM25" s="252"/>
      <c r="CN25" s="252"/>
      <c r="CO25" s="252"/>
      <c r="CP25" s="252"/>
      <c r="CQ25" s="252"/>
      <c r="CR25" s="252"/>
      <c r="CS25" s="252"/>
    </row>
    <row r="26" spans="1:99" ht="12" hidden="1" customHeight="1" outlineLevel="1" collapsed="1">
      <c r="A26" s="156"/>
      <c r="B26" s="232" t="s">
        <v>86</v>
      </c>
      <c r="C26" s="259">
        <f t="shared" ref="C26:AH26" si="31">C18/C35</f>
        <v>1.6007565710807241</v>
      </c>
      <c r="D26" s="259">
        <f t="shared" si="31"/>
        <v>1.104398852663619</v>
      </c>
      <c r="E26" s="259">
        <f t="shared" si="31"/>
        <v>-0.64010989010989017</v>
      </c>
      <c r="F26" s="259">
        <f t="shared" si="31"/>
        <v>1.1859956236323868</v>
      </c>
      <c r="G26" s="259">
        <f t="shared" si="31"/>
        <v>-11.462765957446809</v>
      </c>
      <c r="H26" s="259">
        <f t="shared" si="31"/>
        <v>-0.35416666666666802</v>
      </c>
      <c r="I26" s="259">
        <f t="shared" si="31"/>
        <v>-0.28756476683937837</v>
      </c>
      <c r="J26" s="259">
        <f t="shared" si="31"/>
        <v>8.9108910891089368E-2</v>
      </c>
      <c r="K26" s="259">
        <f t="shared" si="31"/>
        <v>9.6385542168674676E-2</v>
      </c>
      <c r="L26" s="259">
        <f t="shared" si="31"/>
        <v>4.6994535519126052E-2</v>
      </c>
      <c r="M26" s="259">
        <f t="shared" si="31"/>
        <v>8.3060109289616421E-2</v>
      </c>
      <c r="N26" s="259">
        <f t="shared" si="31"/>
        <v>0.31544359255202581</v>
      </c>
      <c r="O26" s="259">
        <f t="shared" si="31"/>
        <v>-0.23728813559322023</v>
      </c>
      <c r="P26" s="259">
        <f t="shared" si="31"/>
        <v>0.27608008429926256</v>
      </c>
      <c r="Q26" s="259">
        <f t="shared" si="31"/>
        <v>1.1591148577450311E-2</v>
      </c>
      <c r="R26" s="259">
        <f t="shared" si="31"/>
        <v>1.4204425711275024</v>
      </c>
      <c r="S26" s="259">
        <f t="shared" si="31"/>
        <v>1.4909284951974391</v>
      </c>
      <c r="T26" s="259">
        <f t="shared" si="31"/>
        <v>0.15247108307045204</v>
      </c>
      <c r="U26" s="259">
        <f t="shared" si="31"/>
        <v>0.1842931937172774</v>
      </c>
      <c r="V26" s="259">
        <f t="shared" si="31"/>
        <v>0.1649159663865549</v>
      </c>
      <c r="W26" s="259">
        <f t="shared" si="31"/>
        <v>0.16943866943866923</v>
      </c>
      <c r="X26" s="259">
        <f t="shared" si="31"/>
        <v>0.67120418848167529</v>
      </c>
      <c r="Y26" s="259">
        <f t="shared" si="31"/>
        <v>0.15400624349635827</v>
      </c>
      <c r="Z26" s="259">
        <f t="shared" si="31"/>
        <v>0.18172377985462104</v>
      </c>
      <c r="AA26" s="259">
        <f t="shared" si="31"/>
        <v>0.18717683557394033</v>
      </c>
      <c r="AB26" s="259">
        <f t="shared" si="31"/>
        <v>0.13415892672858451</v>
      </c>
      <c r="AC26" s="259">
        <f t="shared" si="31"/>
        <v>0.65699481865284881</v>
      </c>
      <c r="AD26" s="259">
        <f t="shared" si="31"/>
        <v>0.23746161719549666</v>
      </c>
      <c r="AE26" s="259">
        <f t="shared" si="31"/>
        <v>0.27300613496932546</v>
      </c>
      <c r="AF26" s="259">
        <f t="shared" si="31"/>
        <v>0.33742331288343513</v>
      </c>
      <c r="AG26" s="259">
        <f t="shared" si="31"/>
        <v>0.29145211122553938</v>
      </c>
      <c r="AH26" s="259">
        <f t="shared" si="31"/>
        <v>1.1393442622950807</v>
      </c>
      <c r="AI26" s="259">
        <f t="shared" ref="AI26:BN26" si="32">AI18/AI35</f>
        <v>0.24074074074074084</v>
      </c>
      <c r="AJ26" s="259">
        <f t="shared" si="32"/>
        <v>0.17177914110429479</v>
      </c>
      <c r="AK26" s="259">
        <f t="shared" si="32"/>
        <v>0.10601427115188602</v>
      </c>
      <c r="AL26" s="259">
        <f t="shared" si="32"/>
        <v>5.7868020304568626E-2</v>
      </c>
      <c r="AM26" s="259">
        <f t="shared" si="32"/>
        <v>0.57507660878447464</v>
      </c>
      <c r="AN26" s="259">
        <f t="shared" si="32"/>
        <v>0.15959595959595954</v>
      </c>
      <c r="AO26" s="259">
        <f t="shared" si="32"/>
        <v>0.23169508525576757</v>
      </c>
      <c r="AP26" s="259">
        <f t="shared" si="32"/>
        <v>0.15599999999999997</v>
      </c>
      <c r="AQ26" s="259">
        <f t="shared" si="32"/>
        <v>0.22695738354806647</v>
      </c>
      <c r="AR26" s="259">
        <f t="shared" si="32"/>
        <v>0.77477477477477397</v>
      </c>
      <c r="AS26" s="259">
        <f t="shared" si="32"/>
        <v>0.25796812749004011</v>
      </c>
      <c r="AT26" s="259">
        <f t="shared" si="32"/>
        <v>0.37140019860973195</v>
      </c>
      <c r="AU26" s="259">
        <f t="shared" si="32"/>
        <v>0.31849653808110778</v>
      </c>
      <c r="AV26" s="259">
        <f t="shared" si="32"/>
        <v>0.3899308983218166</v>
      </c>
      <c r="AW26" s="259">
        <f t="shared" si="32"/>
        <v>1.3406156901688189</v>
      </c>
      <c r="AX26" s="259">
        <f t="shared" si="32"/>
        <v>0.38938053097345166</v>
      </c>
      <c r="AY26" s="259">
        <f t="shared" si="32"/>
        <v>0.46764705882352953</v>
      </c>
      <c r="AZ26" s="259">
        <f t="shared" si="32"/>
        <v>0.3898139079333991</v>
      </c>
      <c r="BA26" s="259">
        <f t="shared" si="32"/>
        <v>0.3610567514677106</v>
      </c>
      <c r="BB26" s="259">
        <f t="shared" si="32"/>
        <v>1.6078431372549034</v>
      </c>
      <c r="BC26" s="259">
        <f t="shared" si="32"/>
        <v>0.42703232125367291</v>
      </c>
      <c r="BD26" s="259">
        <f t="shared" si="32"/>
        <v>0.476424361493124</v>
      </c>
      <c r="BE26" s="259">
        <f t="shared" si="32"/>
        <v>0.47885939036381514</v>
      </c>
      <c r="BF26" s="259">
        <f t="shared" si="32"/>
        <v>0.46221786064769399</v>
      </c>
      <c r="BG26" s="259">
        <f t="shared" si="32"/>
        <v>1.8444171779141108</v>
      </c>
      <c r="BH26" s="259">
        <f t="shared" si="32"/>
        <v>0.49801192842942349</v>
      </c>
      <c r="BI26" s="259">
        <f t="shared" si="32"/>
        <v>0.51008064516129059</v>
      </c>
      <c r="BJ26" s="259">
        <f t="shared" si="32"/>
        <v>0.57113613101330607</v>
      </c>
      <c r="BK26" s="259">
        <f t="shared" si="32"/>
        <v>0.5425641025641027</v>
      </c>
      <c r="BL26" s="259">
        <f t="shared" si="32"/>
        <v>2.1205063291139243</v>
      </c>
      <c r="BM26" s="259">
        <f t="shared" si="32"/>
        <v>0.69560776302349325</v>
      </c>
      <c r="BN26" s="259">
        <f t="shared" si="32"/>
        <v>0.62830957230142526</v>
      </c>
      <c r="BO26" s="259">
        <f t="shared" ref="BO26:CS26" si="33">BO18/BO35</f>
        <v>0.54984583761562211</v>
      </c>
      <c r="BP26" s="259">
        <f t="shared" si="33"/>
        <v>0.56263048016701422</v>
      </c>
      <c r="BQ26" s="259">
        <f t="shared" si="33"/>
        <v>2.4378211716341203</v>
      </c>
      <c r="BR26" s="259">
        <f t="shared" si="33"/>
        <v>0.59071729957805896</v>
      </c>
      <c r="BS26" s="259">
        <f t="shared" si="33"/>
        <v>0.69873150105708259</v>
      </c>
      <c r="BT26" s="259">
        <f t="shared" si="33"/>
        <v>0.7247608926673752</v>
      </c>
      <c r="BU26" s="259">
        <f t="shared" si="33"/>
        <v>0.63772775991425545</v>
      </c>
      <c r="BV26" s="259">
        <f t="shared" si="33"/>
        <v>2.6518046709129517</v>
      </c>
      <c r="BW26" s="259">
        <f t="shared" si="33"/>
        <v>0.69537136706135649</v>
      </c>
      <c r="BX26" s="259">
        <f t="shared" si="33"/>
        <v>0.66956521739130481</v>
      </c>
      <c r="BY26" s="259">
        <f t="shared" si="33"/>
        <v>0.76258205689277925</v>
      </c>
      <c r="BZ26" s="259">
        <f t="shared" si="33"/>
        <v>0.96284153005464457</v>
      </c>
      <c r="CA26" s="259">
        <f t="shared" si="33"/>
        <v>3.0886351277868411</v>
      </c>
      <c r="CB26" s="259">
        <f t="shared" si="33"/>
        <v>0.67543859649122817</v>
      </c>
      <c r="CC26" s="259">
        <f t="shared" si="33"/>
        <v>0.76495441405381381</v>
      </c>
      <c r="CD26" s="259">
        <f t="shared" si="33"/>
        <v>0.90919409761634518</v>
      </c>
      <c r="CE26" s="259">
        <f t="shared" si="33"/>
        <v>0.76064441887226641</v>
      </c>
      <c r="CF26" s="259">
        <f t="shared" si="33"/>
        <v>3.1078651685393259</v>
      </c>
      <c r="CG26" s="259">
        <f t="shared" si="33"/>
        <v>0.8395348837209301</v>
      </c>
      <c r="CH26" s="259">
        <f t="shared" si="33"/>
        <v>0.9385150812064964</v>
      </c>
      <c r="CI26" s="259">
        <f t="shared" si="33"/>
        <v>0.93263646922183474</v>
      </c>
      <c r="CJ26" s="259">
        <f t="shared" si="33"/>
        <v>0.85915492957746398</v>
      </c>
      <c r="CK26" s="259">
        <f t="shared" si="33"/>
        <v>3.573426573426572</v>
      </c>
      <c r="CL26" s="259">
        <f t="shared" si="33"/>
        <v>0.50296559905100802</v>
      </c>
      <c r="CM26" s="259">
        <f t="shared" si="33"/>
        <v>2.3766740380047912E-3</v>
      </c>
      <c r="CN26" s="259">
        <f t="shared" si="33"/>
        <v>0.19842741969084426</v>
      </c>
      <c r="CO26" s="259">
        <f t="shared" si="33"/>
        <v>0.35756717689737466</v>
      </c>
      <c r="CP26" s="259">
        <f t="shared" si="33"/>
        <v>1.0612603017122471</v>
      </c>
      <c r="CQ26" s="259">
        <f t="shared" si="33"/>
        <v>1.6364644723827915</v>
      </c>
      <c r="CR26" s="259">
        <f t="shared" si="33"/>
        <v>2.1219110203524272</v>
      </c>
      <c r="CS26" s="259">
        <f t="shared" si="33"/>
        <v>2.7223498317270973</v>
      </c>
      <c r="CT26" s="162"/>
      <c r="CU26" s="162"/>
    </row>
    <row r="27" spans="1:99" ht="12" hidden="1" customHeight="1" outlineLevel="1">
      <c r="A27" s="156"/>
      <c r="B27" s="156" t="s">
        <v>27</v>
      </c>
      <c r="C27" s="252">
        <f t="shared" ref="C27:AH27" si="34">C19/C35</f>
        <v>0</v>
      </c>
      <c r="D27" s="252">
        <f t="shared" si="34"/>
        <v>0</v>
      </c>
      <c r="E27" s="252">
        <f t="shared" si="34"/>
        <v>0</v>
      </c>
      <c r="F27" s="252">
        <f t="shared" si="34"/>
        <v>0</v>
      </c>
      <c r="G27" s="252">
        <f t="shared" si="34"/>
        <v>-7.1808510638297879E-2</v>
      </c>
      <c r="H27" s="252">
        <f t="shared" si="34"/>
        <v>0</v>
      </c>
      <c r="I27" s="252">
        <f t="shared" si="34"/>
        <v>-0.24870466321243523</v>
      </c>
      <c r="J27" s="252">
        <f t="shared" si="34"/>
        <v>-3.4103410341034104E-2</v>
      </c>
      <c r="K27" s="252">
        <f t="shared" si="34"/>
        <v>-3.3953997809419496E-2</v>
      </c>
      <c r="L27" s="252">
        <f t="shared" si="34"/>
        <v>-3.4972677595628415E-2</v>
      </c>
      <c r="M27" s="252">
        <f t="shared" si="34"/>
        <v>-0.17486338797814205</v>
      </c>
      <c r="N27" s="252">
        <f t="shared" si="34"/>
        <v>-0.2782037239868565</v>
      </c>
      <c r="O27" s="252">
        <f t="shared" si="34"/>
        <v>-2.4364406779661014E-2</v>
      </c>
      <c r="P27" s="252">
        <f t="shared" si="34"/>
        <v>-2.4236037934668067E-2</v>
      </c>
      <c r="Q27" s="252">
        <f t="shared" si="34"/>
        <v>-0.12434141201264488</v>
      </c>
      <c r="R27" s="252">
        <f t="shared" si="34"/>
        <v>-0.1517386722866175</v>
      </c>
      <c r="S27" s="252">
        <f t="shared" si="34"/>
        <v>-0.3287086446104589</v>
      </c>
      <c r="T27" s="252">
        <f t="shared" si="34"/>
        <v>0</v>
      </c>
      <c r="U27" s="252">
        <f t="shared" si="34"/>
        <v>0</v>
      </c>
      <c r="V27" s="252">
        <f t="shared" si="34"/>
        <v>0</v>
      </c>
      <c r="W27" s="252">
        <f t="shared" si="34"/>
        <v>1.8711018711018709E-2</v>
      </c>
      <c r="X27" s="252">
        <f t="shared" si="34"/>
        <v>1.8848167539267015E-2</v>
      </c>
      <c r="Y27" s="252">
        <f t="shared" si="34"/>
        <v>9.053069719042664E-2</v>
      </c>
      <c r="Z27" s="252">
        <f t="shared" si="34"/>
        <v>-9.0342679127725853E-2</v>
      </c>
      <c r="AA27" s="252">
        <f t="shared" si="34"/>
        <v>-8.2730093071354677E-3</v>
      </c>
      <c r="AB27" s="252">
        <f t="shared" si="34"/>
        <v>-4.4375644994840036E-2</v>
      </c>
      <c r="AC27" s="252">
        <f t="shared" si="34"/>
        <v>-5.2849740932642483E-2</v>
      </c>
      <c r="AD27" s="252">
        <f t="shared" si="34"/>
        <v>0</v>
      </c>
      <c r="AE27" s="252">
        <f t="shared" si="34"/>
        <v>0</v>
      </c>
      <c r="AF27" s="252">
        <f t="shared" si="34"/>
        <v>0</v>
      </c>
      <c r="AG27" s="252">
        <f t="shared" si="34"/>
        <v>0</v>
      </c>
      <c r="AH27" s="252">
        <f t="shared" si="34"/>
        <v>0</v>
      </c>
      <c r="AI27" s="252">
        <f t="shared" ref="AI27:BN27" si="35">AI19/AI35</f>
        <v>0</v>
      </c>
      <c r="AJ27" s="252">
        <f t="shared" si="35"/>
        <v>0</v>
      </c>
      <c r="AK27" s="252">
        <f t="shared" si="35"/>
        <v>0</v>
      </c>
      <c r="AL27" s="252">
        <f t="shared" si="35"/>
        <v>0</v>
      </c>
      <c r="AM27" s="252">
        <f t="shared" si="35"/>
        <v>0</v>
      </c>
      <c r="AN27" s="252">
        <f t="shared" si="35"/>
        <v>0</v>
      </c>
      <c r="AO27" s="252">
        <f t="shared" si="35"/>
        <v>0</v>
      </c>
      <c r="AP27" s="252">
        <f t="shared" si="35"/>
        <v>0</v>
      </c>
      <c r="AQ27" s="252">
        <f t="shared" si="35"/>
        <v>0</v>
      </c>
      <c r="AR27" s="252">
        <f t="shared" si="35"/>
        <v>0</v>
      </c>
      <c r="AS27" s="252">
        <f t="shared" si="35"/>
        <v>4.9800796812749003E-3</v>
      </c>
      <c r="AT27" s="252">
        <f t="shared" si="35"/>
        <v>0</v>
      </c>
      <c r="AU27" s="252">
        <f t="shared" si="35"/>
        <v>0</v>
      </c>
      <c r="AV27" s="252">
        <f t="shared" si="35"/>
        <v>0</v>
      </c>
      <c r="AW27" s="252">
        <f t="shared" si="35"/>
        <v>4.9652432969215492E-3</v>
      </c>
      <c r="AX27" s="252">
        <f t="shared" si="35"/>
        <v>0</v>
      </c>
      <c r="AY27" s="252">
        <f t="shared" si="35"/>
        <v>2.9411764705882353E-3</v>
      </c>
      <c r="AZ27" s="252">
        <f t="shared" si="35"/>
        <v>0</v>
      </c>
      <c r="BA27" s="252">
        <f t="shared" si="35"/>
        <v>0</v>
      </c>
      <c r="BB27" s="252">
        <f t="shared" si="35"/>
        <v>2.9411764705882357E-3</v>
      </c>
      <c r="BC27" s="252">
        <f t="shared" si="35"/>
        <v>0</v>
      </c>
      <c r="BD27" s="252">
        <f t="shared" si="35"/>
        <v>0</v>
      </c>
      <c r="BE27" s="252">
        <f t="shared" si="35"/>
        <v>0</v>
      </c>
      <c r="BF27" s="252">
        <f t="shared" si="35"/>
        <v>0</v>
      </c>
      <c r="BG27" s="252">
        <f t="shared" si="35"/>
        <v>0</v>
      </c>
      <c r="BH27" s="252">
        <f t="shared" si="35"/>
        <v>0</v>
      </c>
      <c r="BI27" s="252">
        <f t="shared" si="35"/>
        <v>0</v>
      </c>
      <c r="BJ27" s="252">
        <f t="shared" si="35"/>
        <v>0</v>
      </c>
      <c r="BK27" s="252">
        <f t="shared" si="35"/>
        <v>0</v>
      </c>
      <c r="BL27" s="252">
        <f t="shared" si="35"/>
        <v>0</v>
      </c>
      <c r="BM27" s="252">
        <f t="shared" si="35"/>
        <v>0</v>
      </c>
      <c r="BN27" s="252">
        <f t="shared" si="35"/>
        <v>0</v>
      </c>
      <c r="BO27" s="252">
        <f t="shared" ref="BO27:CS27" si="36">BO19/BO35</f>
        <v>0</v>
      </c>
      <c r="BP27" s="252">
        <f t="shared" si="36"/>
        <v>0</v>
      </c>
      <c r="BQ27" s="252">
        <f t="shared" si="36"/>
        <v>0</v>
      </c>
      <c r="BR27" s="252">
        <f t="shared" si="36"/>
        <v>0</v>
      </c>
      <c r="BS27" s="252">
        <f t="shared" si="36"/>
        <v>0</v>
      </c>
      <c r="BT27" s="252">
        <f t="shared" si="36"/>
        <v>0</v>
      </c>
      <c r="BU27" s="252">
        <f t="shared" si="36"/>
        <v>0</v>
      </c>
      <c r="BV27" s="252">
        <f t="shared" si="36"/>
        <v>0</v>
      </c>
      <c r="BW27" s="252">
        <f t="shared" si="36"/>
        <v>0</v>
      </c>
      <c r="BX27" s="252">
        <f t="shared" si="36"/>
        <v>0</v>
      </c>
      <c r="BY27" s="252">
        <f t="shared" si="36"/>
        <v>0</v>
      </c>
      <c r="BZ27" s="252">
        <f t="shared" si="36"/>
        <v>0</v>
      </c>
      <c r="CA27" s="252">
        <f t="shared" si="36"/>
        <v>0</v>
      </c>
      <c r="CB27" s="252">
        <f t="shared" si="36"/>
        <v>0</v>
      </c>
      <c r="CC27" s="252">
        <f t="shared" si="36"/>
        <v>0</v>
      </c>
      <c r="CD27" s="252">
        <f t="shared" si="36"/>
        <v>0</v>
      </c>
      <c r="CE27" s="252">
        <f t="shared" si="36"/>
        <v>0</v>
      </c>
      <c r="CF27" s="252">
        <f t="shared" si="36"/>
        <v>0</v>
      </c>
      <c r="CG27" s="252">
        <f t="shared" si="36"/>
        <v>0</v>
      </c>
      <c r="CH27" s="252">
        <f t="shared" si="36"/>
        <v>0</v>
      </c>
      <c r="CI27" s="252">
        <f t="shared" si="36"/>
        <v>0</v>
      </c>
      <c r="CJ27" s="252">
        <f t="shared" si="36"/>
        <v>0</v>
      </c>
      <c r="CK27" s="252">
        <f t="shared" si="36"/>
        <v>0</v>
      </c>
      <c r="CL27" s="252">
        <f t="shared" si="36"/>
        <v>0</v>
      </c>
      <c r="CM27" s="252">
        <f t="shared" si="36"/>
        <v>0</v>
      </c>
      <c r="CN27" s="252">
        <f t="shared" si="36"/>
        <v>0</v>
      </c>
      <c r="CO27" s="252">
        <f t="shared" si="36"/>
        <v>0</v>
      </c>
      <c r="CP27" s="252">
        <f t="shared" si="36"/>
        <v>0</v>
      </c>
      <c r="CQ27" s="252">
        <f t="shared" si="36"/>
        <v>0</v>
      </c>
      <c r="CR27" s="252">
        <f t="shared" si="36"/>
        <v>0</v>
      </c>
      <c r="CS27" s="252">
        <f t="shared" si="36"/>
        <v>0</v>
      </c>
    </row>
    <row r="28" spans="1:99" ht="12" hidden="1" customHeight="1" outlineLevel="1">
      <c r="A28" s="156"/>
      <c r="B28" s="156" t="s">
        <v>31</v>
      </c>
      <c r="C28" s="252">
        <f t="shared" ref="C28:AH28" si="37">C20/C35</f>
        <v>1.6007565710807241</v>
      </c>
      <c r="D28" s="252">
        <f t="shared" si="37"/>
        <v>1.104398852663619</v>
      </c>
      <c r="E28" s="252">
        <f t="shared" si="37"/>
        <v>-0.64010989010989017</v>
      </c>
      <c r="F28" s="252">
        <f t="shared" si="37"/>
        <v>1.1859956236323868</v>
      </c>
      <c r="G28" s="252">
        <f t="shared" si="37"/>
        <v>-11.534574468085108</v>
      </c>
      <c r="H28" s="252">
        <f t="shared" si="37"/>
        <v>-0.35416666666666802</v>
      </c>
      <c r="I28" s="252">
        <f t="shared" si="37"/>
        <v>-0.53626943005181349</v>
      </c>
      <c r="J28" s="252">
        <f t="shared" si="37"/>
        <v>5.5005500550055278E-2</v>
      </c>
      <c r="K28" s="252">
        <f t="shared" si="37"/>
        <v>6.243154435925518E-2</v>
      </c>
      <c r="L28" s="252">
        <f t="shared" si="37"/>
        <v>1.2021857923497633E-2</v>
      </c>
      <c r="M28" s="252">
        <f t="shared" si="37"/>
        <v>-9.1803278688525627E-2</v>
      </c>
      <c r="N28" s="252">
        <f t="shared" si="37"/>
        <v>3.7239868565169344E-2</v>
      </c>
      <c r="O28" s="252">
        <f t="shared" si="37"/>
        <v>-0.26165254237288127</v>
      </c>
      <c r="P28" s="252">
        <f t="shared" si="37"/>
        <v>0.25184404636459445</v>
      </c>
      <c r="Q28" s="252">
        <f t="shared" si="37"/>
        <v>-0.11275026343519458</v>
      </c>
      <c r="R28" s="252">
        <f t="shared" si="37"/>
        <v>1.2687038988408847</v>
      </c>
      <c r="S28" s="252">
        <f t="shared" si="37"/>
        <v>1.1622198505869801</v>
      </c>
      <c r="T28" s="252">
        <f t="shared" si="37"/>
        <v>0.15247108307045204</v>
      </c>
      <c r="U28" s="252">
        <f t="shared" si="37"/>
        <v>0.1842931937172774</v>
      </c>
      <c r="V28" s="252">
        <f t="shared" si="37"/>
        <v>0.1649159663865549</v>
      </c>
      <c r="W28" s="252">
        <f t="shared" si="37"/>
        <v>0.18814968814968794</v>
      </c>
      <c r="X28" s="252">
        <f t="shared" si="37"/>
        <v>0.69005235602094228</v>
      </c>
      <c r="Y28" s="252">
        <f t="shared" si="37"/>
        <v>0.24453694068678491</v>
      </c>
      <c r="Z28" s="252">
        <f t="shared" si="37"/>
        <v>9.1381100726895204E-2</v>
      </c>
      <c r="AA28" s="252">
        <f t="shared" si="37"/>
        <v>0.17890382626680484</v>
      </c>
      <c r="AB28" s="252">
        <f t="shared" si="37"/>
        <v>8.9783281733744474E-2</v>
      </c>
      <c r="AC28" s="252">
        <f t="shared" si="37"/>
        <v>0.60414507772020631</v>
      </c>
      <c r="AD28" s="252">
        <f t="shared" si="37"/>
        <v>0.23746161719549666</v>
      </c>
      <c r="AE28" s="252">
        <f t="shared" si="37"/>
        <v>0.27300613496932546</v>
      </c>
      <c r="AF28" s="252">
        <f t="shared" si="37"/>
        <v>0.33742331288343513</v>
      </c>
      <c r="AG28" s="252">
        <f t="shared" si="37"/>
        <v>0.29145211122553938</v>
      </c>
      <c r="AH28" s="252">
        <f t="shared" si="37"/>
        <v>1.1393442622950807</v>
      </c>
      <c r="AI28" s="252">
        <f t="shared" ref="AI28:BN28" si="38">AI20/AI35</f>
        <v>0.24074074074074084</v>
      </c>
      <c r="AJ28" s="252">
        <f t="shared" si="38"/>
        <v>0.17177914110429479</v>
      </c>
      <c r="AK28" s="252">
        <f t="shared" si="38"/>
        <v>0.10601427115188602</v>
      </c>
      <c r="AL28" s="252">
        <f t="shared" si="38"/>
        <v>5.7868020304568626E-2</v>
      </c>
      <c r="AM28" s="252">
        <f t="shared" si="38"/>
        <v>0.57507660878447464</v>
      </c>
      <c r="AN28" s="252">
        <f t="shared" si="38"/>
        <v>0.15959595959595954</v>
      </c>
      <c r="AO28" s="252">
        <f t="shared" si="38"/>
        <v>0.23169508525576757</v>
      </c>
      <c r="AP28" s="252">
        <f t="shared" si="38"/>
        <v>0.15599999999999997</v>
      </c>
      <c r="AQ28" s="252">
        <f t="shared" si="38"/>
        <v>0.22695738354806647</v>
      </c>
      <c r="AR28" s="252">
        <f t="shared" si="38"/>
        <v>0.77477477477477397</v>
      </c>
      <c r="AS28" s="252">
        <f t="shared" si="38"/>
        <v>0.26294820717131501</v>
      </c>
      <c r="AT28" s="252">
        <f t="shared" si="38"/>
        <v>0.37140019860973195</v>
      </c>
      <c r="AU28" s="252">
        <f t="shared" si="38"/>
        <v>0.31849653808110778</v>
      </c>
      <c r="AV28" s="252">
        <f t="shared" si="38"/>
        <v>0.3899308983218166</v>
      </c>
      <c r="AW28" s="252">
        <f t="shared" si="38"/>
        <v>1.3455809334657403</v>
      </c>
      <c r="AX28" s="252">
        <f t="shared" si="38"/>
        <v>0.38938053097345166</v>
      </c>
      <c r="AY28" s="252">
        <f t="shared" si="38"/>
        <v>0.4705882352941177</v>
      </c>
      <c r="AZ28" s="252">
        <f t="shared" si="38"/>
        <v>0.3898139079333991</v>
      </c>
      <c r="BA28" s="252">
        <f t="shared" si="38"/>
        <v>0.3610567514677106</v>
      </c>
      <c r="BB28" s="252">
        <f t="shared" si="38"/>
        <v>1.6107843137254916</v>
      </c>
      <c r="BC28" s="252">
        <f t="shared" si="38"/>
        <v>0.42703232125367291</v>
      </c>
      <c r="BD28" s="252">
        <f t="shared" si="38"/>
        <v>0.476424361493124</v>
      </c>
      <c r="BE28" s="252">
        <f t="shared" si="38"/>
        <v>0.47885939036381514</v>
      </c>
      <c r="BF28" s="252">
        <f t="shared" si="38"/>
        <v>0.46221786064769399</v>
      </c>
      <c r="BG28" s="252">
        <f t="shared" si="38"/>
        <v>1.8444171779141108</v>
      </c>
      <c r="BH28" s="252">
        <f t="shared" si="38"/>
        <v>0.49801192842942349</v>
      </c>
      <c r="BI28" s="252">
        <f t="shared" si="38"/>
        <v>0.51008064516129059</v>
      </c>
      <c r="BJ28" s="252">
        <f t="shared" si="38"/>
        <v>0.57113613101330607</v>
      </c>
      <c r="BK28" s="252">
        <f t="shared" si="38"/>
        <v>0.5425641025641027</v>
      </c>
      <c r="BL28" s="252">
        <f t="shared" si="38"/>
        <v>2.1205063291139243</v>
      </c>
      <c r="BM28" s="252">
        <f t="shared" si="38"/>
        <v>0.69560776302349325</v>
      </c>
      <c r="BN28" s="252">
        <f t="shared" si="38"/>
        <v>0.62830957230142526</v>
      </c>
      <c r="BO28" s="252">
        <f t="shared" ref="BO28:CS28" si="39">BO20/BO35</f>
        <v>0.54984583761562211</v>
      </c>
      <c r="BP28" s="252">
        <f t="shared" si="39"/>
        <v>0.56263048016701422</v>
      </c>
      <c r="BQ28" s="252">
        <f t="shared" si="39"/>
        <v>2.4378211716341203</v>
      </c>
      <c r="BR28" s="252">
        <f t="shared" si="39"/>
        <v>0.59071729957805896</v>
      </c>
      <c r="BS28" s="252">
        <f t="shared" si="39"/>
        <v>0.69873150105708259</v>
      </c>
      <c r="BT28" s="252">
        <f t="shared" si="39"/>
        <v>0.7247608926673752</v>
      </c>
      <c r="BU28" s="252">
        <f t="shared" si="39"/>
        <v>0.63772775991425545</v>
      </c>
      <c r="BV28" s="252">
        <f t="shared" si="39"/>
        <v>2.6518046709129517</v>
      </c>
      <c r="BW28" s="252">
        <f t="shared" si="39"/>
        <v>0.69537136706135649</v>
      </c>
      <c r="BX28" s="252">
        <f t="shared" si="39"/>
        <v>0.66956521739130481</v>
      </c>
      <c r="BY28" s="252">
        <f t="shared" si="39"/>
        <v>0.76258205689277925</v>
      </c>
      <c r="BZ28" s="252">
        <f t="shared" si="39"/>
        <v>0.96284153005464457</v>
      </c>
      <c r="CA28" s="252">
        <f t="shared" si="39"/>
        <v>3.0886351277868411</v>
      </c>
      <c r="CB28" s="252">
        <f t="shared" si="39"/>
        <v>0.67543859649122817</v>
      </c>
      <c r="CC28" s="252">
        <f t="shared" si="39"/>
        <v>0.76495441405381381</v>
      </c>
      <c r="CD28" s="252">
        <f t="shared" si="39"/>
        <v>0.90919409761634518</v>
      </c>
      <c r="CE28" s="252">
        <f t="shared" si="39"/>
        <v>0.76064441887226641</v>
      </c>
      <c r="CF28" s="252">
        <f t="shared" si="39"/>
        <v>3.1078651685393259</v>
      </c>
      <c r="CG28" s="252">
        <f t="shared" si="39"/>
        <v>0.8395348837209301</v>
      </c>
      <c r="CH28" s="252">
        <f t="shared" si="39"/>
        <v>0.9385150812064964</v>
      </c>
      <c r="CI28" s="252">
        <f t="shared" si="39"/>
        <v>0.93263646922183474</v>
      </c>
      <c r="CJ28" s="252">
        <f t="shared" si="39"/>
        <v>0.85915492957746398</v>
      </c>
      <c r="CK28" s="252">
        <f t="shared" si="39"/>
        <v>3.573426573426572</v>
      </c>
      <c r="CL28" s="252">
        <f t="shared" si="39"/>
        <v>0.50296559905100802</v>
      </c>
      <c r="CM28" s="252">
        <f t="shared" si="39"/>
        <v>2.3766740380047912E-3</v>
      </c>
      <c r="CN28" s="252">
        <f t="shared" si="39"/>
        <v>0.19842741969084426</v>
      </c>
      <c r="CO28" s="252">
        <f t="shared" si="39"/>
        <v>0.35756717689737466</v>
      </c>
      <c r="CP28" s="252">
        <f t="shared" si="39"/>
        <v>1.0612603017122471</v>
      </c>
      <c r="CQ28" s="252">
        <f t="shared" si="39"/>
        <v>1.6364644723827915</v>
      </c>
      <c r="CR28" s="252">
        <f t="shared" si="39"/>
        <v>2.1219110203524272</v>
      </c>
      <c r="CS28" s="252">
        <f t="shared" si="39"/>
        <v>2.7223498317270973</v>
      </c>
    </row>
    <row r="29" spans="1:99" ht="12" hidden="1" customHeight="1" outlineLevel="1">
      <c r="A29" s="156"/>
      <c r="B29" s="170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219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260"/>
      <c r="BA29" s="261"/>
      <c r="BB29" s="261"/>
      <c r="BC29" s="260"/>
      <c r="BD29" s="260"/>
      <c r="BE29" s="260"/>
      <c r="BF29" s="260"/>
      <c r="BG29" s="261"/>
      <c r="BH29" s="156"/>
      <c r="BI29" s="156"/>
      <c r="BJ29" s="156"/>
      <c r="BK29" s="262"/>
      <c r="BL29" s="262"/>
      <c r="BM29" s="262"/>
      <c r="BN29" s="262"/>
      <c r="BO29" s="262"/>
      <c r="BP29" s="262"/>
      <c r="BQ29" s="262"/>
      <c r="BR29" s="262"/>
      <c r="BS29" s="262"/>
      <c r="BT29" s="262"/>
      <c r="BU29" s="262"/>
      <c r="BV29" s="262"/>
      <c r="BW29" s="262"/>
      <c r="BX29" s="262"/>
      <c r="BY29" s="263"/>
      <c r="BZ29" s="263"/>
      <c r="CA29" s="263"/>
      <c r="CB29" s="263"/>
      <c r="CC29" s="263"/>
      <c r="CD29" s="263"/>
      <c r="CE29" s="263"/>
      <c r="CF29" s="263"/>
      <c r="CG29" s="263"/>
      <c r="CH29" s="263"/>
      <c r="CI29" s="263"/>
      <c r="CJ29" s="263"/>
      <c r="CK29" s="263"/>
      <c r="CL29" s="263"/>
      <c r="CM29" s="263"/>
      <c r="CN29" s="263"/>
      <c r="CO29" s="263"/>
      <c r="CP29" s="263"/>
      <c r="CQ29" s="263"/>
      <c r="CR29" s="263"/>
      <c r="CS29" s="263"/>
    </row>
    <row r="30" spans="1:99" ht="12" customHeight="1" collapsed="1">
      <c r="B30" s="156" t="s">
        <v>562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219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260"/>
      <c r="BA30" s="261"/>
      <c r="BB30" s="261"/>
      <c r="BC30" s="260"/>
      <c r="BD30" s="260"/>
      <c r="BE30" s="260"/>
      <c r="BF30" s="260"/>
      <c r="BG30" s="261"/>
      <c r="BH30" s="156"/>
      <c r="BI30" s="156"/>
      <c r="BJ30" s="156"/>
      <c r="BK30" s="262"/>
      <c r="BL30" s="156">
        <f>3.9+0.3</f>
        <v>4.2</v>
      </c>
      <c r="BM30" s="262"/>
      <c r="BN30" s="262"/>
      <c r="BO30" s="262"/>
      <c r="BP30" s="262"/>
      <c r="BQ30" s="156">
        <v>-11.6</v>
      </c>
      <c r="BR30" s="156">
        <v>0</v>
      </c>
      <c r="BS30" s="156">
        <v>0.3</v>
      </c>
      <c r="BT30" s="156">
        <v>-6.6</v>
      </c>
      <c r="BU30" s="156">
        <v>0</v>
      </c>
      <c r="BV30" s="156">
        <f>SUM(BR30:BU30)</f>
        <v>-6.3</v>
      </c>
      <c r="BW30" s="156">
        <v>-9.1</v>
      </c>
      <c r="BX30" s="156">
        <v>0</v>
      </c>
      <c r="BY30" s="156">
        <v>-4.2</v>
      </c>
      <c r="BZ30" s="156">
        <f>-2.3-22.1</f>
        <v>-24.400000000000002</v>
      </c>
      <c r="CA30" s="156">
        <f>SUM(BW30:BZ30)</f>
        <v>-37.700000000000003</v>
      </c>
      <c r="CB30" s="156">
        <v>0</v>
      </c>
      <c r="CC30" s="156">
        <v>-1.3</v>
      </c>
      <c r="CD30" s="156">
        <v>-9.6</v>
      </c>
      <c r="CE30" s="156">
        <v>5.4</v>
      </c>
      <c r="CF30" s="156">
        <f>SUM(CB30:CE30)</f>
        <v>-5.5</v>
      </c>
      <c r="CG30" s="156">
        <v>0</v>
      </c>
      <c r="CH30" s="156">
        <v>0</v>
      </c>
      <c r="CI30" s="156">
        <v>-3</v>
      </c>
      <c r="CJ30" s="156">
        <v>0</v>
      </c>
      <c r="CK30" s="156">
        <f>SUM(CG30:CJ30)</f>
        <v>-3</v>
      </c>
      <c r="CL30" s="197">
        <v>11.4</v>
      </c>
      <c r="CM30" s="222">
        <v>0</v>
      </c>
      <c r="CN30" s="222">
        <v>0</v>
      </c>
      <c r="CO30" s="222">
        <v>0</v>
      </c>
      <c r="CP30" s="156">
        <f>SUM(CL30:CO30)</f>
        <v>11.4</v>
      </c>
      <c r="CQ30" s="288">
        <v>0</v>
      </c>
      <c r="CR30" s="223">
        <v>0</v>
      </c>
      <c r="CS30" s="223">
        <v>0</v>
      </c>
    </row>
    <row r="31" spans="1:99" ht="12" customHeight="1" collapsed="1">
      <c r="B31" s="295" t="s">
        <v>561</v>
      </c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300">
        <f t="shared" ref="BB31:BG31" si="40">(BB18+BB30)/BB35</f>
        <v>1.6078431372549034</v>
      </c>
      <c r="BC31" s="300">
        <f t="shared" si="40"/>
        <v>0.42703232125367291</v>
      </c>
      <c r="BD31" s="300">
        <f t="shared" si="40"/>
        <v>0.476424361493124</v>
      </c>
      <c r="BE31" s="300">
        <f t="shared" si="40"/>
        <v>0.47885939036381514</v>
      </c>
      <c r="BF31" s="300">
        <f t="shared" si="40"/>
        <v>0.46221786064769399</v>
      </c>
      <c r="BG31" s="300">
        <f t="shared" si="40"/>
        <v>1.8444171779141108</v>
      </c>
      <c r="BH31" s="300"/>
      <c r="BI31" s="300"/>
      <c r="BJ31" s="300"/>
      <c r="BK31" s="300"/>
      <c r="BL31" s="300">
        <f>(BL18+BL30)/BL35</f>
        <v>2.1630379746835446</v>
      </c>
      <c r="BM31" s="300"/>
      <c r="BN31" s="300"/>
      <c r="BO31" s="300"/>
      <c r="BP31" s="300"/>
      <c r="BQ31" s="300">
        <f t="shared" ref="BQ31:CS31" si="41">(BQ18+BQ30)/BQ35</f>
        <v>2.3186022610483032</v>
      </c>
      <c r="BR31" s="300">
        <f t="shared" si="41"/>
        <v>0.59071729957805896</v>
      </c>
      <c r="BS31" s="300">
        <f t="shared" si="41"/>
        <v>0.70190274841437639</v>
      </c>
      <c r="BT31" s="300">
        <f t="shared" si="41"/>
        <v>0.65462274176408086</v>
      </c>
      <c r="BU31" s="300">
        <f t="shared" si="41"/>
        <v>0.63772775991425545</v>
      </c>
      <c r="BV31" s="300">
        <f t="shared" si="41"/>
        <v>2.5849256900212318</v>
      </c>
      <c r="BW31" s="300">
        <f t="shared" si="41"/>
        <v>0.59741657696447814</v>
      </c>
      <c r="BX31" s="300">
        <f t="shared" si="41"/>
        <v>0.66956521739130481</v>
      </c>
      <c r="BY31" s="300">
        <f t="shared" si="41"/>
        <v>0.71663019693654295</v>
      </c>
      <c r="BZ31" s="300">
        <f t="shared" si="41"/>
        <v>0.69617486338797785</v>
      </c>
      <c r="CA31" s="300">
        <f t="shared" si="41"/>
        <v>2.6786296900489401</v>
      </c>
      <c r="CB31" s="300">
        <f t="shared" si="41"/>
        <v>0.67543859649122817</v>
      </c>
      <c r="CC31" s="300">
        <f t="shared" si="41"/>
        <v>0.750500333555704</v>
      </c>
      <c r="CD31" s="300">
        <f t="shared" si="41"/>
        <v>0.80022701475595936</v>
      </c>
      <c r="CE31" s="300">
        <f t="shared" si="41"/>
        <v>0.82278481012658178</v>
      </c>
      <c r="CF31" s="300">
        <f t="shared" si="41"/>
        <v>3.0460674157303371</v>
      </c>
      <c r="CG31" s="300">
        <f t="shared" si="41"/>
        <v>0.8395348837209301</v>
      </c>
      <c r="CH31" s="300">
        <f t="shared" si="41"/>
        <v>0.9385150812064964</v>
      </c>
      <c r="CI31" s="300">
        <f t="shared" si="41"/>
        <v>0.89779326364692191</v>
      </c>
      <c r="CJ31" s="300">
        <f t="shared" si="41"/>
        <v>0.85915492957746398</v>
      </c>
      <c r="CK31" s="300">
        <f t="shared" si="41"/>
        <v>3.538461538461537</v>
      </c>
      <c r="CL31" s="297">
        <f t="shared" si="41"/>
        <v>0.63819691577698667</v>
      </c>
      <c r="CM31" s="297">
        <f t="shared" si="41"/>
        <v>2.3766740380047912E-3</v>
      </c>
      <c r="CN31" s="297">
        <f t="shared" si="41"/>
        <v>0.19842741969084426</v>
      </c>
      <c r="CO31" s="297">
        <f t="shared" si="41"/>
        <v>0.35756717689737466</v>
      </c>
      <c r="CP31" s="296">
        <f t="shared" si="41"/>
        <v>1.1968132149108202</v>
      </c>
      <c r="CQ31" s="298">
        <f t="shared" si="41"/>
        <v>1.6364644723827915</v>
      </c>
      <c r="CR31" s="299">
        <f t="shared" si="41"/>
        <v>2.1219110203524272</v>
      </c>
      <c r="CS31" s="299">
        <f t="shared" si="41"/>
        <v>2.7223498317270973</v>
      </c>
      <c r="CT31" s="162"/>
      <c r="CU31" s="162"/>
    </row>
    <row r="32" spans="1:99" ht="12" customHeight="1">
      <c r="B32" s="170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219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260"/>
      <c r="BA32" s="261"/>
      <c r="BB32" s="261"/>
      <c r="BC32" s="260"/>
      <c r="BD32" s="260"/>
      <c r="BE32" s="260"/>
      <c r="BF32" s="260"/>
      <c r="BG32" s="261"/>
      <c r="BH32" s="156"/>
      <c r="BI32" s="156"/>
      <c r="BJ32" s="156"/>
      <c r="BK32" s="262"/>
      <c r="BL32" s="262"/>
      <c r="BM32" s="262"/>
      <c r="BN32" s="262"/>
      <c r="BO32" s="262"/>
      <c r="BP32" s="262"/>
      <c r="BQ32" s="262"/>
      <c r="BR32" s="262"/>
      <c r="BS32" s="262"/>
      <c r="BT32" s="262"/>
      <c r="BU32" s="262"/>
      <c r="BV32" s="262"/>
      <c r="BW32" s="262"/>
      <c r="BX32" s="262"/>
      <c r="BY32" s="263"/>
      <c r="BZ32" s="263"/>
      <c r="CA32" s="263"/>
      <c r="CB32" s="263"/>
      <c r="CC32" s="263"/>
      <c r="CD32" s="263"/>
      <c r="CE32" s="263"/>
      <c r="CF32" s="263"/>
      <c r="CG32" s="263"/>
      <c r="CH32" s="263"/>
      <c r="CI32" s="263"/>
      <c r="CJ32" s="263"/>
      <c r="CK32" s="263"/>
      <c r="CL32" s="730">
        <f>CL31+SUM(CH31:CJ31)</f>
        <v>3.3336601902078691</v>
      </c>
      <c r="CM32" s="220"/>
      <c r="CN32" s="220"/>
      <c r="CO32" s="220"/>
      <c r="CP32" s="263"/>
      <c r="CQ32" s="289"/>
      <c r="CR32" s="221"/>
      <c r="CS32" s="221"/>
    </row>
    <row r="33" spans="1:121" ht="12" customHeight="1">
      <c r="B33" s="322" t="s">
        <v>238</v>
      </c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237"/>
      <c r="BW33" s="237"/>
      <c r="BX33" s="237"/>
      <c r="BY33" s="237"/>
      <c r="BZ33" s="237"/>
      <c r="CA33" s="237"/>
      <c r="CB33" s="237"/>
      <c r="CC33" s="237"/>
      <c r="CD33" s="237"/>
      <c r="CE33" s="237"/>
      <c r="CF33" s="237"/>
      <c r="CG33" s="237"/>
      <c r="CH33" s="237"/>
      <c r="CI33" s="237"/>
      <c r="CJ33" s="237"/>
      <c r="CK33" s="238"/>
      <c r="CQ33" s="282"/>
      <c r="CR33" s="205"/>
      <c r="CS33" s="205"/>
      <c r="CU33" s="219"/>
    </row>
    <row r="34" spans="1:121" ht="12" customHeight="1">
      <c r="B34" s="194" t="s">
        <v>32</v>
      </c>
      <c r="C34" s="246">
        <f>'Data (2)'!C30</f>
        <v>36.747999999999998</v>
      </c>
      <c r="D34" s="246">
        <f>'Data (2)'!D30</f>
        <v>36.674999999999997</v>
      </c>
      <c r="E34" s="246">
        <f>'Data (2)'!E30</f>
        <v>36.4</v>
      </c>
      <c r="F34" s="246">
        <f>'Data (2)'!F30</f>
        <v>36.799999999999997</v>
      </c>
      <c r="G34" s="246">
        <f>'Data (2)'!G30</f>
        <v>37.6</v>
      </c>
      <c r="H34" s="246">
        <f>'Data (2)'!H30</f>
        <v>38.4</v>
      </c>
      <c r="I34" s="246">
        <f>'Data (2)'!I30</f>
        <v>38.6</v>
      </c>
      <c r="J34" s="246">
        <f>'Data (2)'!J30</f>
        <v>38.9</v>
      </c>
      <c r="K34" s="246">
        <f>'Data (2)'!K30</f>
        <v>39.200000000000003</v>
      </c>
      <c r="L34" s="246">
        <f>'Data (2)'!L30</f>
        <v>39.4</v>
      </c>
      <c r="M34" s="246">
        <f>'Data (2)'!M30</f>
        <v>41.6</v>
      </c>
      <c r="N34" s="246">
        <f>AVERAGE(J34:M34)</f>
        <v>39.774999999999999</v>
      </c>
      <c r="O34" s="246">
        <f>'Data (2)'!O30</f>
        <v>53.9</v>
      </c>
      <c r="P34" s="246">
        <f>'Data (2)'!P30</f>
        <v>54.5</v>
      </c>
      <c r="Q34" s="246">
        <f>'Data (2)'!Q30</f>
        <v>62.4</v>
      </c>
      <c r="R34" s="246">
        <f>'Data (2)'!R30</f>
        <v>69</v>
      </c>
      <c r="S34" s="246">
        <f>'Data (2)'!S30</f>
        <v>60</v>
      </c>
      <c r="T34" s="246">
        <f>'Data (2)'!T30</f>
        <v>92.9</v>
      </c>
      <c r="U34" s="246">
        <f>'Data (2)'!U30</f>
        <v>93.4</v>
      </c>
      <c r="V34" s="246">
        <f>'Data (2)'!V30</f>
        <v>93.7</v>
      </c>
      <c r="W34" s="246">
        <f>'Data (2)'!W30</f>
        <v>93.600000000000023</v>
      </c>
      <c r="X34" s="246">
        <f>AVERAGE(T34:W34)</f>
        <v>93.4</v>
      </c>
      <c r="Y34" s="246">
        <f>'Data (2)'!Y30</f>
        <v>94</v>
      </c>
      <c r="Z34" s="246">
        <f>'Data (2)'!Z30</f>
        <v>94.4</v>
      </c>
      <c r="AA34" s="246">
        <f>'Data (2)'!AA30</f>
        <v>94.9</v>
      </c>
      <c r="AB34" s="246">
        <f>'Data (2)'!AB30</f>
        <v>95.499999999999972</v>
      </c>
      <c r="AC34" s="246">
        <f>AVERAGE(Y34:AB34)</f>
        <v>94.699999999999989</v>
      </c>
      <c r="AD34" s="246">
        <f>'Data (2)'!AD30</f>
        <v>96.1</v>
      </c>
      <c r="AE34" s="246">
        <f>'Data (2)'!AE30</f>
        <v>96.2</v>
      </c>
      <c r="AF34" s="246">
        <f>'Data (2)'!AF30</f>
        <v>96.5</v>
      </c>
      <c r="AG34" s="246">
        <f>'Data (2)'!AG30</f>
        <v>96.80000000000004</v>
      </c>
      <c r="AH34" s="246">
        <f>AVERAGE(AD34:AG34)</f>
        <v>96.4</v>
      </c>
      <c r="AI34" s="246">
        <f>'Data (2)'!AI30</f>
        <v>96.8</v>
      </c>
      <c r="AJ34" s="246">
        <f>'Data (2)'!AJ30</f>
        <v>96.9</v>
      </c>
      <c r="AK34" s="246">
        <f>'Data (2)'!AK30</f>
        <v>96.9</v>
      </c>
      <c r="AL34" s="246">
        <f>'Data (2)'!AL30</f>
        <v>96.9</v>
      </c>
      <c r="AM34" s="246">
        <f>AVERAGE(AI34:AL34)</f>
        <v>96.875</v>
      </c>
      <c r="AN34" s="246">
        <f>'Data (2)'!AN30</f>
        <v>97.3</v>
      </c>
      <c r="AO34" s="246">
        <f>'Data (2)'!AO30</f>
        <v>97.5</v>
      </c>
      <c r="AP34" s="246">
        <f>'Data (2)'!AP30</f>
        <v>97.7</v>
      </c>
      <c r="AQ34" s="246">
        <f>'Data (2)'!AQ30</f>
        <v>97.899999999999991</v>
      </c>
      <c r="AR34" s="246">
        <f>AVERAGE(AN34:AQ34)</f>
        <v>97.6</v>
      </c>
      <c r="AS34" s="246">
        <f>'Data (2)'!AS30</f>
        <v>98.2</v>
      </c>
      <c r="AT34" s="246">
        <f>'Data (2)'!AT30</f>
        <v>98.6</v>
      </c>
      <c r="AU34" s="246">
        <f>'Data (2)'!AU30</f>
        <v>99</v>
      </c>
      <c r="AV34" s="246">
        <f>'Data (2)'!AV30</f>
        <v>99.2</v>
      </c>
      <c r="AW34" s="246">
        <f>AVERAGE(AS34:AV34)</f>
        <v>98.75</v>
      </c>
      <c r="AX34" s="246">
        <f>'Data (2)'!AX30</f>
        <v>99.8</v>
      </c>
      <c r="AY34" s="246">
        <f>'Data (2)'!AY30</f>
        <v>100.2</v>
      </c>
      <c r="AZ34" s="246">
        <f>'Data (2)'!AZ30</f>
        <v>100.3</v>
      </c>
      <c r="BA34" s="246">
        <f>'Data (2)'!BA30</f>
        <v>100.4</v>
      </c>
      <c r="BB34" s="246">
        <f>AVERAGE(AX34:BA34)</f>
        <v>100.17500000000001</v>
      </c>
      <c r="BC34" s="246">
        <f>'Data (2)'!BC30</f>
        <v>100.4</v>
      </c>
      <c r="BD34" s="246">
        <f>'Data (2)'!BD30</f>
        <v>100</v>
      </c>
      <c r="BE34" s="246">
        <f>'Data (2)'!BE30</f>
        <v>99.7</v>
      </c>
      <c r="BF34" s="246">
        <f>'Data (2)'!BF30</f>
        <v>99.7</v>
      </c>
      <c r="BG34" s="246">
        <f>AVERAGE(BC34:BF34)</f>
        <v>99.95</v>
      </c>
      <c r="BH34" s="246">
        <f>'Data (2)'!BH30</f>
        <v>98.5</v>
      </c>
      <c r="BI34" s="246">
        <f>'Data (2)'!BI30</f>
        <v>97.3</v>
      </c>
      <c r="BJ34" s="246">
        <f>'Data (2)'!BJ30</f>
        <v>95.8</v>
      </c>
      <c r="BK34" s="246">
        <f>'Data (2)'!BK30</f>
        <v>95.6</v>
      </c>
      <c r="BL34" s="246">
        <f>AVERAGE(BH34:BK34)</f>
        <v>96.800000000000011</v>
      </c>
      <c r="BM34" s="246">
        <f>'Data (2)'!BM30</f>
        <v>96.2</v>
      </c>
      <c r="BN34" s="246">
        <f>'Data (2)'!BN30</f>
        <v>96.6</v>
      </c>
      <c r="BO34" s="246">
        <f>'Data (2)'!BO30</f>
        <v>95.8</v>
      </c>
      <c r="BP34" s="246">
        <f>'Data (2)'!BP30</f>
        <v>94.4</v>
      </c>
      <c r="BQ34" s="246">
        <f>AVERAGE(BM34:BP34)</f>
        <v>95.75</v>
      </c>
      <c r="BR34" s="246">
        <f>'Data (2)'!BR30</f>
        <v>93.4</v>
      </c>
      <c r="BS34" s="246">
        <f>'Data (2)'!BS30</f>
        <v>93.1</v>
      </c>
      <c r="BT34" s="246">
        <f>'Data (2)'!BT30</f>
        <v>92.7</v>
      </c>
      <c r="BU34" s="246">
        <f>'Data (2)'!BU30</f>
        <v>91.8</v>
      </c>
      <c r="BV34" s="246">
        <f>AVERAGE(BR34:BU34)</f>
        <v>92.75</v>
      </c>
      <c r="BW34" s="246">
        <f>'Data (2)'!BW30</f>
        <v>91.4</v>
      </c>
      <c r="BX34" s="246">
        <f>'Data (2)'!BX30</f>
        <v>90.7</v>
      </c>
      <c r="BY34" s="246">
        <f>'Data (2)'!BY30</f>
        <v>90.1</v>
      </c>
      <c r="BZ34" s="246">
        <f>'Data (2)'!BZ30</f>
        <v>90</v>
      </c>
      <c r="CA34" s="246">
        <f>AVERAGE(BW34:BZ34)</f>
        <v>90.550000000000011</v>
      </c>
      <c r="CB34" s="246">
        <f>'Data (2)'!CB30</f>
        <v>90</v>
      </c>
      <c r="CC34" s="246">
        <f>'Data (2)'!CC30</f>
        <v>88.8</v>
      </c>
      <c r="CD34" s="246">
        <f>'Data (2)'!CD30</f>
        <v>87</v>
      </c>
      <c r="CE34" s="246">
        <f>'Data (2)'!CE30</f>
        <v>85.9</v>
      </c>
      <c r="CF34" s="246">
        <f>'Data (2)'!CF30</f>
        <v>87.9</v>
      </c>
      <c r="CG34" s="246">
        <f>'Data (2)'!CG30</f>
        <v>85</v>
      </c>
      <c r="CH34" s="246">
        <f>'Data (2)'!CH30</f>
        <v>85.2</v>
      </c>
      <c r="CI34" s="246">
        <f>'Data (2)'!CI30</f>
        <v>85.1</v>
      </c>
      <c r="CJ34" s="246">
        <f>'Data (2)'!CJ30</f>
        <v>84.4</v>
      </c>
      <c r="CK34" s="323">
        <f>'Data (2)'!CK30</f>
        <v>84.9</v>
      </c>
      <c r="CL34" s="224">
        <f>'Data (2)'!CL30</f>
        <v>83.7</v>
      </c>
      <c r="CM34" s="225">
        <f>CM35-(CL35-CL34)</f>
        <v>83.600000000000009</v>
      </c>
      <c r="CN34" s="225">
        <f>CN35-(CM35-CM34)</f>
        <v>83.500000000000014</v>
      </c>
      <c r="CO34" s="225">
        <f>CO35-(CN35-CN34)</f>
        <v>83.200000000000017</v>
      </c>
      <c r="CP34" s="246">
        <f>AVERAGE(CL34:CO34)</f>
        <v>83.5</v>
      </c>
      <c r="CQ34" s="248">
        <f>CQ35-(CP35-CP34)</f>
        <v>82.5</v>
      </c>
      <c r="CR34" s="226">
        <f>CR35-(CQ35-CQ34)</f>
        <v>80</v>
      </c>
      <c r="CS34" s="226">
        <f>CS35-(CR35-CR34)</f>
        <v>76.7</v>
      </c>
      <c r="DQ34" s="164"/>
    </row>
    <row r="35" spans="1:121" ht="12" customHeight="1">
      <c r="B35" s="194" t="s">
        <v>33</v>
      </c>
      <c r="C35" s="246">
        <f>'Data (2)'!C31</f>
        <v>45.997</v>
      </c>
      <c r="D35" s="246">
        <f>'Data (2)'!D31</f>
        <v>45.670999999999999</v>
      </c>
      <c r="E35" s="246">
        <f>'Data (2)'!E31</f>
        <v>36.4</v>
      </c>
      <c r="F35" s="246">
        <f>'Data (2)'!F31</f>
        <v>45.7</v>
      </c>
      <c r="G35" s="246">
        <f>'Data (2)'!G31</f>
        <v>37.6</v>
      </c>
      <c r="H35" s="246">
        <f>'Data (2)'!H31</f>
        <v>38.4</v>
      </c>
      <c r="I35" s="246">
        <f>'Data (2)'!I31</f>
        <v>38.6</v>
      </c>
      <c r="J35" s="246">
        <f>'Data (2)'!J31</f>
        <v>90.9</v>
      </c>
      <c r="K35" s="246">
        <f>'Data (2)'!K31</f>
        <v>91.3</v>
      </c>
      <c r="L35" s="246">
        <f>'Data (2)'!L31</f>
        <v>91.5</v>
      </c>
      <c r="M35" s="246">
        <f>'Data (2)'!M31</f>
        <v>91.5</v>
      </c>
      <c r="N35" s="246">
        <f>AVERAGE(J35:M35)</f>
        <v>91.3</v>
      </c>
      <c r="O35" s="246">
        <f>'Data (2)'!O31</f>
        <v>94.4</v>
      </c>
      <c r="P35" s="246">
        <f>'Data (2)'!P31</f>
        <v>94.9</v>
      </c>
      <c r="Q35" s="246">
        <f>'Data (2)'!Q31</f>
        <v>94.9</v>
      </c>
      <c r="R35" s="246">
        <f>'Data (2)'!R31</f>
        <v>94.9</v>
      </c>
      <c r="S35" s="246">
        <f>'Data (2)'!S31</f>
        <v>93.7</v>
      </c>
      <c r="T35" s="246">
        <f>'Data (2)'!T31</f>
        <v>95.1</v>
      </c>
      <c r="U35" s="246">
        <f>'Data (2)'!U31</f>
        <v>95.5</v>
      </c>
      <c r="V35" s="246">
        <f>'Data (2)'!V31</f>
        <v>95.2</v>
      </c>
      <c r="W35" s="246">
        <f>'Data (2)'!W31</f>
        <v>96.200000000000017</v>
      </c>
      <c r="X35" s="246">
        <f>AVERAGE(T35:W35)</f>
        <v>95.5</v>
      </c>
      <c r="Y35" s="246">
        <f>'Data (2)'!Y31</f>
        <v>96.1</v>
      </c>
      <c r="Z35" s="246">
        <f>'Data (2)'!Z31</f>
        <v>96.3</v>
      </c>
      <c r="AA35" s="246">
        <f>'Data (2)'!AA31</f>
        <v>96.7</v>
      </c>
      <c r="AB35" s="246">
        <f>'Data (2)'!AB31</f>
        <v>96.9</v>
      </c>
      <c r="AC35" s="246">
        <f>AVERAGE(Y35:AB35)</f>
        <v>96.5</v>
      </c>
      <c r="AD35" s="246">
        <f>'Data (2)'!AD31</f>
        <v>97.7</v>
      </c>
      <c r="AE35" s="246">
        <f>'Data (2)'!AE31</f>
        <v>97.8</v>
      </c>
      <c r="AF35" s="246">
        <f>'Data (2)'!AF31</f>
        <v>97.8</v>
      </c>
      <c r="AG35" s="246">
        <f>'Data (2)'!AG31</f>
        <v>97.099999999999952</v>
      </c>
      <c r="AH35" s="246">
        <f>AVERAGE(AD35:AG35)</f>
        <v>97.6</v>
      </c>
      <c r="AI35" s="246">
        <f>'Data (2)'!AI31</f>
        <v>97.2</v>
      </c>
      <c r="AJ35" s="246">
        <f>'Data (2)'!AJ31</f>
        <v>97.8</v>
      </c>
      <c r="AK35" s="246">
        <f>'Data (2)'!AK31</f>
        <v>98.1</v>
      </c>
      <c r="AL35" s="246">
        <f>'Data (2)'!AL31</f>
        <v>98.5</v>
      </c>
      <c r="AM35" s="246">
        <f>AVERAGE(AI35:AL35)</f>
        <v>97.9</v>
      </c>
      <c r="AN35" s="246">
        <f>'Data (2)'!AN31</f>
        <v>99</v>
      </c>
      <c r="AO35" s="246">
        <f>'Data (2)'!AO31</f>
        <v>99.7</v>
      </c>
      <c r="AP35" s="246">
        <f>'Data (2)'!AP31</f>
        <v>100</v>
      </c>
      <c r="AQ35" s="246">
        <f>'Data (2)'!AQ31</f>
        <v>100.90000000000003</v>
      </c>
      <c r="AR35" s="246">
        <f>AVERAGE(AN35:AQ35)</f>
        <v>99.9</v>
      </c>
      <c r="AS35" s="246">
        <f>'Data (2)'!AS31</f>
        <v>100.4</v>
      </c>
      <c r="AT35" s="246">
        <f>'Data (2)'!AT31</f>
        <v>100.7</v>
      </c>
      <c r="AU35" s="246">
        <f>'Data (2)'!AU31</f>
        <v>101.1</v>
      </c>
      <c r="AV35" s="246">
        <f>'Data (2)'!AV31</f>
        <v>101.3</v>
      </c>
      <c r="AW35" s="246">
        <f>'Data (2)'!AW31</f>
        <v>100.7</v>
      </c>
      <c r="AX35" s="246">
        <f>'Data (2)'!AX31</f>
        <v>101.7</v>
      </c>
      <c r="AY35" s="246">
        <f>'Data (2)'!AY31</f>
        <v>102</v>
      </c>
      <c r="AZ35" s="246">
        <f>'Data (2)'!AZ31</f>
        <v>102.1</v>
      </c>
      <c r="BA35" s="246">
        <f>'Data (2)'!BA31</f>
        <v>102.2</v>
      </c>
      <c r="BB35" s="246">
        <f>AVERAGE(AX35:BA35)</f>
        <v>101.99999999999999</v>
      </c>
      <c r="BC35" s="246">
        <f>'Data (2)'!BC31</f>
        <v>102.1</v>
      </c>
      <c r="BD35" s="246">
        <f>'Data (2)'!BD31</f>
        <v>101.8</v>
      </c>
      <c r="BE35" s="246">
        <f>'Data (2)'!BE31</f>
        <v>101.7</v>
      </c>
      <c r="BF35" s="246">
        <f>'Data (2)'!BF31</f>
        <v>101.9</v>
      </c>
      <c r="BG35" s="246">
        <f>AVERAGE(BC35:BF35)</f>
        <v>101.875</v>
      </c>
      <c r="BH35" s="246">
        <f>'Data (2)'!BH31</f>
        <v>100.6</v>
      </c>
      <c r="BI35" s="246">
        <f>'Data (2)'!BI31</f>
        <v>99.2</v>
      </c>
      <c r="BJ35" s="246">
        <f>'Data (2)'!BJ31</f>
        <v>97.7</v>
      </c>
      <c r="BK35" s="246">
        <f>'Data (2)'!BK31</f>
        <v>97.5</v>
      </c>
      <c r="BL35" s="246">
        <f>AVERAGE(BH35:BK35)</f>
        <v>98.75</v>
      </c>
      <c r="BM35" s="246">
        <f>'Data (2)'!BM31</f>
        <v>97.9</v>
      </c>
      <c r="BN35" s="246">
        <f>'Data (2)'!BN31</f>
        <v>98.2</v>
      </c>
      <c r="BO35" s="246">
        <f>'Data (2)'!BO31</f>
        <v>97.3</v>
      </c>
      <c r="BP35" s="246">
        <f>'Data (2)'!BP31</f>
        <v>95.8</v>
      </c>
      <c r="BQ35" s="246">
        <f>AVERAGE(BM35:BP35)</f>
        <v>97.300000000000011</v>
      </c>
      <c r="BR35" s="246">
        <f>'Data (2)'!BR31</f>
        <v>94.8</v>
      </c>
      <c r="BS35" s="246">
        <f>'Data (2)'!BS31</f>
        <v>94.6</v>
      </c>
      <c r="BT35" s="246">
        <f>'Data (2)'!BT31</f>
        <v>94.1</v>
      </c>
      <c r="BU35" s="246">
        <f>'Data (2)'!BU31</f>
        <v>93.3</v>
      </c>
      <c r="BV35" s="246">
        <f>AVERAGE(BR35:BU35)</f>
        <v>94.2</v>
      </c>
      <c r="BW35" s="246">
        <f>'Data (2)'!BW31</f>
        <v>92.9</v>
      </c>
      <c r="BX35" s="246">
        <f>'Data (2)'!BX31</f>
        <v>92</v>
      </c>
      <c r="BY35" s="246">
        <f>'Data (2)'!BY31</f>
        <v>91.4</v>
      </c>
      <c r="BZ35" s="246">
        <f>'Data (2)'!BZ31</f>
        <v>91.5</v>
      </c>
      <c r="CA35" s="246">
        <f>AVERAGE(BW35:BZ35)</f>
        <v>91.95</v>
      </c>
      <c r="CB35" s="246">
        <f>'Data (2)'!CB31</f>
        <v>91.2</v>
      </c>
      <c r="CC35" s="246">
        <f>'Data (2)'!CC31</f>
        <v>89.94</v>
      </c>
      <c r="CD35" s="246">
        <f>'Data (2)'!CD31</f>
        <v>88.1</v>
      </c>
      <c r="CE35" s="246">
        <f>'Data (2)'!CE31</f>
        <v>86.9</v>
      </c>
      <c r="CF35" s="246">
        <f>'Data (2)'!CF31</f>
        <v>89</v>
      </c>
      <c r="CG35" s="246">
        <f>'Data (2)'!CG31</f>
        <v>86</v>
      </c>
      <c r="CH35" s="246">
        <f>'Data (2)'!CH31</f>
        <v>86.2</v>
      </c>
      <c r="CI35" s="246">
        <f>'Data (2)'!CI31</f>
        <v>86.1</v>
      </c>
      <c r="CJ35" s="246">
        <f>'Data (2)'!CJ31</f>
        <v>85.2</v>
      </c>
      <c r="CK35" s="323">
        <f>'Data (2)'!CK31</f>
        <v>85.8</v>
      </c>
      <c r="CL35" s="224">
        <f>'Data (2)'!CL31</f>
        <v>84.3</v>
      </c>
      <c r="CM35" s="225">
        <f>CL35-0.1</f>
        <v>84.2</v>
      </c>
      <c r="CN35" s="225">
        <f>CM35-0.1</f>
        <v>84.100000000000009</v>
      </c>
      <c r="CO35" s="225">
        <f>CN35-0.3</f>
        <v>83.800000000000011</v>
      </c>
      <c r="CP35" s="246">
        <f>AVERAGE(CL35:CO35)</f>
        <v>84.100000000000009</v>
      </c>
      <c r="CQ35" s="248">
        <f>CP35-1</f>
        <v>83.100000000000009</v>
      </c>
      <c r="CR35" s="226">
        <f>CQ35-2.5</f>
        <v>80.600000000000009</v>
      </c>
      <c r="CS35" s="226">
        <f>CR35-3.3</f>
        <v>77.300000000000011</v>
      </c>
      <c r="CU35" s="227"/>
      <c r="DQ35" s="164"/>
    </row>
    <row r="36" spans="1:121" ht="12" customHeight="1">
      <c r="B36" s="194"/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  <c r="BJ36" s="246"/>
      <c r="BK36" s="247"/>
      <c r="BL36" s="247"/>
      <c r="BM36" s="247"/>
      <c r="BN36" s="247"/>
      <c r="BO36" s="247"/>
      <c r="BP36" s="247"/>
      <c r="BQ36" s="246"/>
      <c r="BR36" s="247"/>
      <c r="BS36" s="272"/>
      <c r="BT36" s="247"/>
      <c r="BU36" s="247"/>
      <c r="BV36" s="246"/>
      <c r="BW36" s="247"/>
      <c r="BX36" s="247"/>
      <c r="BY36" s="247"/>
      <c r="BZ36" s="247"/>
      <c r="CA36" s="246"/>
      <c r="CB36" s="247"/>
      <c r="CC36" s="247"/>
      <c r="CD36" s="247"/>
      <c r="CE36" s="247"/>
      <c r="CF36" s="246"/>
      <c r="CG36" s="247"/>
      <c r="CH36" s="247"/>
      <c r="CI36" s="247"/>
      <c r="CJ36" s="247"/>
      <c r="CK36" s="323"/>
      <c r="CL36" s="225"/>
      <c r="CM36" s="225"/>
      <c r="CN36" s="225"/>
      <c r="CO36" s="225"/>
      <c r="CP36" s="246"/>
      <c r="CQ36" s="248"/>
      <c r="CR36" s="226"/>
      <c r="CS36" s="226"/>
      <c r="DQ36" s="164"/>
    </row>
    <row r="37" spans="1:121" ht="12" customHeight="1">
      <c r="B37" s="324" t="s">
        <v>379</v>
      </c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  <c r="BJ37" s="246"/>
      <c r="BK37" s="247"/>
      <c r="BL37" s="247"/>
      <c r="BM37" s="228">
        <f>+'Data (2)'!BM196</f>
        <v>0.1</v>
      </c>
      <c r="BN37" s="228">
        <f>+'Data (2)'!BN196</f>
        <v>0.1</v>
      </c>
      <c r="BO37" s="228">
        <f>+'Data (2)'!BO196</f>
        <v>0.1</v>
      </c>
      <c r="BP37" s="228">
        <f>+'Data (2)'!BP196</f>
        <v>0.1</v>
      </c>
      <c r="BQ37" s="252">
        <f>+'Data (2)'!BQ196</f>
        <v>0.4</v>
      </c>
      <c r="BR37" s="228">
        <f>+'Data (2)'!BR196</f>
        <v>0.1</v>
      </c>
      <c r="BS37" s="228">
        <f>+'Data (2)'!BS196</f>
        <v>0.11</v>
      </c>
      <c r="BT37" s="228">
        <f>+'Data (2)'!BT196</f>
        <v>0.11</v>
      </c>
      <c r="BU37" s="228">
        <f>+'Data (2)'!BU196</f>
        <v>0.11</v>
      </c>
      <c r="BV37" s="252">
        <f>SUM(BR37:BU37)</f>
        <v>0.43</v>
      </c>
      <c r="BW37" s="228">
        <f>+'Data (2)'!BW196</f>
        <v>0.11</v>
      </c>
      <c r="BX37" s="228">
        <f>+'Data (2)'!BX196</f>
        <v>0.11</v>
      </c>
      <c r="BY37" s="228">
        <f>+'Data (2)'!BY196</f>
        <v>0.125</v>
      </c>
      <c r="BZ37" s="228">
        <f>+'Data (2)'!BZ196</f>
        <v>0.125</v>
      </c>
      <c r="CA37" s="252">
        <f>SUM(BW37:BZ37)</f>
        <v>0.47</v>
      </c>
      <c r="CB37" s="228">
        <f>+'Data (2)'!CB196</f>
        <v>0.125</v>
      </c>
      <c r="CC37" s="228">
        <f>+'Data (2)'!CC196</f>
        <v>0.125</v>
      </c>
      <c r="CD37" s="228">
        <f>+'Data (2)'!CD196</f>
        <v>0.15</v>
      </c>
      <c r="CE37" s="228">
        <f>+'Data (2)'!CE196</f>
        <v>0.15</v>
      </c>
      <c r="CF37" s="252">
        <f>SUM(CB37:CE37)</f>
        <v>0.55000000000000004</v>
      </c>
      <c r="CG37" s="228">
        <f>+'Data (2)'!CG196</f>
        <v>0.15</v>
      </c>
      <c r="CH37" s="228">
        <f>+'Data (2)'!CH196</f>
        <v>0.15</v>
      </c>
      <c r="CI37" s="228">
        <f>+'Data (2)'!CI196</f>
        <v>0.17</v>
      </c>
      <c r="CJ37" s="228">
        <f>+'Data (2)'!CJ196</f>
        <v>0.17</v>
      </c>
      <c r="CK37" s="325">
        <f>SUM(CG37:CJ37)</f>
        <v>0.64</v>
      </c>
      <c r="CL37" s="228">
        <f>+'Data (2)'!CL196</f>
        <v>0.17</v>
      </c>
      <c r="CM37" s="229">
        <v>0</v>
      </c>
      <c r="CN37" s="229">
        <v>0</v>
      </c>
      <c r="CO37" s="229">
        <f>CN37</f>
        <v>0</v>
      </c>
      <c r="CP37" s="252">
        <f>SUM(CL37:CO37)</f>
        <v>0.17</v>
      </c>
      <c r="CQ37" s="290">
        <f>0.075*4</f>
        <v>0.3</v>
      </c>
      <c r="CR37" s="230">
        <f>CQ37*1.25</f>
        <v>0.375</v>
      </c>
      <c r="CS37" s="230">
        <f>CR37*1.25</f>
        <v>0.46875</v>
      </c>
      <c r="CT37" s="219"/>
      <c r="CU37" s="219"/>
    </row>
    <row r="38" spans="1:121" ht="12" customHeight="1">
      <c r="B38" s="326" t="s">
        <v>380</v>
      </c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27"/>
      <c r="Z38" s="327"/>
      <c r="AA38" s="327"/>
      <c r="AB38" s="327"/>
      <c r="AC38" s="327"/>
      <c r="AD38" s="327"/>
      <c r="AE38" s="327"/>
      <c r="AF38" s="327"/>
      <c r="AG38" s="327"/>
      <c r="AH38" s="327"/>
      <c r="AI38" s="327"/>
      <c r="AJ38" s="327"/>
      <c r="AK38" s="327"/>
      <c r="AL38" s="327"/>
      <c r="AM38" s="327"/>
      <c r="AN38" s="327"/>
      <c r="AO38" s="327"/>
      <c r="AP38" s="327"/>
      <c r="AQ38" s="327"/>
      <c r="AR38" s="327"/>
      <c r="AS38" s="327"/>
      <c r="AT38" s="327"/>
      <c r="AU38" s="327"/>
      <c r="AV38" s="327"/>
      <c r="AW38" s="327"/>
      <c r="AX38" s="327"/>
      <c r="AY38" s="327"/>
      <c r="AZ38" s="327"/>
      <c r="BA38" s="327"/>
      <c r="BB38" s="327"/>
      <c r="BC38" s="327"/>
      <c r="BD38" s="327"/>
      <c r="BE38" s="327"/>
      <c r="BF38" s="327"/>
      <c r="BG38" s="327"/>
      <c r="BH38" s="328"/>
      <c r="BI38" s="328"/>
      <c r="BJ38" s="328"/>
      <c r="BK38" s="328"/>
      <c r="BL38" s="328"/>
      <c r="BM38" s="329">
        <f t="shared" ref="BM38:CS38" si="42">+BM37/BM26</f>
        <v>0.14375917767988255</v>
      </c>
      <c r="BN38" s="329">
        <f t="shared" si="42"/>
        <v>0.15915721231766625</v>
      </c>
      <c r="BO38" s="329">
        <f t="shared" si="42"/>
        <v>0.18186915887850458</v>
      </c>
      <c r="BP38" s="329">
        <f t="shared" si="42"/>
        <v>0.17773654916512072</v>
      </c>
      <c r="BQ38" s="330">
        <f t="shared" si="42"/>
        <v>0.16408094435075893</v>
      </c>
      <c r="BR38" s="330">
        <f t="shared" si="42"/>
        <v>0.16928571428571432</v>
      </c>
      <c r="BS38" s="330">
        <f t="shared" si="42"/>
        <v>0.15742813918305595</v>
      </c>
      <c r="BT38" s="330">
        <f t="shared" si="42"/>
        <v>0.15177419354838709</v>
      </c>
      <c r="BU38" s="330">
        <f t="shared" si="42"/>
        <v>0.1724873949579831</v>
      </c>
      <c r="BV38" s="330">
        <f t="shared" si="42"/>
        <v>0.16215372297838268</v>
      </c>
      <c r="BW38" s="330">
        <f t="shared" si="42"/>
        <v>0.15818885448916403</v>
      </c>
      <c r="BX38" s="330">
        <f t="shared" si="42"/>
        <v>0.16428571428571417</v>
      </c>
      <c r="BY38" s="330">
        <f t="shared" si="42"/>
        <v>0.16391678622668573</v>
      </c>
      <c r="BZ38" s="330">
        <f t="shared" si="42"/>
        <v>0.1298240635641317</v>
      </c>
      <c r="CA38" s="330">
        <f t="shared" si="42"/>
        <v>0.15217077464788728</v>
      </c>
      <c r="CB38" s="330">
        <f t="shared" si="42"/>
        <v>0.18506493506493504</v>
      </c>
      <c r="CC38" s="330">
        <f t="shared" si="42"/>
        <v>0.16340843023255811</v>
      </c>
      <c r="CD38" s="330">
        <f t="shared" si="42"/>
        <v>0.16498127340823968</v>
      </c>
      <c r="CE38" s="330">
        <f t="shared" si="42"/>
        <v>0.19720121028744342</v>
      </c>
      <c r="CF38" s="330">
        <f t="shared" si="42"/>
        <v>0.17697035430224151</v>
      </c>
      <c r="CG38" s="330">
        <f t="shared" si="42"/>
        <v>0.17867036011080334</v>
      </c>
      <c r="CH38" s="330">
        <f t="shared" si="42"/>
        <v>0.15982694684796045</v>
      </c>
      <c r="CI38" s="330">
        <f t="shared" si="42"/>
        <v>0.18227895392278962</v>
      </c>
      <c r="CJ38" s="330">
        <f t="shared" si="42"/>
        <v>0.19786885245901659</v>
      </c>
      <c r="CK38" s="331">
        <f t="shared" si="42"/>
        <v>0.17909980430528383</v>
      </c>
      <c r="CL38" s="319">
        <f t="shared" si="42"/>
        <v>0.33799528301886816</v>
      </c>
      <c r="CM38" s="319">
        <f t="shared" si="42"/>
        <v>0</v>
      </c>
      <c r="CN38" s="319">
        <f t="shared" si="42"/>
        <v>0</v>
      </c>
      <c r="CO38" s="319">
        <f t="shared" si="42"/>
        <v>0</v>
      </c>
      <c r="CP38" s="319">
        <f t="shared" si="42"/>
        <v>0.16018690205006297</v>
      </c>
      <c r="CQ38" s="320">
        <f t="shared" si="42"/>
        <v>0.18332203666064428</v>
      </c>
      <c r="CR38" s="321">
        <f t="shared" si="42"/>
        <v>0.17672748593280618</v>
      </c>
      <c r="CS38" s="321">
        <f t="shared" si="42"/>
        <v>0.172185806003712</v>
      </c>
    </row>
    <row r="39" spans="1:121" ht="12" hidden="1" customHeight="1" outlineLevel="1">
      <c r="A39" s="156"/>
      <c r="B39" s="245"/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7"/>
      <c r="BI39" s="247"/>
      <c r="BJ39" s="247"/>
      <c r="BK39" s="247"/>
      <c r="BL39" s="247"/>
      <c r="BM39" s="247"/>
      <c r="BN39" s="247"/>
      <c r="BO39" s="247"/>
      <c r="BP39" s="247"/>
      <c r="BQ39" s="247"/>
      <c r="BR39" s="247"/>
      <c r="BS39" s="247"/>
      <c r="BT39" s="247"/>
      <c r="BU39" s="247"/>
      <c r="BV39" s="247"/>
      <c r="BW39" s="247"/>
      <c r="BX39" s="247"/>
      <c r="BY39" s="247"/>
      <c r="BZ39" s="247"/>
      <c r="CA39" s="247"/>
      <c r="CB39" s="247"/>
      <c r="CC39" s="247"/>
      <c r="CD39" s="247"/>
      <c r="CE39" s="247"/>
      <c r="CF39" s="247"/>
      <c r="CG39" s="247"/>
      <c r="CH39" s="247"/>
      <c r="CI39" s="247"/>
      <c r="CJ39" s="247"/>
      <c r="CK39" s="247"/>
      <c r="CL39" s="247"/>
      <c r="CM39" s="247"/>
      <c r="CN39" s="247"/>
      <c r="CO39" s="247"/>
      <c r="CP39" s="247"/>
      <c r="CQ39" s="247"/>
      <c r="CR39" s="247"/>
      <c r="CS39" s="247"/>
    </row>
    <row r="40" spans="1:121" ht="12" hidden="1" customHeight="1" outlineLevel="1">
      <c r="A40" s="156"/>
      <c r="B40" s="156" t="s">
        <v>217</v>
      </c>
      <c r="C40" s="250">
        <f>'Data (2)'!C201</f>
        <v>-3.9569999999999999</v>
      </c>
      <c r="D40" s="250">
        <f>'Data (2)'!D201</f>
        <v>-5.1530000000000005</v>
      </c>
      <c r="E40" s="250">
        <f>'Data (2)'!E201</f>
        <v>-6.3</v>
      </c>
      <c r="F40" s="250">
        <f>'Data (2)'!F201</f>
        <v>1.2</v>
      </c>
      <c r="G40" s="250">
        <f>'Data (2)'!G201</f>
        <v>-4.0999999999999996</v>
      </c>
      <c r="H40" s="250">
        <f>'Data (2)'!H201</f>
        <v>-6.8000000000000007</v>
      </c>
      <c r="I40" s="250">
        <f>'Data (2)'!I201</f>
        <v>-6.1</v>
      </c>
      <c r="J40" s="250">
        <f>'Data (2)'!J201</f>
        <v>-1.8</v>
      </c>
      <c r="K40" s="250">
        <f>'Data (2)'!K201</f>
        <v>-1.8</v>
      </c>
      <c r="L40" s="250">
        <f>'Data (2)'!L201</f>
        <v>-1.9</v>
      </c>
      <c r="M40" s="250">
        <f>'Data (2)'!M201</f>
        <v>-2</v>
      </c>
      <c r="N40" s="250">
        <f>SUM(J40:M40)</f>
        <v>-7.5</v>
      </c>
      <c r="O40" s="250">
        <f>'Data (2)'!O201</f>
        <v>-2.1</v>
      </c>
      <c r="P40" s="250">
        <f>'Data (2)'!P201</f>
        <v>-2</v>
      </c>
      <c r="Q40" s="250">
        <f>'Data (2)'!Q201</f>
        <v>-2</v>
      </c>
      <c r="R40" s="250">
        <f>'Data (2)'!R201</f>
        <v>-1.7000000000000002</v>
      </c>
      <c r="S40" s="250">
        <f>SUM(O40:R40)</f>
        <v>-7.8</v>
      </c>
      <c r="T40" s="250">
        <f>'Data (2)'!T201</f>
        <v>-1.9</v>
      </c>
      <c r="U40" s="250">
        <f>'Data (2)'!U201</f>
        <v>-2.1</v>
      </c>
      <c r="V40" s="250">
        <f>'Data (2)'!V201</f>
        <v>-2</v>
      </c>
      <c r="W40" s="250">
        <f>'Data (2)'!W201</f>
        <v>-2.5</v>
      </c>
      <c r="X40" s="250">
        <f>SUM(T40:W40)</f>
        <v>-8.5</v>
      </c>
      <c r="Y40" s="250">
        <f>'Data (2)'!Y201</f>
        <v>-2.1</v>
      </c>
      <c r="Z40" s="250">
        <f>'Data (2)'!Z201</f>
        <v>-2.4</v>
      </c>
      <c r="AA40" s="250">
        <f>'Data (2)'!AA201</f>
        <v>-2.4</v>
      </c>
      <c r="AB40" s="250">
        <f>'Data (2)'!AB201</f>
        <v>-12.1</v>
      </c>
      <c r="AC40" s="250">
        <f>SUM(Y40:AB40)</f>
        <v>-19</v>
      </c>
      <c r="AD40" s="250">
        <f>'Data (2)'!AD201</f>
        <v>-4.2</v>
      </c>
      <c r="AE40" s="250">
        <f>'Data (2)'!AE201</f>
        <v>-1.4</v>
      </c>
      <c r="AF40" s="250">
        <f>'Data (2)'!AF201</f>
        <v>-1.5</v>
      </c>
      <c r="AG40" s="250">
        <f>'Data (2)'!AG201</f>
        <v>-1.4000000000000004</v>
      </c>
      <c r="AH40" s="250">
        <f>SUM(AD40:AG40)</f>
        <v>-8.5</v>
      </c>
      <c r="AI40" s="250">
        <f>'Data (2)'!AI201</f>
        <v>-1.5</v>
      </c>
      <c r="AJ40" s="250">
        <f>'Data (2)'!AJ201</f>
        <v>-1.5</v>
      </c>
      <c r="AK40" s="250">
        <f>'Data (2)'!AK201</f>
        <v>-1.3</v>
      </c>
      <c r="AL40" s="250">
        <f>'Data (2)'!AL201</f>
        <v>-3.5000000000000009</v>
      </c>
      <c r="AM40" s="156">
        <f>SUM(AI40:AL40)</f>
        <v>-7.8000000000000007</v>
      </c>
      <c r="AN40" s="156">
        <f>'Data (2)'!AN201</f>
        <v>-0.7</v>
      </c>
      <c r="AO40" s="156">
        <f>'Data (2)'!AO201</f>
        <v>-2.2999999999999998</v>
      </c>
      <c r="AP40" s="250">
        <f>'Data (2)'!AP201</f>
        <v>-2.4000000000000004</v>
      </c>
      <c r="AQ40" s="156">
        <f>'Data (2)'!AQ201</f>
        <v>-3.5999999999999996</v>
      </c>
      <c r="AR40" s="156">
        <f>SUM(AN40:AQ40)</f>
        <v>-9</v>
      </c>
      <c r="AS40" s="156">
        <f>'Data (2)'!AS201</f>
        <v>-0.8</v>
      </c>
      <c r="AT40" s="156">
        <f>'Data (2)'!AT201</f>
        <v>-0.9</v>
      </c>
      <c r="AU40" s="156">
        <f>'Data (2)'!AU201</f>
        <v>-1.3</v>
      </c>
      <c r="AV40" s="156">
        <f>'Data (2)'!AV201</f>
        <v>3.3</v>
      </c>
      <c r="AW40" s="156">
        <f>SUM(AS40:AV40)</f>
        <v>0.29999999999999982</v>
      </c>
      <c r="AX40" s="156">
        <f>'Data (2)'!AX201</f>
        <v>-1.2</v>
      </c>
      <c r="AY40" s="156">
        <f>'Data (2)'!AY201</f>
        <v>-1.1000000000000001</v>
      </c>
      <c r="AZ40" s="156">
        <f>'Data (2)'!AZ201</f>
        <v>-1.3</v>
      </c>
      <c r="BA40" s="156">
        <f>'Data (2)'!BA201</f>
        <v>-1.1000000000000003</v>
      </c>
      <c r="BB40" s="156">
        <f>SUM(AX40:BA40)</f>
        <v>-4.7</v>
      </c>
      <c r="BC40" s="156">
        <f>'Data (2)'!BC201</f>
        <v>-1.6</v>
      </c>
      <c r="BD40" s="156">
        <f>'Data (2)'!BD201</f>
        <v>-1.5</v>
      </c>
      <c r="BE40" s="156">
        <f>'Data (2)'!BE201</f>
        <v>-1.8</v>
      </c>
      <c r="BF40" s="156">
        <f>'Data (2)'!BF201</f>
        <v>-1.5999999999999996</v>
      </c>
      <c r="BG40" s="156">
        <f>SUM(BC40:BF40)</f>
        <v>-6.5</v>
      </c>
      <c r="BH40" s="156">
        <f>'Data (2)'!BH201</f>
        <v>-2.7</v>
      </c>
      <c r="BI40" s="156">
        <f>'Data (2)'!BI201</f>
        <v>-2.8</v>
      </c>
      <c r="BJ40" s="156">
        <f>'Data (2)'!BJ201</f>
        <v>-0.5</v>
      </c>
      <c r="BK40" s="156">
        <f>'Data (2)'!BK201</f>
        <v>-0.5</v>
      </c>
      <c r="BL40" s="156">
        <f>SUM(BH40:BK40)</f>
        <v>-6.5</v>
      </c>
      <c r="BM40" s="156">
        <f>'Data (2)'!BM201</f>
        <v>-1.2</v>
      </c>
      <c r="BN40" s="156">
        <f>'Data (2)'!BN201</f>
        <v>-1.2</v>
      </c>
      <c r="BO40" s="156">
        <f>'Data (2)'!BO201</f>
        <v>-0.4</v>
      </c>
      <c r="BP40" s="156">
        <f>'Data (2)'!BP201</f>
        <v>-0.60000000000000009</v>
      </c>
      <c r="BQ40" s="156">
        <f>SUM(BM40:BP40)</f>
        <v>-3.4</v>
      </c>
      <c r="BR40" s="156">
        <f>'Data (2)'!BR201</f>
        <v>-0.5</v>
      </c>
      <c r="BS40" s="156">
        <f>'Data (2)'!BS201</f>
        <v>-0.6</v>
      </c>
      <c r="BT40" s="156">
        <f>'Data (2)'!BT201</f>
        <v>-0.5</v>
      </c>
      <c r="BU40" s="156">
        <f>'Data (2)'!BU201</f>
        <v>-0.69999999999999973</v>
      </c>
      <c r="BV40" s="156">
        <f>SUM(BR40:BU40)</f>
        <v>-2.2999999999999998</v>
      </c>
      <c r="BW40" s="156">
        <f>'Data (2)'!BW201</f>
        <v>-0.6</v>
      </c>
      <c r="BX40" s="156">
        <f>'Data (2)'!BX201</f>
        <v>-0.7</v>
      </c>
      <c r="BY40" s="156">
        <f>'Data (2)'!BY201</f>
        <v>-0.6</v>
      </c>
      <c r="BZ40" s="156">
        <f>'Data (2)'!BZ201</f>
        <v>-1.1000000000000001</v>
      </c>
      <c r="CA40" s="156">
        <f>SUM(BW40:BZ40)</f>
        <v>-3</v>
      </c>
      <c r="CB40" s="156">
        <f>'Data (2)'!CB201</f>
        <v>-0.4</v>
      </c>
      <c r="CC40" s="156">
        <f>'Data (2)'!CC201</f>
        <v>-0.5</v>
      </c>
      <c r="CD40" s="156">
        <f>'Data (2)'!CD201</f>
        <v>-0.4</v>
      </c>
      <c r="CE40" s="156">
        <f>'Data (2)'!CE201</f>
        <v>-0.7</v>
      </c>
      <c r="CF40" s="156">
        <f>SUM(CB40:CE40)</f>
        <v>-2</v>
      </c>
      <c r="CG40" s="156">
        <f>'Data (2)'!CG201</f>
        <v>-0.5</v>
      </c>
      <c r="CH40" s="156">
        <f>'Data (2)'!CH201</f>
        <v>-0.4</v>
      </c>
      <c r="CI40" s="156">
        <f>'Data (2)'!CI201</f>
        <v>-0.5</v>
      </c>
      <c r="CJ40" s="156">
        <f>'Data (2)'!CJ201</f>
        <v>-0.5</v>
      </c>
      <c r="CK40" s="156">
        <f>SUM(CG40:CJ40)</f>
        <v>-1.9</v>
      </c>
      <c r="CL40" s="156">
        <f>'Data (2)'!CL201</f>
        <v>-0.5</v>
      </c>
      <c r="CM40" s="251">
        <v>-1</v>
      </c>
      <c r="CN40" s="251">
        <v>-1</v>
      </c>
      <c r="CO40" s="251">
        <v>-1</v>
      </c>
      <c r="CP40" s="251">
        <f>SUM(CL40:CO40)</f>
        <v>-3.5</v>
      </c>
      <c r="CQ40" s="251">
        <v>-4</v>
      </c>
      <c r="CR40" s="251">
        <v>-4</v>
      </c>
      <c r="CS40" s="251">
        <v>-4</v>
      </c>
    </row>
    <row r="41" spans="1:121" ht="12" hidden="1" customHeight="1" outlineLevel="1">
      <c r="A41" s="156"/>
      <c r="B41" s="252" t="s">
        <v>218</v>
      </c>
      <c r="C41" s="252">
        <f t="shared" ref="C41:AH41" si="43">C40/C35</f>
        <v>-8.6027349609757151E-2</v>
      </c>
      <c r="D41" s="252">
        <f t="shared" si="43"/>
        <v>-0.11282870968448251</v>
      </c>
      <c r="E41" s="252">
        <f t="shared" si="43"/>
        <v>-0.17307692307692307</v>
      </c>
      <c r="F41" s="252">
        <f t="shared" si="43"/>
        <v>2.6258205689277898E-2</v>
      </c>
      <c r="G41" s="252">
        <f t="shared" si="43"/>
        <v>-0.10904255319148935</v>
      </c>
      <c r="H41" s="252">
        <f t="shared" si="43"/>
        <v>-0.17708333333333337</v>
      </c>
      <c r="I41" s="252">
        <f t="shared" si="43"/>
        <v>-0.15803108808290153</v>
      </c>
      <c r="J41" s="252">
        <f t="shared" si="43"/>
        <v>-1.9801980198019802E-2</v>
      </c>
      <c r="K41" s="252">
        <f t="shared" si="43"/>
        <v>-1.9715224534501644E-2</v>
      </c>
      <c r="L41" s="252">
        <f t="shared" si="43"/>
        <v>-2.0765027322404369E-2</v>
      </c>
      <c r="M41" s="252">
        <f t="shared" si="43"/>
        <v>-2.185792349726776E-2</v>
      </c>
      <c r="N41" s="252">
        <f t="shared" si="43"/>
        <v>-8.2146768893756841E-2</v>
      </c>
      <c r="O41" s="252">
        <f t="shared" si="43"/>
        <v>-2.2245762711864406E-2</v>
      </c>
      <c r="P41" s="252">
        <f t="shared" si="43"/>
        <v>-2.107481559536354E-2</v>
      </c>
      <c r="Q41" s="252">
        <f t="shared" si="43"/>
        <v>-2.107481559536354E-2</v>
      </c>
      <c r="R41" s="252">
        <f t="shared" si="43"/>
        <v>-1.7913593256059009E-2</v>
      </c>
      <c r="S41" s="252">
        <f t="shared" si="43"/>
        <v>-8.3244397011739593E-2</v>
      </c>
      <c r="T41" s="252">
        <f t="shared" si="43"/>
        <v>-1.9978969505783387E-2</v>
      </c>
      <c r="U41" s="252">
        <f t="shared" si="43"/>
        <v>-2.1989528795811519E-2</v>
      </c>
      <c r="V41" s="252">
        <f t="shared" si="43"/>
        <v>-2.1008403361344536E-2</v>
      </c>
      <c r="W41" s="252">
        <f t="shared" si="43"/>
        <v>-2.5987525987525982E-2</v>
      </c>
      <c r="X41" s="252">
        <f t="shared" si="43"/>
        <v>-8.9005235602094238E-2</v>
      </c>
      <c r="Y41" s="252">
        <f t="shared" si="43"/>
        <v>-2.1852237252861603E-2</v>
      </c>
      <c r="Z41" s="252">
        <f t="shared" si="43"/>
        <v>-2.4922118380062305E-2</v>
      </c>
      <c r="AA41" s="252">
        <f t="shared" si="43"/>
        <v>-2.481902792140641E-2</v>
      </c>
      <c r="AB41" s="252">
        <f t="shared" si="43"/>
        <v>-0.12487100103199174</v>
      </c>
      <c r="AC41" s="252">
        <f t="shared" si="43"/>
        <v>-0.19689119170984457</v>
      </c>
      <c r="AD41" s="252">
        <f t="shared" si="43"/>
        <v>-4.2988741044012284E-2</v>
      </c>
      <c r="AE41" s="252">
        <f t="shared" si="43"/>
        <v>-1.4314928425357873E-2</v>
      </c>
      <c r="AF41" s="252">
        <f t="shared" si="43"/>
        <v>-1.5337423312883436E-2</v>
      </c>
      <c r="AG41" s="252">
        <f t="shared" si="43"/>
        <v>-1.4418125643666334E-2</v>
      </c>
      <c r="AH41" s="252">
        <f t="shared" si="43"/>
        <v>-8.7090163934426229E-2</v>
      </c>
      <c r="AI41" s="252">
        <f t="shared" ref="AI41:BN41" si="44">AI40/AI35</f>
        <v>-1.5432098765432098E-2</v>
      </c>
      <c r="AJ41" s="252">
        <f t="shared" si="44"/>
        <v>-1.5337423312883436E-2</v>
      </c>
      <c r="AK41" s="252">
        <f t="shared" si="44"/>
        <v>-1.3251783893985731E-2</v>
      </c>
      <c r="AL41" s="252">
        <f t="shared" si="44"/>
        <v>-3.5532994923857877E-2</v>
      </c>
      <c r="AM41" s="252">
        <f t="shared" si="44"/>
        <v>-7.9673135852911137E-2</v>
      </c>
      <c r="AN41" s="252">
        <f t="shared" si="44"/>
        <v>-7.0707070707070703E-3</v>
      </c>
      <c r="AO41" s="252">
        <f t="shared" si="44"/>
        <v>-2.3069207622868602E-2</v>
      </c>
      <c r="AP41" s="252">
        <f t="shared" si="44"/>
        <v>-2.4000000000000004E-2</v>
      </c>
      <c r="AQ41" s="252">
        <f t="shared" si="44"/>
        <v>-3.5678889990089183E-2</v>
      </c>
      <c r="AR41" s="252">
        <f t="shared" si="44"/>
        <v>-9.0090090090090086E-2</v>
      </c>
      <c r="AS41" s="252">
        <f t="shared" si="44"/>
        <v>-7.9681274900398405E-3</v>
      </c>
      <c r="AT41" s="252">
        <f t="shared" si="44"/>
        <v>-8.9374379344587876E-3</v>
      </c>
      <c r="AU41" s="252">
        <f t="shared" si="44"/>
        <v>-1.2858555885262118E-2</v>
      </c>
      <c r="AV41" s="252">
        <f t="shared" si="44"/>
        <v>3.257650542941757E-2</v>
      </c>
      <c r="AW41" s="252">
        <f t="shared" si="44"/>
        <v>2.9791459781529275E-3</v>
      </c>
      <c r="AX41" s="252">
        <f t="shared" si="44"/>
        <v>-1.1799410029498525E-2</v>
      </c>
      <c r="AY41" s="252">
        <f t="shared" si="44"/>
        <v>-1.0784313725490198E-2</v>
      </c>
      <c r="AZ41" s="252">
        <f t="shared" si="44"/>
        <v>-1.2732615083251715E-2</v>
      </c>
      <c r="BA41" s="252">
        <f t="shared" si="44"/>
        <v>-1.0763209393346383E-2</v>
      </c>
      <c r="BB41" s="252">
        <f t="shared" si="44"/>
        <v>-4.6078431372549029E-2</v>
      </c>
      <c r="BC41" s="252">
        <f t="shared" si="44"/>
        <v>-1.5670910871694418E-2</v>
      </c>
      <c r="BD41" s="252">
        <f t="shared" si="44"/>
        <v>-1.4734774066797643E-2</v>
      </c>
      <c r="BE41" s="252">
        <f t="shared" si="44"/>
        <v>-1.7699115044247787E-2</v>
      </c>
      <c r="BF41" s="252">
        <f t="shared" si="44"/>
        <v>-1.570166830225711E-2</v>
      </c>
      <c r="BG41" s="252">
        <f t="shared" si="44"/>
        <v>-6.3803680981595098E-2</v>
      </c>
      <c r="BH41" s="253">
        <f t="shared" si="44"/>
        <v>-2.6838966202783303E-2</v>
      </c>
      <c r="BI41" s="253">
        <f t="shared" si="44"/>
        <v>-2.8225806451612899E-2</v>
      </c>
      <c r="BJ41" s="253">
        <f t="shared" si="44"/>
        <v>-5.1177072671443188E-3</v>
      </c>
      <c r="BK41" s="253">
        <f t="shared" si="44"/>
        <v>-5.1282051282051282E-3</v>
      </c>
      <c r="BL41" s="253">
        <f t="shared" si="44"/>
        <v>-6.5822784810126586E-2</v>
      </c>
      <c r="BM41" s="253">
        <f t="shared" si="44"/>
        <v>-1.2257405515832482E-2</v>
      </c>
      <c r="BN41" s="253">
        <f t="shared" si="44"/>
        <v>-1.2219959266802444E-2</v>
      </c>
      <c r="BO41" s="253">
        <f t="shared" ref="BO41:CS41" si="45">BO40/BO35</f>
        <v>-4.1109969167523125E-3</v>
      </c>
      <c r="BP41" s="253">
        <f t="shared" si="45"/>
        <v>-6.2630480167014625E-3</v>
      </c>
      <c r="BQ41" s="253">
        <f t="shared" si="45"/>
        <v>-3.4943473792394653E-2</v>
      </c>
      <c r="BR41" s="253">
        <f t="shared" si="45"/>
        <v>-5.2742616033755272E-3</v>
      </c>
      <c r="BS41" s="253">
        <f t="shared" si="45"/>
        <v>-6.3424947145877377E-3</v>
      </c>
      <c r="BT41" s="253">
        <f t="shared" si="45"/>
        <v>-5.3134962805526037E-3</v>
      </c>
      <c r="BU41" s="253">
        <f t="shared" si="45"/>
        <v>-7.5026795284029984E-3</v>
      </c>
      <c r="BV41" s="253">
        <f t="shared" si="45"/>
        <v>-2.4416135881104032E-2</v>
      </c>
      <c r="BW41" s="253">
        <f t="shared" si="45"/>
        <v>-6.4585575888051663E-3</v>
      </c>
      <c r="BX41" s="253">
        <f t="shared" si="45"/>
        <v>-7.6086956521739125E-3</v>
      </c>
      <c r="BY41" s="253">
        <f t="shared" si="45"/>
        <v>-6.5645514223194746E-3</v>
      </c>
      <c r="BZ41" s="253">
        <f t="shared" si="45"/>
        <v>-1.2021857923497269E-2</v>
      </c>
      <c r="CA41" s="253">
        <f t="shared" si="45"/>
        <v>-3.2626427406199018E-2</v>
      </c>
      <c r="CB41" s="253">
        <f t="shared" si="45"/>
        <v>-4.3859649122807015E-3</v>
      </c>
      <c r="CC41" s="253">
        <f t="shared" si="45"/>
        <v>-5.5592617300422508E-3</v>
      </c>
      <c r="CD41" s="253">
        <f t="shared" si="45"/>
        <v>-4.5402951191827476E-3</v>
      </c>
      <c r="CE41" s="253">
        <f t="shared" si="45"/>
        <v>-8.0552359033371681E-3</v>
      </c>
      <c r="CF41" s="253">
        <f t="shared" si="45"/>
        <v>-2.247191011235955E-2</v>
      </c>
      <c r="CG41" s="253">
        <f t="shared" si="45"/>
        <v>-5.8139534883720929E-3</v>
      </c>
      <c r="CH41" s="253">
        <f t="shared" si="45"/>
        <v>-4.6403712296983757E-3</v>
      </c>
      <c r="CI41" s="253">
        <f t="shared" si="45"/>
        <v>-5.8072009291521487E-3</v>
      </c>
      <c r="CJ41" s="253">
        <f t="shared" si="45"/>
        <v>-5.8685446009389668E-3</v>
      </c>
      <c r="CK41" s="253">
        <f t="shared" si="45"/>
        <v>-2.2144522144522144E-2</v>
      </c>
      <c r="CL41" s="253">
        <f t="shared" si="45"/>
        <v>-5.9311981020166073E-3</v>
      </c>
      <c r="CM41" s="253">
        <f t="shared" si="45"/>
        <v>-1.1876484560570071E-2</v>
      </c>
      <c r="CN41" s="253">
        <f t="shared" si="45"/>
        <v>-1.1890606420927466E-2</v>
      </c>
      <c r="CO41" s="253">
        <f t="shared" si="45"/>
        <v>-1.1933174224343673E-2</v>
      </c>
      <c r="CP41" s="253">
        <f t="shared" si="45"/>
        <v>-4.1617122473246129E-2</v>
      </c>
      <c r="CQ41" s="253">
        <f t="shared" si="45"/>
        <v>-4.8134777376654628E-2</v>
      </c>
      <c r="CR41" s="253">
        <f t="shared" si="45"/>
        <v>-4.9627791563275431E-2</v>
      </c>
      <c r="CS41" s="253">
        <f t="shared" si="45"/>
        <v>-5.174644243208279E-2</v>
      </c>
    </row>
    <row r="42" spans="1:121" ht="12" customHeight="1" collapsed="1">
      <c r="B42" s="15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7"/>
      <c r="BI42" s="247"/>
      <c r="BJ42" s="247"/>
      <c r="BK42" s="247"/>
      <c r="BL42" s="247"/>
      <c r="BM42" s="247"/>
      <c r="BN42" s="247"/>
      <c r="BO42" s="247"/>
      <c r="BP42" s="247"/>
      <c r="BQ42" s="247"/>
      <c r="BR42" s="247"/>
      <c r="BS42" s="247"/>
      <c r="BT42" s="247"/>
      <c r="BU42" s="247"/>
      <c r="BV42" s="247"/>
      <c r="BW42" s="247"/>
      <c r="BX42" s="247"/>
      <c r="BY42" s="247"/>
      <c r="BZ42" s="247"/>
      <c r="CA42" s="247"/>
      <c r="CB42" s="247"/>
      <c r="CC42" s="247"/>
      <c r="CD42" s="247"/>
      <c r="CE42" s="247"/>
      <c r="CF42" s="247"/>
      <c r="CG42" s="247"/>
      <c r="CH42" s="247"/>
      <c r="CI42" s="247"/>
      <c r="CJ42" s="247"/>
      <c r="CK42" s="247"/>
      <c r="CL42" s="225"/>
      <c r="CM42" s="225"/>
      <c r="CN42" s="225"/>
      <c r="CO42" s="225"/>
      <c r="CP42" s="247"/>
      <c r="CQ42" s="248"/>
      <c r="CR42" s="226"/>
      <c r="CS42" s="226"/>
      <c r="CV42" s="156" t="s">
        <v>554</v>
      </c>
    </row>
    <row r="43" spans="1:121" ht="3.75" hidden="1" customHeight="1" outlineLevel="1">
      <c r="A43" s="156"/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Q43" s="156"/>
      <c r="CR43" s="156"/>
      <c r="CS43" s="156"/>
    </row>
    <row r="44" spans="1:121" ht="12" hidden="1" customHeight="1" outlineLevel="1">
      <c r="A44" s="156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Q44" s="156"/>
      <c r="CR44" s="156"/>
      <c r="CS44" s="156"/>
    </row>
    <row r="45" spans="1:121" ht="12" customHeight="1" collapsed="1">
      <c r="B45" s="332" t="s">
        <v>127</v>
      </c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3"/>
      <c r="N45" s="333"/>
      <c r="O45" s="333"/>
      <c r="P45" s="333"/>
      <c r="Q45" s="333"/>
      <c r="R45" s="333"/>
      <c r="S45" s="333"/>
      <c r="T45" s="333"/>
      <c r="U45" s="333"/>
      <c r="V45" s="333"/>
      <c r="W45" s="333"/>
      <c r="X45" s="333"/>
      <c r="Y45" s="333"/>
      <c r="Z45" s="333"/>
      <c r="AA45" s="333"/>
      <c r="AB45" s="333"/>
      <c r="AC45" s="333"/>
      <c r="AD45" s="333"/>
      <c r="AE45" s="333"/>
      <c r="AF45" s="333"/>
      <c r="AG45" s="333"/>
      <c r="AH45" s="333"/>
      <c r="AI45" s="333"/>
      <c r="AJ45" s="333"/>
      <c r="AK45" s="333"/>
      <c r="AL45" s="333"/>
      <c r="AM45" s="333"/>
      <c r="AN45" s="333"/>
      <c r="AO45" s="333"/>
      <c r="AP45" s="333"/>
      <c r="AQ45" s="333"/>
      <c r="AR45" s="333"/>
      <c r="AS45" s="333"/>
      <c r="AT45" s="333"/>
      <c r="AU45" s="333"/>
      <c r="AV45" s="333"/>
      <c r="AW45" s="333"/>
      <c r="AX45" s="333"/>
      <c r="AY45" s="333"/>
      <c r="AZ45" s="333"/>
      <c r="BA45" s="333"/>
      <c r="BB45" s="333"/>
      <c r="BC45" s="333"/>
      <c r="BD45" s="333"/>
      <c r="BE45" s="333"/>
      <c r="BF45" s="333"/>
      <c r="BG45" s="333"/>
      <c r="BH45" s="333"/>
      <c r="BI45" s="333"/>
      <c r="BJ45" s="333"/>
      <c r="BK45" s="333"/>
      <c r="BL45" s="333"/>
      <c r="BM45" s="333"/>
      <c r="BN45" s="333"/>
      <c r="BO45" s="333"/>
      <c r="BP45" s="333"/>
      <c r="BQ45" s="333"/>
      <c r="BR45" s="333"/>
      <c r="BS45" s="333"/>
      <c r="BT45" s="333"/>
      <c r="BU45" s="333"/>
      <c r="BV45" s="333"/>
      <c r="BW45" s="333"/>
      <c r="BX45" s="333"/>
      <c r="BY45" s="333"/>
      <c r="BZ45" s="333"/>
      <c r="CA45" s="333"/>
      <c r="CB45" s="333"/>
      <c r="CC45" s="333"/>
      <c r="CD45" s="333"/>
      <c r="CE45" s="333"/>
      <c r="CF45" s="333"/>
      <c r="CG45" s="333"/>
      <c r="CH45" s="333"/>
      <c r="CI45" s="333"/>
      <c r="CJ45" s="333"/>
      <c r="CK45" s="334"/>
      <c r="CL45" s="198"/>
      <c r="CM45" s="198"/>
      <c r="CN45" s="198"/>
      <c r="CO45" s="198"/>
      <c r="CP45" s="260"/>
      <c r="CQ45" s="282"/>
      <c r="CR45" s="205"/>
      <c r="CS45" s="205"/>
    </row>
    <row r="46" spans="1:121" ht="12" customHeight="1">
      <c r="B46" s="335" t="s">
        <v>82</v>
      </c>
      <c r="C46" s="260">
        <f t="shared" ref="C46:M46" si="46">C12</f>
        <v>76.457000000000065</v>
      </c>
      <c r="D46" s="260">
        <f t="shared" si="46"/>
        <v>117.03900000000014</v>
      </c>
      <c r="E46" s="260">
        <f t="shared" si="46"/>
        <v>68.900000000000006</v>
      </c>
      <c r="F46" s="260">
        <f t="shared" si="46"/>
        <v>75.400000000000077</v>
      </c>
      <c r="G46" s="260">
        <f t="shared" si="46"/>
        <v>-316.20000000000005</v>
      </c>
      <c r="H46" s="260">
        <f t="shared" si="46"/>
        <v>60.199999999999946</v>
      </c>
      <c r="I46" s="260">
        <f t="shared" si="46"/>
        <v>57.8</v>
      </c>
      <c r="J46" s="260">
        <f t="shared" si="46"/>
        <v>23.700000000000024</v>
      </c>
      <c r="K46" s="260">
        <f t="shared" si="46"/>
        <v>25.9</v>
      </c>
      <c r="L46" s="260">
        <f t="shared" si="46"/>
        <v>18.600000000000033</v>
      </c>
      <c r="M46" s="260">
        <f t="shared" si="46"/>
        <v>20.599999999999909</v>
      </c>
      <c r="N46" s="260">
        <f>SUM(J46:M46)</f>
        <v>88.799999999999969</v>
      </c>
      <c r="O46" s="260">
        <f>O12</f>
        <v>32.900000000000006</v>
      </c>
      <c r="P46" s="260">
        <f>P12</f>
        <v>36.90000000000002</v>
      </c>
      <c r="Q46" s="260">
        <f>Q12</f>
        <v>8.7000000000000348</v>
      </c>
      <c r="R46" s="260">
        <f>R12</f>
        <v>25.699999999999974</v>
      </c>
      <c r="S46" s="260">
        <f>SUM(O46:R46)</f>
        <v>104.20000000000003</v>
      </c>
      <c r="T46" s="260">
        <f>T12</f>
        <v>29.79999999999999</v>
      </c>
      <c r="U46" s="260">
        <f>U12</f>
        <v>34.29999999999999</v>
      </c>
      <c r="V46" s="260">
        <f>V12</f>
        <v>25.700000000000028</v>
      </c>
      <c r="W46" s="260">
        <f>W12</f>
        <v>16.599999999999991</v>
      </c>
      <c r="X46" s="260">
        <f>SUM(T46:W46)</f>
        <v>106.4</v>
      </c>
      <c r="Y46" s="260">
        <f>Y12</f>
        <v>29.900000000000027</v>
      </c>
      <c r="Z46" s="260">
        <f>Z12</f>
        <v>34.000000000000007</v>
      </c>
      <c r="AA46" s="260">
        <f>AA12</f>
        <v>30.200000000000031</v>
      </c>
      <c r="AB46" s="260">
        <f>AB12</f>
        <v>20.899999999999839</v>
      </c>
      <c r="AC46" s="260">
        <f>SUM(Y46:AB46)</f>
        <v>114.9999999999999</v>
      </c>
      <c r="AD46" s="260">
        <f>AD12</f>
        <v>36.400000000000027</v>
      </c>
      <c r="AE46" s="260">
        <f>AE12</f>
        <v>29.300000000000026</v>
      </c>
      <c r="AF46" s="260">
        <f>AF12</f>
        <v>35.899999999999963</v>
      </c>
      <c r="AG46" s="260">
        <f>AG12</f>
        <v>29.299999999999855</v>
      </c>
      <c r="AH46" s="260">
        <f>SUM(AD46:AG46)</f>
        <v>130.89999999999986</v>
      </c>
      <c r="AI46" s="260">
        <f>AI12</f>
        <v>39.900000000000006</v>
      </c>
      <c r="AJ46" s="260">
        <f>AJ12</f>
        <v>29.700000000000028</v>
      </c>
      <c r="AK46" s="260">
        <f>AK12</f>
        <v>19.600000000000019</v>
      </c>
      <c r="AL46" s="260">
        <f>AL12</f>
        <v>14.500000000000011</v>
      </c>
      <c r="AM46" s="260">
        <f>SUM(AI46:AL46)</f>
        <v>103.70000000000007</v>
      </c>
      <c r="AN46" s="260">
        <f>AN12</f>
        <v>23.799999999999997</v>
      </c>
      <c r="AO46" s="260">
        <f>AO12</f>
        <v>40.500000000000028</v>
      </c>
      <c r="AP46" s="260">
        <f>AP12</f>
        <v>34.5</v>
      </c>
      <c r="AQ46" s="260">
        <f>AQ12</f>
        <v>30.999999999999911</v>
      </c>
      <c r="AR46" s="260">
        <f>SUM(AN46:AQ46)</f>
        <v>129.79999999999993</v>
      </c>
      <c r="AS46" s="260">
        <f>AS12</f>
        <v>47.200000000000031</v>
      </c>
      <c r="AT46" s="260">
        <f>AT12</f>
        <v>49.4</v>
      </c>
      <c r="AU46" s="260">
        <f>AU12</f>
        <v>46</v>
      </c>
      <c r="AV46" s="260">
        <f>AV12</f>
        <v>49.40000000000002</v>
      </c>
      <c r="AW46" s="260">
        <f>SUM(AS46:AV46)</f>
        <v>192.00000000000006</v>
      </c>
      <c r="AX46" s="260">
        <f>AX12</f>
        <v>60.600000000000037</v>
      </c>
      <c r="AY46" s="260">
        <f>AY12</f>
        <v>73.900000000000006</v>
      </c>
      <c r="AZ46" s="260">
        <f>AZ12</f>
        <v>60.00000000000005</v>
      </c>
      <c r="BA46" s="260">
        <f>BA12</f>
        <v>54.300000000000026</v>
      </c>
      <c r="BB46" s="260">
        <f>SUM(AX46:BA46)</f>
        <v>248.80000000000013</v>
      </c>
      <c r="BC46" s="260">
        <f t="shared" ref="BC46:CS46" si="47">BC12</f>
        <v>63</v>
      </c>
      <c r="BD46" s="260">
        <f t="shared" si="47"/>
        <v>71.90000000000002</v>
      </c>
      <c r="BE46" s="260">
        <f t="shared" si="47"/>
        <v>69.000000000000014</v>
      </c>
      <c r="BF46" s="260">
        <f t="shared" si="47"/>
        <v>67.000000000000014</v>
      </c>
      <c r="BG46" s="260">
        <f t="shared" si="47"/>
        <v>270.90000000000003</v>
      </c>
      <c r="BH46" s="260">
        <f t="shared" si="47"/>
        <v>74.599999999999994</v>
      </c>
      <c r="BI46" s="260">
        <f t="shared" si="47"/>
        <v>75.100000000000023</v>
      </c>
      <c r="BJ46" s="260">
        <f t="shared" si="47"/>
        <v>79</v>
      </c>
      <c r="BK46" s="260">
        <f t="shared" si="47"/>
        <v>77.100000000000009</v>
      </c>
      <c r="BL46" s="260">
        <f t="shared" si="47"/>
        <v>305.8</v>
      </c>
      <c r="BM46" s="260">
        <f t="shared" si="47"/>
        <v>82.600000000000009</v>
      </c>
      <c r="BN46" s="260">
        <f t="shared" si="47"/>
        <v>90.599999999999966</v>
      </c>
      <c r="BO46" s="260">
        <f t="shared" si="47"/>
        <v>78.000000000000028</v>
      </c>
      <c r="BP46" s="260">
        <f t="shared" si="47"/>
        <v>81.19999999999996</v>
      </c>
      <c r="BQ46" s="260">
        <f t="shared" si="47"/>
        <v>332.4</v>
      </c>
      <c r="BR46" s="260">
        <f t="shared" si="47"/>
        <v>83.899999999999991</v>
      </c>
      <c r="BS46" s="260">
        <f t="shared" si="47"/>
        <v>100.10000000000002</v>
      </c>
      <c r="BT46" s="260">
        <f t="shared" si="47"/>
        <v>89.1</v>
      </c>
      <c r="BU46" s="260">
        <f t="shared" si="47"/>
        <v>87.000000000000028</v>
      </c>
      <c r="BV46" s="260">
        <f t="shared" si="47"/>
        <v>360.1</v>
      </c>
      <c r="BW46" s="260">
        <f t="shared" si="47"/>
        <v>78.600000000000023</v>
      </c>
      <c r="BX46" s="260">
        <f t="shared" si="47"/>
        <v>89.700000000000045</v>
      </c>
      <c r="BY46" s="260">
        <f t="shared" si="47"/>
        <v>89.100000000000023</v>
      </c>
      <c r="BZ46" s="260">
        <f t="shared" si="47"/>
        <v>93.199999999999989</v>
      </c>
      <c r="CA46" s="260">
        <f t="shared" si="47"/>
        <v>350.60000000000008</v>
      </c>
      <c r="CB46" s="260">
        <f t="shared" si="47"/>
        <v>82.40000000000002</v>
      </c>
      <c r="CC46" s="260">
        <f t="shared" si="47"/>
        <v>96.500000000000014</v>
      </c>
      <c r="CD46" s="260">
        <f t="shared" si="47"/>
        <v>96.5</v>
      </c>
      <c r="CE46" s="260">
        <f t="shared" si="47"/>
        <v>95.799999999999969</v>
      </c>
      <c r="CF46" s="260">
        <f t="shared" si="47"/>
        <v>371.2</v>
      </c>
      <c r="CG46" s="260">
        <f t="shared" si="47"/>
        <v>102.79999999999998</v>
      </c>
      <c r="CH46" s="260">
        <f t="shared" si="47"/>
        <v>115.10000000000001</v>
      </c>
      <c r="CI46" s="260">
        <f t="shared" si="47"/>
        <v>109.89999999999998</v>
      </c>
      <c r="CJ46" s="260">
        <f t="shared" si="47"/>
        <v>97.399999999999935</v>
      </c>
      <c r="CK46" s="336">
        <f t="shared" si="47"/>
        <v>425.19999999999987</v>
      </c>
      <c r="CL46" s="198">
        <f t="shared" si="47"/>
        <v>65.699999999999974</v>
      </c>
      <c r="CM46" s="198">
        <f t="shared" si="47"/>
        <v>14.510415200000004</v>
      </c>
      <c r="CN46" s="198">
        <f t="shared" si="47"/>
        <v>33.653119800000006</v>
      </c>
      <c r="CO46" s="198">
        <f t="shared" si="47"/>
        <v>50.117176200000003</v>
      </c>
      <c r="CP46" s="260">
        <f t="shared" si="47"/>
        <v>163.98071119999997</v>
      </c>
      <c r="CQ46" s="282">
        <f t="shared" si="47"/>
        <v>211.96823851299996</v>
      </c>
      <c r="CR46" s="205">
        <f t="shared" si="47"/>
        <v>253.221567195332</v>
      </c>
      <c r="CS46" s="205">
        <f t="shared" si="47"/>
        <v>304.21782490909698</v>
      </c>
    </row>
    <row r="47" spans="1:121" ht="12" customHeight="1">
      <c r="B47" s="337" t="s">
        <v>128</v>
      </c>
      <c r="C47" s="260">
        <f>'Cash Flow'!C10</f>
        <v>35.796999999999997</v>
      </c>
      <c r="D47" s="260">
        <f>'Cash Flow'!D10</f>
        <v>37.442</v>
      </c>
      <c r="E47" s="260">
        <f>'Cash Flow'!E10</f>
        <v>47.9</v>
      </c>
      <c r="F47" s="260">
        <f>'Cash Flow'!F10</f>
        <v>45.6</v>
      </c>
      <c r="G47" s="260">
        <f>'Cash Flow'!G10</f>
        <v>50.7</v>
      </c>
      <c r="H47" s="260">
        <f>'Cash Flow'!H10</f>
        <v>47.2</v>
      </c>
      <c r="I47" s="260">
        <f>'Cash Flow'!I10</f>
        <v>52.2</v>
      </c>
      <c r="J47" s="260">
        <f>'Cash Flow'!J10</f>
        <v>13.3</v>
      </c>
      <c r="K47" s="260">
        <f>'Cash Flow'!K10</f>
        <v>13.2</v>
      </c>
      <c r="L47" s="260">
        <f>'Cash Flow'!L10</f>
        <v>12.399999999999999</v>
      </c>
      <c r="M47" s="260">
        <f>'Cash Flow'!M10</f>
        <v>13.100000000000001</v>
      </c>
      <c r="N47" s="260">
        <f>SUM(J47:M47)</f>
        <v>52</v>
      </c>
      <c r="O47" s="260">
        <f>'Cash Flow'!O10</f>
        <v>12.3</v>
      </c>
      <c r="P47" s="260">
        <f>'Cash Flow'!P10</f>
        <v>11.8</v>
      </c>
      <c r="Q47" s="260">
        <f>'Cash Flow'!Q10</f>
        <v>11.399999999999999</v>
      </c>
      <c r="R47" s="260">
        <f>'Cash Flow'!R10</f>
        <v>11.799999999999997</v>
      </c>
      <c r="S47" s="260">
        <f>SUM(O47:R47)</f>
        <v>47.3</v>
      </c>
      <c r="T47" s="260">
        <f>'Cash Flow'!T10</f>
        <v>11.6</v>
      </c>
      <c r="U47" s="260">
        <f>'Cash Flow'!U10</f>
        <v>11.799999999999999</v>
      </c>
      <c r="V47" s="260">
        <f>'Cash Flow'!V10</f>
        <v>10.300000000000006</v>
      </c>
      <c r="W47" s="260">
        <f>'Cash Flow'!W10</f>
        <v>9.6999999999999975</v>
      </c>
      <c r="X47" s="260">
        <f>SUM(T47:W47)</f>
        <v>43.4</v>
      </c>
      <c r="Y47" s="260">
        <f>'Cash Flow'!Y10</f>
        <v>9.6999999999999993</v>
      </c>
      <c r="Z47" s="260">
        <f>'Cash Flow'!Z10</f>
        <v>9.9000000000000021</v>
      </c>
      <c r="AA47" s="260">
        <f>'Cash Flow'!AA10</f>
        <v>10.199999999999999</v>
      </c>
      <c r="AB47" s="260">
        <f>'Cash Flow'!AB10</f>
        <v>9.9999999999999964</v>
      </c>
      <c r="AC47" s="260">
        <f>SUM(Y47:AB47)</f>
        <v>39.799999999999997</v>
      </c>
      <c r="AD47" s="260">
        <f>'Cash Flow'!AD10</f>
        <v>11</v>
      </c>
      <c r="AE47" s="260">
        <f>'Cash Flow'!AE10</f>
        <v>11.399999999999999</v>
      </c>
      <c r="AF47" s="260">
        <f>'Cash Flow'!AF10</f>
        <v>10.800000000000004</v>
      </c>
      <c r="AG47" s="260">
        <f>'Cash Flow'!AG10</f>
        <v>10.699999999999996</v>
      </c>
      <c r="AH47" s="260">
        <f>SUM(AD47:AG47)</f>
        <v>43.9</v>
      </c>
      <c r="AI47" s="260">
        <f>'Cash Flow'!AI10</f>
        <v>10.9</v>
      </c>
      <c r="AJ47" s="260">
        <f>'Cash Flow'!AJ10</f>
        <v>11.6</v>
      </c>
      <c r="AK47" s="260">
        <f>'Cash Flow'!AK10</f>
        <v>11.999999999999998</v>
      </c>
      <c r="AL47" s="260">
        <f>'Cash Flow'!AL10</f>
        <v>12.1</v>
      </c>
      <c r="AM47" s="260">
        <f>SUM(AI47:AL47)</f>
        <v>46.6</v>
      </c>
      <c r="AN47" s="260">
        <f>'Cash Flow'!AN10</f>
        <v>12</v>
      </c>
      <c r="AO47" s="260">
        <f>'Cash Flow'!AO10</f>
        <v>13.600000000000001</v>
      </c>
      <c r="AP47" s="260">
        <f>'Cash Flow'!AP10</f>
        <v>13.699999999999996</v>
      </c>
      <c r="AQ47" s="260">
        <f>'Cash Flow'!AQ10</f>
        <v>13.900000000000006</v>
      </c>
      <c r="AR47" s="260">
        <f>SUM(AN47:AQ47)</f>
        <v>53.2</v>
      </c>
      <c r="AS47" s="260">
        <f>'Cash Flow'!AS10</f>
        <v>14.1</v>
      </c>
      <c r="AT47" s="260">
        <f>'Cash Flow'!AT10</f>
        <v>13.799999999999999</v>
      </c>
      <c r="AU47" s="260">
        <f>'Cash Flow'!AU10</f>
        <v>13.700000000000005</v>
      </c>
      <c r="AV47" s="260">
        <f>'Cash Flow'!AV10</f>
        <v>13.699999999999998</v>
      </c>
      <c r="AW47" s="260">
        <f>SUM(AS47:AV47)</f>
        <v>55.3</v>
      </c>
      <c r="AX47" s="260">
        <f>'Cash Flow'!AX10</f>
        <v>14</v>
      </c>
      <c r="AY47" s="260">
        <f>'Cash Flow'!AY10</f>
        <v>14.3</v>
      </c>
      <c r="AZ47" s="260">
        <f>'Cash Flow'!AZ10</f>
        <v>14.7</v>
      </c>
      <c r="BA47" s="260">
        <f>'Cash Flow'!BA10</f>
        <v>14.2</v>
      </c>
      <c r="BB47" s="260">
        <f>SUM(AX47:BA47)</f>
        <v>57.2</v>
      </c>
      <c r="BC47" s="260">
        <f>'Cash Flow'!BC10</f>
        <v>14.3</v>
      </c>
      <c r="BD47" s="260">
        <f>'Cash Flow'!BD10</f>
        <v>13.8</v>
      </c>
      <c r="BE47" s="260">
        <f>'Cash Flow'!BE10</f>
        <v>14.699999999999996</v>
      </c>
      <c r="BF47" s="260">
        <f>'Cash Flow'!BF10</f>
        <v>16.5</v>
      </c>
      <c r="BG47" s="260">
        <f>'Cash Flow'!BG10</f>
        <v>59.3</v>
      </c>
      <c r="BH47" s="260">
        <f>'Cash Flow'!BH10</f>
        <v>17.100000000000001</v>
      </c>
      <c r="BI47" s="260">
        <f>'Cash Flow'!BI10</f>
        <v>17.699999999999996</v>
      </c>
      <c r="BJ47" s="260">
        <f>'Cash Flow'!BJ10</f>
        <v>17.800000000000004</v>
      </c>
      <c r="BK47" s="260">
        <f>'Cash Flow'!BK10</f>
        <v>18.600000000000001</v>
      </c>
      <c r="BL47" s="260">
        <f>'Cash Flow'!BL10</f>
        <v>71.2</v>
      </c>
      <c r="BM47" s="260">
        <f>'Cash Flow'!BM10</f>
        <v>18.3</v>
      </c>
      <c r="BN47" s="260">
        <f>'Cash Flow'!BN10</f>
        <v>18.900000000000002</v>
      </c>
      <c r="BO47" s="260">
        <f>'Cash Flow'!BO10</f>
        <v>19.299999999999994</v>
      </c>
      <c r="BP47" s="260">
        <f>'Cash Flow'!BP10</f>
        <v>19.900000000000002</v>
      </c>
      <c r="BQ47" s="260">
        <f>'Cash Flow'!BQ10</f>
        <v>76.400000000000006</v>
      </c>
      <c r="BR47" s="260">
        <f>'Cash Flow'!BR10</f>
        <v>22.2</v>
      </c>
      <c r="BS47" s="260">
        <f>'Cash Flow'!BS10</f>
        <v>23.3</v>
      </c>
      <c r="BT47" s="260">
        <f>'Cash Flow'!BT10</f>
        <v>23.500000000000004</v>
      </c>
      <c r="BU47" s="260">
        <f>'Cash Flow'!BU10</f>
        <v>24.3</v>
      </c>
      <c r="BV47" s="260">
        <f>'Cash Flow'!BV10</f>
        <v>93.3</v>
      </c>
      <c r="BW47" s="260">
        <f>'Cash Flow'!BW10</f>
        <v>24.4</v>
      </c>
      <c r="BX47" s="260">
        <f>'Cash Flow'!BX10</f>
        <v>25.1</v>
      </c>
      <c r="BY47" s="260">
        <f>'Cash Flow'!BY10</f>
        <v>26.799999999999997</v>
      </c>
      <c r="BZ47" s="260">
        <f>'Cash Flow'!BZ10</f>
        <v>28.200000000000003</v>
      </c>
      <c r="CA47" s="260">
        <f>'Cash Flow'!CA10</f>
        <v>104.5</v>
      </c>
      <c r="CB47" s="260">
        <f>'Cash Flow'!CB10</f>
        <v>29.8</v>
      </c>
      <c r="CC47" s="260">
        <f>'Cash Flow'!CC10</f>
        <v>29.8</v>
      </c>
      <c r="CD47" s="260">
        <f>'Cash Flow'!CD10</f>
        <v>31.2</v>
      </c>
      <c r="CE47" s="260">
        <f>'Cash Flow'!CE10</f>
        <v>32.299999999999997</v>
      </c>
      <c r="CF47" s="260">
        <f>'Cash Flow'!CF10</f>
        <v>123.1</v>
      </c>
      <c r="CG47" s="260">
        <f>'Cash Flow'!CG10</f>
        <v>38.700000000000003</v>
      </c>
      <c r="CH47" s="260">
        <f>'Cash Flow'!CH10</f>
        <v>34</v>
      </c>
      <c r="CI47" s="260">
        <f>'Cash Flow'!CI10</f>
        <v>34.399999999999991</v>
      </c>
      <c r="CJ47" s="260">
        <f>'Cash Flow'!CJ10</f>
        <v>34.599999999999994</v>
      </c>
      <c r="CK47" s="336">
        <f>'Cash Flow'!CK10</f>
        <v>141.69999999999999</v>
      </c>
      <c r="CL47" s="198">
        <f>'Cash Flow'!CL10</f>
        <v>35.5</v>
      </c>
      <c r="CM47" s="198">
        <f>'Cash Flow'!CM10</f>
        <v>36</v>
      </c>
      <c r="CN47" s="198">
        <f>'Cash Flow'!CN10</f>
        <v>37</v>
      </c>
      <c r="CO47" s="198">
        <f>'Cash Flow'!CO10</f>
        <v>39</v>
      </c>
      <c r="CP47" s="260">
        <f>'Cash Flow'!CP10</f>
        <v>147.5</v>
      </c>
      <c r="CQ47" s="282">
        <f>'Cash Flow'!CQ10</f>
        <v>155</v>
      </c>
      <c r="CR47" s="205">
        <f>'Cash Flow'!CR10</f>
        <v>150</v>
      </c>
      <c r="CS47" s="205">
        <f>'Cash Flow'!CS10</f>
        <v>145</v>
      </c>
      <c r="CZ47" s="166"/>
      <c r="DA47" s="166"/>
      <c r="DB47" s="166"/>
      <c r="DC47" s="166"/>
      <c r="DD47" s="166"/>
      <c r="DE47" s="166"/>
      <c r="DF47" s="166"/>
      <c r="DG47" s="166"/>
    </row>
    <row r="48" spans="1:121" ht="12" customHeight="1">
      <c r="B48" s="338" t="s">
        <v>129</v>
      </c>
      <c r="C48" s="339">
        <f t="shared" ref="C48:M48" si="48">C47+C46</f>
        <v>112.25400000000006</v>
      </c>
      <c r="D48" s="339">
        <f t="shared" si="48"/>
        <v>154.48100000000014</v>
      </c>
      <c r="E48" s="339">
        <f t="shared" si="48"/>
        <v>116.80000000000001</v>
      </c>
      <c r="F48" s="339">
        <f t="shared" si="48"/>
        <v>121.00000000000009</v>
      </c>
      <c r="G48" s="339">
        <f t="shared" si="48"/>
        <v>-265.50000000000006</v>
      </c>
      <c r="H48" s="339">
        <f t="shared" si="48"/>
        <v>107.39999999999995</v>
      </c>
      <c r="I48" s="339">
        <f t="shared" si="48"/>
        <v>110</v>
      </c>
      <c r="J48" s="339">
        <f t="shared" si="48"/>
        <v>37.000000000000028</v>
      </c>
      <c r="K48" s="339">
        <f t="shared" si="48"/>
        <v>39.099999999999994</v>
      </c>
      <c r="L48" s="339">
        <f t="shared" si="48"/>
        <v>31.000000000000032</v>
      </c>
      <c r="M48" s="339">
        <f t="shared" si="48"/>
        <v>33.69999999999991</v>
      </c>
      <c r="N48" s="339">
        <f>SUM(J48:M48)</f>
        <v>140.79999999999995</v>
      </c>
      <c r="O48" s="339">
        <f>O47+O46</f>
        <v>45.2</v>
      </c>
      <c r="P48" s="339">
        <f>P47+P46</f>
        <v>48.700000000000017</v>
      </c>
      <c r="Q48" s="339">
        <f>Q47+Q46</f>
        <v>20.100000000000033</v>
      </c>
      <c r="R48" s="339">
        <f>R47+R46</f>
        <v>37.499999999999972</v>
      </c>
      <c r="S48" s="339">
        <f>SUM(O48:R48)</f>
        <v>151.50000000000003</v>
      </c>
      <c r="T48" s="339">
        <f>T47+T46</f>
        <v>41.399999999999991</v>
      </c>
      <c r="U48" s="339">
        <f>U47+U46</f>
        <v>46.099999999999987</v>
      </c>
      <c r="V48" s="339">
        <f>V47+V46</f>
        <v>36.000000000000036</v>
      </c>
      <c r="W48" s="339">
        <f>W47+W46</f>
        <v>26.29999999999999</v>
      </c>
      <c r="X48" s="339">
        <f>SUM(T48:W48)</f>
        <v>149.79999999999998</v>
      </c>
      <c r="Y48" s="339">
        <f>Y47+Y46</f>
        <v>39.600000000000023</v>
      </c>
      <c r="Z48" s="339">
        <f>Z47+Z46</f>
        <v>43.900000000000006</v>
      </c>
      <c r="AA48" s="339">
        <f>AA47+AA46</f>
        <v>40.400000000000034</v>
      </c>
      <c r="AB48" s="339">
        <f>AB47+AB46</f>
        <v>30.899999999999835</v>
      </c>
      <c r="AC48" s="339">
        <f>SUM(Y48:AB48)</f>
        <v>154.7999999999999</v>
      </c>
      <c r="AD48" s="339">
        <f>AD47+AD46</f>
        <v>47.400000000000027</v>
      </c>
      <c r="AE48" s="339">
        <f>AE47+AE46</f>
        <v>40.700000000000024</v>
      </c>
      <c r="AF48" s="339">
        <f>AF47+AF46</f>
        <v>46.699999999999967</v>
      </c>
      <c r="AG48" s="339">
        <f>AG47+AG46</f>
        <v>39.999999999999851</v>
      </c>
      <c r="AH48" s="339">
        <f>SUM(AD48:AG48)</f>
        <v>174.79999999999987</v>
      </c>
      <c r="AI48" s="339">
        <f>AI47+AI46</f>
        <v>50.800000000000004</v>
      </c>
      <c r="AJ48" s="339">
        <f>AJ47+AJ46</f>
        <v>41.300000000000026</v>
      </c>
      <c r="AK48" s="339">
        <f>AK47+AK46</f>
        <v>31.600000000000016</v>
      </c>
      <c r="AL48" s="339">
        <f>AL47+AL46</f>
        <v>26.600000000000009</v>
      </c>
      <c r="AM48" s="339">
        <f>SUM(AI48:AL48)</f>
        <v>150.30000000000007</v>
      </c>
      <c r="AN48" s="339">
        <f>AN47+AN46</f>
        <v>35.799999999999997</v>
      </c>
      <c r="AO48" s="339">
        <f>AO47+AO46</f>
        <v>54.10000000000003</v>
      </c>
      <c r="AP48" s="339">
        <f>AP47+AP46</f>
        <v>48.199999999999996</v>
      </c>
      <c r="AQ48" s="339">
        <f>AQ47+AQ46</f>
        <v>44.89999999999992</v>
      </c>
      <c r="AR48" s="339">
        <f>SUM(AN48:AQ48)</f>
        <v>182.99999999999994</v>
      </c>
      <c r="AS48" s="339">
        <f>AS47+AS46</f>
        <v>61.300000000000033</v>
      </c>
      <c r="AT48" s="339">
        <f>AT47+AT46</f>
        <v>63.199999999999996</v>
      </c>
      <c r="AU48" s="339">
        <f>AU47+AU46</f>
        <v>59.7</v>
      </c>
      <c r="AV48" s="339">
        <f>AV47+AV46</f>
        <v>63.100000000000016</v>
      </c>
      <c r="AW48" s="339">
        <f>SUM(AS48:AV48)</f>
        <v>247.30000000000007</v>
      </c>
      <c r="AX48" s="339">
        <f>AX47+AX46</f>
        <v>74.600000000000037</v>
      </c>
      <c r="AY48" s="339">
        <f>AY47+AY46</f>
        <v>88.2</v>
      </c>
      <c r="AZ48" s="339">
        <f>AZ47+AZ46</f>
        <v>74.700000000000045</v>
      </c>
      <c r="BA48" s="339">
        <f>BA47+BA46</f>
        <v>68.500000000000028</v>
      </c>
      <c r="BB48" s="340">
        <f>SUM(AX48:BA48)</f>
        <v>306.00000000000011</v>
      </c>
      <c r="BC48" s="340">
        <f t="shared" ref="BC48:CS48" si="49">BC47+BC46</f>
        <v>77.3</v>
      </c>
      <c r="BD48" s="340">
        <f t="shared" si="49"/>
        <v>85.700000000000017</v>
      </c>
      <c r="BE48" s="340">
        <f t="shared" si="49"/>
        <v>83.700000000000017</v>
      </c>
      <c r="BF48" s="340">
        <f t="shared" si="49"/>
        <v>83.500000000000014</v>
      </c>
      <c r="BG48" s="340">
        <f t="shared" si="49"/>
        <v>330.20000000000005</v>
      </c>
      <c r="BH48" s="340">
        <f t="shared" si="49"/>
        <v>91.699999999999989</v>
      </c>
      <c r="BI48" s="340">
        <f t="shared" si="49"/>
        <v>92.800000000000011</v>
      </c>
      <c r="BJ48" s="340">
        <f t="shared" si="49"/>
        <v>96.800000000000011</v>
      </c>
      <c r="BK48" s="340">
        <f t="shared" si="49"/>
        <v>95.700000000000017</v>
      </c>
      <c r="BL48" s="340">
        <f t="shared" si="49"/>
        <v>377</v>
      </c>
      <c r="BM48" s="340">
        <f t="shared" si="49"/>
        <v>100.9</v>
      </c>
      <c r="BN48" s="340">
        <f t="shared" si="49"/>
        <v>109.49999999999997</v>
      </c>
      <c r="BO48" s="340">
        <f t="shared" si="49"/>
        <v>97.300000000000026</v>
      </c>
      <c r="BP48" s="340">
        <f t="shared" si="49"/>
        <v>101.09999999999997</v>
      </c>
      <c r="BQ48" s="340">
        <f t="shared" si="49"/>
        <v>408.79999999999995</v>
      </c>
      <c r="BR48" s="340">
        <f t="shared" si="49"/>
        <v>106.1</v>
      </c>
      <c r="BS48" s="340">
        <f t="shared" si="49"/>
        <v>123.40000000000002</v>
      </c>
      <c r="BT48" s="340">
        <f t="shared" si="49"/>
        <v>112.6</v>
      </c>
      <c r="BU48" s="340">
        <f t="shared" si="49"/>
        <v>111.30000000000003</v>
      </c>
      <c r="BV48" s="340">
        <f t="shared" si="49"/>
        <v>453.40000000000003</v>
      </c>
      <c r="BW48" s="340">
        <f t="shared" si="49"/>
        <v>103.00000000000003</v>
      </c>
      <c r="BX48" s="340">
        <f t="shared" si="49"/>
        <v>114.80000000000004</v>
      </c>
      <c r="BY48" s="340">
        <f t="shared" si="49"/>
        <v>115.90000000000002</v>
      </c>
      <c r="BZ48" s="340">
        <f t="shared" si="49"/>
        <v>121.39999999999999</v>
      </c>
      <c r="CA48" s="340">
        <f t="shared" si="49"/>
        <v>455.10000000000008</v>
      </c>
      <c r="CB48" s="340">
        <f t="shared" si="49"/>
        <v>112.20000000000002</v>
      </c>
      <c r="CC48" s="340">
        <f t="shared" si="49"/>
        <v>126.30000000000001</v>
      </c>
      <c r="CD48" s="340">
        <f t="shared" si="49"/>
        <v>127.7</v>
      </c>
      <c r="CE48" s="340">
        <f t="shared" si="49"/>
        <v>128.09999999999997</v>
      </c>
      <c r="CF48" s="340">
        <f t="shared" si="49"/>
        <v>494.29999999999995</v>
      </c>
      <c r="CG48" s="340">
        <f t="shared" si="49"/>
        <v>141.5</v>
      </c>
      <c r="CH48" s="340">
        <f t="shared" si="49"/>
        <v>149.10000000000002</v>
      </c>
      <c r="CI48" s="340">
        <f t="shared" si="49"/>
        <v>144.29999999999995</v>
      </c>
      <c r="CJ48" s="340">
        <f t="shared" si="49"/>
        <v>131.99999999999994</v>
      </c>
      <c r="CK48" s="341">
        <f t="shared" si="49"/>
        <v>566.89999999999986</v>
      </c>
      <c r="CL48" s="302">
        <f t="shared" si="49"/>
        <v>101.19999999999997</v>
      </c>
      <c r="CM48" s="302">
        <f t="shared" si="49"/>
        <v>50.510415200000004</v>
      </c>
      <c r="CN48" s="302">
        <f t="shared" si="49"/>
        <v>70.653119800000013</v>
      </c>
      <c r="CO48" s="302">
        <f t="shared" si="49"/>
        <v>89.117176200000003</v>
      </c>
      <c r="CP48" s="301">
        <f t="shared" si="49"/>
        <v>311.48071119999997</v>
      </c>
      <c r="CQ48" s="291">
        <f t="shared" si="49"/>
        <v>366.96823851299996</v>
      </c>
      <c r="CR48" s="231">
        <f t="shared" si="49"/>
        <v>403.221567195332</v>
      </c>
      <c r="CS48" s="231">
        <f t="shared" si="49"/>
        <v>449.21782490909698</v>
      </c>
    </row>
    <row r="49" spans="1:129" ht="12" customHeight="1"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  <c r="AD49" s="260"/>
      <c r="AE49" s="260"/>
      <c r="AF49" s="260"/>
      <c r="AG49" s="260"/>
      <c r="AH49" s="260"/>
      <c r="AI49" s="260"/>
      <c r="AJ49" s="260"/>
      <c r="AK49" s="260"/>
      <c r="AL49" s="260"/>
      <c r="AM49" s="260"/>
      <c r="AN49" s="260"/>
      <c r="AO49" s="260"/>
      <c r="AP49" s="260"/>
      <c r="AQ49" s="260"/>
      <c r="AR49" s="260"/>
      <c r="AS49" s="260"/>
      <c r="AT49" s="260"/>
      <c r="AU49" s="260"/>
      <c r="AV49" s="260"/>
      <c r="AW49" s="260"/>
      <c r="AX49" s="260"/>
      <c r="AY49" s="260"/>
      <c r="AZ49" s="260"/>
      <c r="BA49" s="260"/>
      <c r="BB49" s="260"/>
      <c r="BC49" s="260"/>
      <c r="BD49" s="260"/>
      <c r="BE49" s="260"/>
      <c r="BF49" s="260"/>
      <c r="BG49" s="260"/>
      <c r="BH49" s="260"/>
      <c r="BI49" s="260"/>
      <c r="BJ49" s="260"/>
      <c r="BK49" s="260"/>
      <c r="BL49" s="260"/>
      <c r="BM49" s="260"/>
      <c r="BN49" s="260"/>
      <c r="BO49" s="260"/>
      <c r="BP49" s="260"/>
      <c r="BQ49" s="260"/>
      <c r="BR49" s="260"/>
      <c r="BS49" s="260"/>
      <c r="BT49" s="260"/>
      <c r="BU49" s="260"/>
      <c r="BV49" s="260"/>
      <c r="BW49" s="260"/>
      <c r="BX49" s="260"/>
      <c r="BY49" s="260"/>
      <c r="BZ49" s="260"/>
      <c r="CA49" s="260"/>
      <c r="CB49" s="260"/>
      <c r="CC49" s="260"/>
      <c r="CD49" s="260"/>
      <c r="CE49" s="260"/>
      <c r="CF49" s="260"/>
      <c r="CG49" s="260"/>
      <c r="CH49" s="260"/>
      <c r="CI49" s="260"/>
      <c r="CJ49" s="260"/>
      <c r="CK49" s="260"/>
      <c r="CL49" s="198"/>
      <c r="CM49" s="198"/>
      <c r="CN49" s="198"/>
      <c r="CO49" s="198"/>
      <c r="CP49" s="260"/>
      <c r="CQ49" s="282"/>
      <c r="CR49" s="205"/>
      <c r="CS49" s="205"/>
      <c r="CZ49" s="166"/>
      <c r="DA49" s="166"/>
      <c r="DB49" s="166"/>
      <c r="DC49" s="166"/>
      <c r="DD49" s="166"/>
      <c r="DE49" s="166"/>
      <c r="DF49" s="166"/>
      <c r="DG49" s="166"/>
    </row>
    <row r="50" spans="1:129" ht="12" customHeight="1">
      <c r="B50" s="342" t="s">
        <v>130</v>
      </c>
      <c r="C50" s="333"/>
      <c r="D50" s="333"/>
      <c r="E50" s="333"/>
      <c r="F50" s="333"/>
      <c r="G50" s="333"/>
      <c r="H50" s="333"/>
      <c r="I50" s="333"/>
      <c r="J50" s="333"/>
      <c r="K50" s="333"/>
      <c r="L50" s="333"/>
      <c r="M50" s="333"/>
      <c r="N50" s="333"/>
      <c r="O50" s="333"/>
      <c r="P50" s="333"/>
      <c r="Q50" s="333"/>
      <c r="R50" s="333"/>
      <c r="S50" s="333"/>
      <c r="T50" s="333"/>
      <c r="U50" s="333"/>
      <c r="V50" s="333"/>
      <c r="W50" s="333"/>
      <c r="X50" s="333"/>
      <c r="Y50" s="333"/>
      <c r="Z50" s="333"/>
      <c r="AA50" s="333"/>
      <c r="AB50" s="333"/>
      <c r="AC50" s="333"/>
      <c r="AD50" s="333"/>
      <c r="AE50" s="333"/>
      <c r="AF50" s="333"/>
      <c r="AG50" s="333"/>
      <c r="AH50" s="333"/>
      <c r="AI50" s="333"/>
      <c r="AJ50" s="333"/>
      <c r="AK50" s="333"/>
      <c r="AL50" s="333"/>
      <c r="AM50" s="333"/>
      <c r="AN50" s="333"/>
      <c r="AO50" s="333"/>
      <c r="AP50" s="333"/>
      <c r="AQ50" s="333"/>
      <c r="AR50" s="333"/>
      <c r="AS50" s="333"/>
      <c r="AT50" s="333"/>
      <c r="AU50" s="333"/>
      <c r="AV50" s="333"/>
      <c r="AW50" s="333"/>
      <c r="AX50" s="333"/>
      <c r="AY50" s="333"/>
      <c r="AZ50" s="333"/>
      <c r="BA50" s="333"/>
      <c r="BB50" s="333"/>
      <c r="BC50" s="333"/>
      <c r="BD50" s="333"/>
      <c r="BE50" s="333"/>
      <c r="BF50" s="333"/>
      <c r="BG50" s="333"/>
      <c r="BH50" s="333"/>
      <c r="BI50" s="333"/>
      <c r="BJ50" s="333"/>
      <c r="BK50" s="333"/>
      <c r="BL50" s="333"/>
      <c r="BM50" s="333"/>
      <c r="BN50" s="333"/>
      <c r="BO50" s="333"/>
      <c r="BP50" s="333"/>
      <c r="BQ50" s="333"/>
      <c r="BR50" s="333"/>
      <c r="BS50" s="333"/>
      <c r="BT50" s="333"/>
      <c r="BU50" s="333"/>
      <c r="BV50" s="333"/>
      <c r="BW50" s="333"/>
      <c r="BX50" s="333"/>
      <c r="BY50" s="333"/>
      <c r="BZ50" s="333"/>
      <c r="CA50" s="333"/>
      <c r="CB50" s="333"/>
      <c r="CC50" s="333"/>
      <c r="CD50" s="333"/>
      <c r="CE50" s="333"/>
      <c r="CF50" s="333"/>
      <c r="CG50" s="333"/>
      <c r="CH50" s="333"/>
      <c r="CI50" s="333"/>
      <c r="CJ50" s="333"/>
      <c r="CK50" s="334"/>
      <c r="CL50" s="198"/>
      <c r="CM50" s="198"/>
      <c r="CN50" s="198"/>
      <c r="CO50" s="198"/>
      <c r="CP50" s="260"/>
      <c r="CQ50" s="282"/>
      <c r="CR50" s="205"/>
      <c r="CS50" s="205"/>
    </row>
    <row r="51" spans="1:129" ht="12" customHeight="1">
      <c r="B51" s="343" t="s">
        <v>131</v>
      </c>
      <c r="C51" s="303">
        <f t="shared" ref="C51:AH51" si="50">IF(ISERROR(C8/C6),"",C8/C6)</f>
        <v>0.23763762802141214</v>
      </c>
      <c r="D51" s="303">
        <f t="shared" si="50"/>
        <v>0.24907992698183004</v>
      </c>
      <c r="E51" s="303">
        <f t="shared" si="50"/>
        <v>0.2105948762483717</v>
      </c>
      <c r="F51" s="303">
        <f t="shared" si="50"/>
        <v>0.21919105806573844</v>
      </c>
      <c r="G51" s="303">
        <f t="shared" si="50"/>
        <v>0.1890231820883693</v>
      </c>
      <c r="H51" s="303">
        <f t="shared" si="50"/>
        <v>0.18958627174424067</v>
      </c>
      <c r="I51" s="303">
        <f t="shared" si="50"/>
        <v>0.19455903668190433</v>
      </c>
      <c r="J51" s="303">
        <f t="shared" si="50"/>
        <v>0.20776255707762564</v>
      </c>
      <c r="K51" s="303">
        <f t="shared" si="50"/>
        <v>0.22593681116825864</v>
      </c>
      <c r="L51" s="303">
        <f t="shared" si="50"/>
        <v>0.20866590649942998</v>
      </c>
      <c r="M51" s="303">
        <f t="shared" si="50"/>
        <v>0.21020260492040491</v>
      </c>
      <c r="N51" s="303">
        <f t="shared" si="50"/>
        <v>0.2132154490460679</v>
      </c>
      <c r="O51" s="303">
        <f t="shared" si="50"/>
        <v>0.22642807983482452</v>
      </c>
      <c r="P51" s="303">
        <f t="shared" si="50"/>
        <v>0.22679087696755548</v>
      </c>
      <c r="Q51" s="303">
        <f t="shared" si="50"/>
        <v>0.21113521330441082</v>
      </c>
      <c r="R51" s="303">
        <f t="shared" si="50"/>
        <v>0.20996818663838807</v>
      </c>
      <c r="S51" s="303">
        <f t="shared" si="50"/>
        <v>0.21887377303254696</v>
      </c>
      <c r="T51" s="303">
        <f t="shared" si="50"/>
        <v>0.23159609120521171</v>
      </c>
      <c r="U51" s="303">
        <f t="shared" si="50"/>
        <v>0.22689873417721515</v>
      </c>
      <c r="V51" s="303">
        <f t="shared" si="50"/>
        <v>0.20754064337599454</v>
      </c>
      <c r="W51" s="303">
        <f t="shared" si="50"/>
        <v>0.22064056939501789</v>
      </c>
      <c r="X51" s="303">
        <f t="shared" si="50"/>
        <v>0.22194283798508091</v>
      </c>
      <c r="Y51" s="303">
        <f t="shared" si="50"/>
        <v>0.2530077848549187</v>
      </c>
      <c r="Z51" s="303">
        <f t="shared" si="50"/>
        <v>0.24292615596963424</v>
      </c>
      <c r="AA51" s="303">
        <f t="shared" si="50"/>
        <v>0.23799359658484534</v>
      </c>
      <c r="AB51" s="303">
        <f t="shared" si="50"/>
        <v>0.23394206549118352</v>
      </c>
      <c r="AC51" s="303">
        <f t="shared" si="50"/>
        <v>0.24173853641875154</v>
      </c>
      <c r="AD51" s="303">
        <f t="shared" si="50"/>
        <v>0.23251088534107409</v>
      </c>
      <c r="AE51" s="303">
        <f t="shared" si="50"/>
        <v>0.21168289290681508</v>
      </c>
      <c r="AF51" s="303">
        <f t="shared" si="50"/>
        <v>0.21454435727217855</v>
      </c>
      <c r="AG51" s="303">
        <f t="shared" si="50"/>
        <v>0.21381692573402372</v>
      </c>
      <c r="AH51" s="303">
        <f t="shared" si="50"/>
        <v>0.21828062495282652</v>
      </c>
      <c r="AI51" s="303">
        <f t="shared" ref="AI51:BN51" si="51">IF(ISERROR(AI8/AI6),"",AI8/AI6)</f>
        <v>0.25056947608200453</v>
      </c>
      <c r="AJ51" s="303">
        <f t="shared" si="51"/>
        <v>0.22755138838802749</v>
      </c>
      <c r="AK51" s="303">
        <f t="shared" si="51"/>
        <v>0.20264488525865429</v>
      </c>
      <c r="AL51" s="303">
        <f t="shared" si="51"/>
        <v>0.21117779444861218</v>
      </c>
      <c r="AM51" s="303">
        <f t="shared" si="51"/>
        <v>0.22421726969232159</v>
      </c>
      <c r="AN51" s="303">
        <f t="shared" si="51"/>
        <v>0.25133079847908746</v>
      </c>
      <c r="AO51" s="303">
        <f t="shared" si="51"/>
        <v>0.25696492953130129</v>
      </c>
      <c r="AP51" s="303">
        <f t="shared" si="51"/>
        <v>0.23938879456706283</v>
      </c>
      <c r="AQ51" s="303">
        <f t="shared" si="51"/>
        <v>0.21736334405144672</v>
      </c>
      <c r="AR51" s="303">
        <f t="shared" si="51"/>
        <v>0.24079754601226988</v>
      </c>
      <c r="AS51" s="303">
        <f t="shared" si="51"/>
        <v>0.25030156815440296</v>
      </c>
      <c r="AT51" s="303">
        <f t="shared" si="51"/>
        <v>0.24597116200169636</v>
      </c>
      <c r="AU51" s="303">
        <f t="shared" si="51"/>
        <v>0.2458783399658897</v>
      </c>
      <c r="AV51" s="303">
        <f t="shared" si="51"/>
        <v>0.24092316352378276</v>
      </c>
      <c r="AW51" s="303">
        <f t="shared" si="51"/>
        <v>0.24569089342143066</v>
      </c>
      <c r="AX51" s="303">
        <f t="shared" si="51"/>
        <v>0.26593351662084486</v>
      </c>
      <c r="AY51" s="303">
        <f t="shared" si="51"/>
        <v>0.26427855711422849</v>
      </c>
      <c r="AZ51" s="303">
        <f t="shared" si="51"/>
        <v>0.25331971399387138</v>
      </c>
      <c r="BA51" s="303">
        <f t="shared" si="51"/>
        <v>0.24683707720113612</v>
      </c>
      <c r="BB51" s="312">
        <f t="shared" si="51"/>
        <v>0.2576986440248385</v>
      </c>
      <c r="BC51" s="312">
        <f t="shared" si="51"/>
        <v>0.26890756302521007</v>
      </c>
      <c r="BD51" s="312">
        <f t="shared" si="51"/>
        <v>0.27638428774254614</v>
      </c>
      <c r="BE51" s="312">
        <f t="shared" si="51"/>
        <v>0.27188940092165903</v>
      </c>
      <c r="BF51" s="312">
        <f t="shared" si="51"/>
        <v>0.26499531396438619</v>
      </c>
      <c r="BG51" s="312">
        <f t="shared" si="51"/>
        <v>0.27052794660946256</v>
      </c>
      <c r="BH51" s="312">
        <f t="shared" si="51"/>
        <v>0.27983539094650206</v>
      </c>
      <c r="BI51" s="312">
        <f t="shared" si="51"/>
        <v>0.27462242076154014</v>
      </c>
      <c r="BJ51" s="312">
        <f t="shared" si="51"/>
        <v>0.26997123257357825</v>
      </c>
      <c r="BK51" s="312">
        <f t="shared" si="51"/>
        <v>0.27236116998728271</v>
      </c>
      <c r="BL51" s="312">
        <f t="shared" si="51"/>
        <v>0.27421180274858531</v>
      </c>
      <c r="BM51" s="312">
        <f t="shared" si="51"/>
        <v>0.30055108096651123</v>
      </c>
      <c r="BN51" s="312">
        <f t="shared" si="51"/>
        <v>0.29241118351902451</v>
      </c>
      <c r="BO51" s="312">
        <f t="shared" ref="BO51:CS51" si="52">IF(ISERROR(BO8/BO6),"",BO8/BO6)</f>
        <v>0.27651515151515155</v>
      </c>
      <c r="BP51" s="312">
        <f t="shared" si="52"/>
        <v>0.27489782748978264</v>
      </c>
      <c r="BQ51" s="312">
        <f t="shared" si="52"/>
        <v>0.28626692456479691</v>
      </c>
      <c r="BR51" s="312">
        <f t="shared" si="52"/>
        <v>0.28732167972674305</v>
      </c>
      <c r="BS51" s="312">
        <f t="shared" si="52"/>
        <v>0.28760045924225031</v>
      </c>
      <c r="BT51" s="312">
        <f t="shared" si="52"/>
        <v>0.27112887112887113</v>
      </c>
      <c r="BU51" s="312">
        <f t="shared" si="52"/>
        <v>0.2804550155118925</v>
      </c>
      <c r="BV51" s="312">
        <f t="shared" si="52"/>
        <v>0.28169435713216584</v>
      </c>
      <c r="BW51" s="312">
        <f t="shared" si="52"/>
        <v>0.28007518796992487</v>
      </c>
      <c r="BX51" s="312">
        <f t="shared" si="52"/>
        <v>0.28475473234276416</v>
      </c>
      <c r="BY51" s="312">
        <f t="shared" si="52"/>
        <v>0.27589013224821979</v>
      </c>
      <c r="BZ51" s="312">
        <f t="shared" si="52"/>
        <v>0.27789720539378543</v>
      </c>
      <c r="CA51" s="312">
        <f t="shared" si="52"/>
        <v>0.27963310191050528</v>
      </c>
      <c r="CB51" s="312">
        <f t="shared" si="52"/>
        <v>0.26402518052212559</v>
      </c>
      <c r="CC51" s="312">
        <f t="shared" si="52"/>
        <v>0.26447488584474887</v>
      </c>
      <c r="CD51" s="312">
        <f t="shared" si="52"/>
        <v>0.26456984273820539</v>
      </c>
      <c r="CE51" s="312">
        <f t="shared" si="52"/>
        <v>0.26809269162210336</v>
      </c>
      <c r="CF51" s="312">
        <f t="shared" si="52"/>
        <v>0.265314512813485</v>
      </c>
      <c r="CG51" s="312">
        <f t="shared" si="52"/>
        <v>0.27414330218068533</v>
      </c>
      <c r="CH51" s="312">
        <f t="shared" si="52"/>
        <v>0.27717569786535307</v>
      </c>
      <c r="CI51" s="312">
        <f t="shared" si="52"/>
        <v>0.27580786026200871</v>
      </c>
      <c r="CJ51" s="312">
        <f t="shared" si="52"/>
        <v>0.25961368066631219</v>
      </c>
      <c r="CK51" s="344">
        <f t="shared" si="52"/>
        <v>0.27185125440421104</v>
      </c>
      <c r="CL51" s="313">
        <f t="shared" si="52"/>
        <v>0.26044362292051754</v>
      </c>
      <c r="CM51" s="313">
        <f t="shared" si="52"/>
        <v>0.14619679140122099</v>
      </c>
      <c r="CN51" s="313">
        <f t="shared" si="52"/>
        <v>0.19374608103379115</v>
      </c>
      <c r="CO51" s="313">
        <f t="shared" si="52"/>
        <v>0.21852120470280423</v>
      </c>
      <c r="CP51" s="312">
        <f t="shared" si="52"/>
        <v>0.21367312701862698</v>
      </c>
      <c r="CQ51" s="314">
        <f t="shared" si="52"/>
        <v>0.22839521454154538</v>
      </c>
      <c r="CR51" s="315">
        <f t="shared" si="52"/>
        <v>0.23977940290759669</v>
      </c>
      <c r="CS51" s="315">
        <f t="shared" si="52"/>
        <v>0.25116052101866287</v>
      </c>
      <c r="DO51" s="156">
        <v>2016</v>
      </c>
      <c r="DP51" s="156">
        <f>DO51+1</f>
        <v>2017</v>
      </c>
      <c r="DQ51" s="156">
        <f>DP51+1</f>
        <v>2018</v>
      </c>
      <c r="DR51" s="156">
        <f>DQ51+1</f>
        <v>2019</v>
      </c>
      <c r="DT51" s="156">
        <f>DR51+1</f>
        <v>2020</v>
      </c>
      <c r="DU51" s="165">
        <f>DT51+1</f>
        <v>2021</v>
      </c>
      <c r="DV51" s="165">
        <f>DU51+1</f>
        <v>2022</v>
      </c>
    </row>
    <row r="52" spans="1:129" ht="12" customHeight="1">
      <c r="B52" s="343" t="s">
        <v>132</v>
      </c>
      <c r="C52" s="303">
        <f t="shared" ref="C52:AH52" si="53">IF(ISERROR(-C10/C6),"",(-C10/C6))</f>
        <v>1.9622033292238394E-2</v>
      </c>
      <c r="D52" s="303">
        <f t="shared" si="53"/>
        <v>2.1692420140967672E-2</v>
      </c>
      <c r="E52" s="303">
        <f t="shared" si="53"/>
        <v>2.1537125488493271E-2</v>
      </c>
      <c r="F52" s="303">
        <f t="shared" si="53"/>
        <v>2.0081462536705501E-2</v>
      </c>
      <c r="G52" s="303">
        <f t="shared" si="53"/>
        <v>1.8426788191004559E-2</v>
      </c>
      <c r="H52" s="303">
        <f t="shared" si="53"/>
        <v>1.7277856135401976E-2</v>
      </c>
      <c r="I52" s="303">
        <f t="shared" si="53"/>
        <v>1.9734641543092873E-2</v>
      </c>
      <c r="J52" s="303">
        <f t="shared" si="53"/>
        <v>1.8645357686453576E-2</v>
      </c>
      <c r="K52" s="303">
        <f t="shared" si="53"/>
        <v>1.8368846436443792E-2</v>
      </c>
      <c r="L52" s="303">
        <f t="shared" si="53"/>
        <v>2.0144431774990496E-2</v>
      </c>
      <c r="M52" s="303">
        <f t="shared" si="53"/>
        <v>2.2069464544138936E-2</v>
      </c>
      <c r="N52" s="303">
        <f t="shared" si="53"/>
        <v>1.9823173569101907E-2</v>
      </c>
      <c r="O52" s="303">
        <f t="shared" si="53"/>
        <v>1.9614590502408807E-2</v>
      </c>
      <c r="P52" s="303">
        <f t="shared" si="53"/>
        <v>1.9274012206874396E-2</v>
      </c>
      <c r="Q52" s="303">
        <f t="shared" si="53"/>
        <v>2.1691973969631236E-2</v>
      </c>
      <c r="R52" s="303">
        <f t="shared" si="53"/>
        <v>2.7218098267939202E-2</v>
      </c>
      <c r="S52" s="303">
        <f t="shared" si="53"/>
        <v>2.1870156707422074E-2</v>
      </c>
      <c r="T52" s="303">
        <f t="shared" si="53"/>
        <v>2.4755700325732898E-2</v>
      </c>
      <c r="U52" s="303">
        <f t="shared" si="53"/>
        <v>2.3734177215189875E-2</v>
      </c>
      <c r="V52" s="303">
        <f t="shared" si="53"/>
        <v>2.1791767554479417E-2</v>
      </c>
      <c r="W52" s="303">
        <f t="shared" si="53"/>
        <v>3.2028469750889695E-2</v>
      </c>
      <c r="X52" s="303">
        <f t="shared" si="53"/>
        <v>2.5479842427290254E-2</v>
      </c>
      <c r="Y52" s="303">
        <f t="shared" si="53"/>
        <v>3.3616418966737435E-2</v>
      </c>
      <c r="Z52" s="303">
        <f t="shared" si="53"/>
        <v>2.9330572808833676E-2</v>
      </c>
      <c r="AA52" s="303">
        <f t="shared" si="53"/>
        <v>2.7392387050871575E-2</v>
      </c>
      <c r="AB52" s="303">
        <f t="shared" si="53"/>
        <v>2.6763224181360231E-2</v>
      </c>
      <c r="AC52" s="303">
        <f t="shared" si="53"/>
        <v>2.920331312441295E-2</v>
      </c>
      <c r="AD52" s="303">
        <f t="shared" si="53"/>
        <v>2.4673439767779391E-2</v>
      </c>
      <c r="AE52" s="303">
        <f t="shared" si="53"/>
        <v>2.2253129346314324E-2</v>
      </c>
      <c r="AF52" s="303">
        <f t="shared" si="53"/>
        <v>2.2933011466505733E-2</v>
      </c>
      <c r="AG52" s="303">
        <f t="shared" si="53"/>
        <v>2.5215889464594118E-2</v>
      </c>
      <c r="AH52" s="303">
        <f t="shared" si="53"/>
        <v>2.3699901879387121E-2</v>
      </c>
      <c r="AI52" s="303">
        <f t="shared" ref="AI52:BN52" si="54">IF(ISERROR(-AI10/AI6),"",(-AI10/AI6))</f>
        <v>2.5382362512203056E-2</v>
      </c>
      <c r="AJ52" s="303">
        <f t="shared" si="54"/>
        <v>2.3079697078975839E-2</v>
      </c>
      <c r="AK52" s="303">
        <f t="shared" si="54"/>
        <v>3.2672112018669777E-2</v>
      </c>
      <c r="AL52" s="303">
        <f t="shared" si="54"/>
        <v>2.8132033008252059E-2</v>
      </c>
      <c r="AM52" s="303">
        <f t="shared" si="54"/>
        <v>2.7158711540196695E-2</v>
      </c>
      <c r="AN52" s="303">
        <f t="shared" si="54"/>
        <v>2.8136882129277566E-2</v>
      </c>
      <c r="AO52" s="303">
        <f t="shared" si="54"/>
        <v>2.7204195345788267E-2</v>
      </c>
      <c r="AP52" s="303">
        <f t="shared" si="54"/>
        <v>2.4787775891341256E-2</v>
      </c>
      <c r="AQ52" s="303">
        <f t="shared" si="54"/>
        <v>2.5080385852090045E-2</v>
      </c>
      <c r="AR52" s="303">
        <f t="shared" si="54"/>
        <v>2.6244035446489438E-2</v>
      </c>
      <c r="AS52" s="303">
        <f t="shared" si="54"/>
        <v>2.5934861278648972E-2</v>
      </c>
      <c r="AT52" s="303">
        <f t="shared" si="54"/>
        <v>2.2335312411648291E-2</v>
      </c>
      <c r="AU52" s="303">
        <f t="shared" si="54"/>
        <v>2.2455940875497443E-2</v>
      </c>
      <c r="AV52" s="303">
        <f t="shared" si="54"/>
        <v>2.3079088094567969E-2</v>
      </c>
      <c r="AW52" s="303">
        <f t="shared" si="54"/>
        <v>2.3412812410226944E-2</v>
      </c>
      <c r="AX52" s="303">
        <f t="shared" si="54"/>
        <v>2.2994251437140713E-2</v>
      </c>
      <c r="AY52" s="303">
        <f t="shared" si="54"/>
        <v>2.154308617234469E-2</v>
      </c>
      <c r="AZ52" s="303">
        <f t="shared" si="54"/>
        <v>2.2727272727272728E-2</v>
      </c>
      <c r="BA52" s="303">
        <f t="shared" si="54"/>
        <v>2.5819777949909629E-2</v>
      </c>
      <c r="BB52" s="312">
        <f t="shared" si="54"/>
        <v>2.3254340387783547E-2</v>
      </c>
      <c r="BC52" s="312">
        <f t="shared" si="54"/>
        <v>2.6410564225690276E-2</v>
      </c>
      <c r="BD52" s="312">
        <f t="shared" si="54"/>
        <v>2.389966871746332E-2</v>
      </c>
      <c r="BE52" s="312">
        <f t="shared" si="54"/>
        <v>2.4739267523647825E-2</v>
      </c>
      <c r="BF52" s="312">
        <f t="shared" si="54"/>
        <v>2.4367385192127462E-2</v>
      </c>
      <c r="BG52" s="312">
        <f t="shared" si="54"/>
        <v>2.4848051483732571E-2</v>
      </c>
      <c r="BH52" s="312">
        <f t="shared" si="54"/>
        <v>2.9456356941737059E-2</v>
      </c>
      <c r="BI52" s="312">
        <f t="shared" si="54"/>
        <v>2.318655605190385E-2</v>
      </c>
      <c r="BJ52" s="312">
        <f t="shared" si="54"/>
        <v>2.2350077450763443E-2</v>
      </c>
      <c r="BK52" s="312">
        <f t="shared" si="54"/>
        <v>2.8189910979228489E-2</v>
      </c>
      <c r="BL52" s="312">
        <f t="shared" si="54"/>
        <v>2.5815144165992999E-2</v>
      </c>
      <c r="BM52" s="312">
        <f t="shared" si="54"/>
        <v>2.6494277236116998E-2</v>
      </c>
      <c r="BN52" s="312">
        <f t="shared" si="54"/>
        <v>2.1862518393945766E-2</v>
      </c>
      <c r="BO52" s="312">
        <f t="shared" ref="BO52:CL52" si="55">IF(ISERROR(-BO10/BO6),"",(-BO10/BO6))</f>
        <v>2.3618538324420676E-2</v>
      </c>
      <c r="BP52" s="312">
        <f t="shared" si="55"/>
        <v>2.3230802323080234E-2</v>
      </c>
      <c r="BQ52" s="312">
        <f t="shared" si="55"/>
        <v>2.3801848269933378E-2</v>
      </c>
      <c r="BR52" s="312">
        <f t="shared" si="55"/>
        <v>2.3508137432188065E-2</v>
      </c>
      <c r="BS52" s="312">
        <f t="shared" si="55"/>
        <v>2.219670876387294E-2</v>
      </c>
      <c r="BT52" s="312">
        <f t="shared" si="55"/>
        <v>2.2977022977022976E-2</v>
      </c>
      <c r="BU52" s="312">
        <f t="shared" si="55"/>
        <v>2.5025853154084798E-2</v>
      </c>
      <c r="BV52" s="312">
        <f t="shared" si="55"/>
        <v>2.33996906650701E-2</v>
      </c>
      <c r="BW52" s="312">
        <f t="shared" si="55"/>
        <v>2.6315789473684209E-2</v>
      </c>
      <c r="BX52" s="312">
        <f t="shared" si="55"/>
        <v>2.4628536535721553E-2</v>
      </c>
      <c r="BY52" s="312">
        <f t="shared" si="55"/>
        <v>2.4008138351983725E-2</v>
      </c>
      <c r="BZ52" s="312">
        <f t="shared" si="55"/>
        <v>2.5210084033613446E-2</v>
      </c>
      <c r="CA52" s="312">
        <f t="shared" si="55"/>
        <v>2.5034206658896264E-2</v>
      </c>
      <c r="CB52" s="312">
        <f t="shared" si="55"/>
        <v>2.5550823921496019E-2</v>
      </c>
      <c r="CC52" s="312">
        <f t="shared" si="55"/>
        <v>2.3744292237442923E-2</v>
      </c>
      <c r="CD52" s="312">
        <f t="shared" si="55"/>
        <v>2.5716928769657726E-2</v>
      </c>
      <c r="CE52" s="312">
        <f t="shared" si="55"/>
        <v>2.709447415329768E-2</v>
      </c>
      <c r="CF52" s="312">
        <f t="shared" si="55"/>
        <v>2.5535608240829569E-2</v>
      </c>
      <c r="CG52" s="312">
        <f t="shared" si="55"/>
        <v>2.4430234464666339E-2</v>
      </c>
      <c r="CH52" s="312">
        <f t="shared" si="55"/>
        <v>2.3316912972085383E-2</v>
      </c>
      <c r="CI52" s="312">
        <f t="shared" si="55"/>
        <v>2.4803493449781659E-2</v>
      </c>
      <c r="CJ52" s="312">
        <f t="shared" si="55"/>
        <v>2.3391812865497078E-2</v>
      </c>
      <c r="CK52" s="344">
        <f t="shared" si="55"/>
        <v>2.3984378316423995E-2</v>
      </c>
      <c r="CL52" s="313">
        <f t="shared" si="55"/>
        <v>2.5878003696857672E-2</v>
      </c>
      <c r="CM52" s="316">
        <v>2.8000000000000001E-2</v>
      </c>
      <c r="CN52" s="316">
        <v>2.8000000000000001E-2</v>
      </c>
      <c r="CO52" s="316">
        <v>2.8000000000000001E-2</v>
      </c>
      <c r="CP52" s="312">
        <f>IF(ISERROR(-CP10/CP6),"",(-CP10/CP6))</f>
        <v>2.7286684487127389E-2</v>
      </c>
      <c r="CQ52" s="317">
        <v>2.8000000000000001E-2</v>
      </c>
      <c r="CR52" s="318">
        <v>2.8000000000000001E-2</v>
      </c>
      <c r="CS52" s="318">
        <v>2.8000000000000001E-2</v>
      </c>
      <c r="DL52" s="157" t="s">
        <v>547</v>
      </c>
      <c r="DM52" s="157"/>
      <c r="DN52" s="157" t="s">
        <v>129</v>
      </c>
      <c r="DO52" s="161">
        <v>455.9</v>
      </c>
      <c r="DP52" s="161">
        <v>458.4</v>
      </c>
      <c r="DQ52" s="161">
        <v>500.3</v>
      </c>
      <c r="DR52" s="161">
        <v>586.1</v>
      </c>
      <c r="DS52" s="157"/>
      <c r="DT52" s="157"/>
      <c r="DU52" s="157"/>
      <c r="DV52" s="157"/>
    </row>
    <row r="53" spans="1:129" ht="12" customHeight="1">
      <c r="B53" s="343" t="s">
        <v>87</v>
      </c>
      <c r="C53" s="303">
        <f t="shared" ref="C53:AH53" si="56">IF(ISERROR(-C9/C6),"",-C9/C6)</f>
        <v>0.10935416900160644</v>
      </c>
      <c r="D53" s="303">
        <f t="shared" si="56"/>
        <v>0.1082463151167446</v>
      </c>
      <c r="E53" s="303">
        <f t="shared" si="56"/>
        <v>0.11176726009552757</v>
      </c>
      <c r="F53" s="303">
        <f t="shared" si="56"/>
        <v>0.11736288718385905</v>
      </c>
      <c r="G53" s="303">
        <f t="shared" si="56"/>
        <v>0.11977412324152963</v>
      </c>
      <c r="H53" s="303">
        <f t="shared" si="56"/>
        <v>0.10096379877762107</v>
      </c>
      <c r="I53" s="303">
        <f t="shared" si="56"/>
        <v>0.10592039246292786</v>
      </c>
      <c r="J53" s="303">
        <f t="shared" si="56"/>
        <v>9.7031963470319629E-2</v>
      </c>
      <c r="K53" s="303">
        <f t="shared" si="56"/>
        <v>0.10360029390154299</v>
      </c>
      <c r="L53" s="303">
        <f t="shared" si="56"/>
        <v>0.10984416571645761</v>
      </c>
      <c r="M53" s="303">
        <f t="shared" si="56"/>
        <v>0.11034732272069465</v>
      </c>
      <c r="N53" s="303">
        <f t="shared" si="56"/>
        <v>0.10525825965565379</v>
      </c>
      <c r="O53" s="303">
        <f t="shared" si="56"/>
        <v>9.1534755677907781E-2</v>
      </c>
      <c r="P53" s="303">
        <f t="shared" si="56"/>
        <v>9.0587857372309663E-2</v>
      </c>
      <c r="Q53" s="303">
        <f t="shared" si="56"/>
        <v>9.7252349963846699E-2</v>
      </c>
      <c r="R53" s="303">
        <f t="shared" si="56"/>
        <v>8.801696712619303E-2</v>
      </c>
      <c r="S53" s="303">
        <f t="shared" si="56"/>
        <v>9.178577578784225E-2</v>
      </c>
      <c r="T53" s="303">
        <f t="shared" si="56"/>
        <v>9.9999999999999992E-2</v>
      </c>
      <c r="U53" s="303">
        <f t="shared" si="56"/>
        <v>9.1139240506329114E-2</v>
      </c>
      <c r="V53" s="303">
        <f t="shared" si="56"/>
        <v>9.2009685230024216E-2</v>
      </c>
      <c r="W53" s="303">
        <f t="shared" si="56"/>
        <v>9.6441281138790108E-2</v>
      </c>
      <c r="X53" s="303">
        <f t="shared" si="56"/>
        <v>9.4878886933199236E-2</v>
      </c>
      <c r="Y53" s="303">
        <f t="shared" si="56"/>
        <v>0.10969568294409057</v>
      </c>
      <c r="Z53" s="303">
        <f t="shared" si="56"/>
        <v>9.454796411318149E-2</v>
      </c>
      <c r="AA53" s="303">
        <f t="shared" si="56"/>
        <v>9.3916755602988247E-2</v>
      </c>
      <c r="AB53" s="303">
        <f t="shared" si="56"/>
        <v>9.1939546599496283E-2</v>
      </c>
      <c r="AC53" s="303">
        <f t="shared" si="56"/>
        <v>9.7344377081376485E-2</v>
      </c>
      <c r="AD53" s="303">
        <f t="shared" si="56"/>
        <v>9.2597968069666178E-2</v>
      </c>
      <c r="AE53" s="303">
        <f t="shared" si="56"/>
        <v>8.3449235048678724E-2</v>
      </c>
      <c r="AF53" s="303">
        <f t="shared" si="56"/>
        <v>8.1170790585395294E-2</v>
      </c>
      <c r="AG53" s="303">
        <f t="shared" si="56"/>
        <v>8.3246977547495715E-2</v>
      </c>
      <c r="AH53" s="303">
        <f t="shared" si="56"/>
        <v>8.5213978413465161E-2</v>
      </c>
      <c r="AI53" s="303">
        <f t="shared" ref="AI53:BN53" si="57">IF(ISERROR(-AI9/AI6),"",-AI9/AI6)</f>
        <v>9.5346566872762772E-2</v>
      </c>
      <c r="AJ53" s="303">
        <f t="shared" si="57"/>
        <v>9.123692751532636E-2</v>
      </c>
      <c r="AK53" s="303">
        <f t="shared" si="57"/>
        <v>0.10035005834305717</v>
      </c>
      <c r="AL53" s="303">
        <f t="shared" si="57"/>
        <v>0.1005251312828207</v>
      </c>
      <c r="AM53" s="303">
        <f t="shared" si="57"/>
        <v>9.6724713525218789E-2</v>
      </c>
      <c r="AN53" s="303">
        <f t="shared" si="57"/>
        <v>0.11939163498098859</v>
      </c>
      <c r="AO53" s="303">
        <f t="shared" si="57"/>
        <v>9.7017371353654541E-2</v>
      </c>
      <c r="AP53" s="303">
        <f t="shared" si="57"/>
        <v>9.7453310696095072E-2</v>
      </c>
      <c r="AQ53" s="303">
        <f t="shared" si="57"/>
        <v>9.2604501607717063E-2</v>
      </c>
      <c r="AR53" s="303">
        <f t="shared" si="57"/>
        <v>0.10097137014314929</v>
      </c>
      <c r="AS53" s="303">
        <f t="shared" si="57"/>
        <v>9.9215922798552458E-2</v>
      </c>
      <c r="AT53" s="303">
        <f t="shared" si="57"/>
        <v>8.3969465648854963E-2</v>
      </c>
      <c r="AU53" s="303">
        <f t="shared" si="57"/>
        <v>8.4991472427515632E-2</v>
      </c>
      <c r="AV53" s="303">
        <f t="shared" si="57"/>
        <v>7.8806642274134531E-2</v>
      </c>
      <c r="AW53" s="303">
        <f t="shared" si="57"/>
        <v>8.6541223786268329E-2</v>
      </c>
      <c r="AX53" s="303">
        <f t="shared" si="57"/>
        <v>9.1477130717320665E-2</v>
      </c>
      <c r="AY53" s="303">
        <f t="shared" si="57"/>
        <v>8.1412825651302603E-2</v>
      </c>
      <c r="AZ53" s="303">
        <f t="shared" si="57"/>
        <v>7.7374872318692542E-2</v>
      </c>
      <c r="BA53" s="303">
        <f t="shared" si="57"/>
        <v>8.0815904983217141E-2</v>
      </c>
      <c r="BB53" s="312">
        <f t="shared" si="57"/>
        <v>8.2815866176656941E-2</v>
      </c>
      <c r="BC53" s="312">
        <f t="shared" si="57"/>
        <v>9.1236494597839141E-2</v>
      </c>
      <c r="BD53" s="312">
        <f t="shared" si="57"/>
        <v>8.2347373402744894E-2</v>
      </c>
      <c r="BE53" s="312">
        <f t="shared" si="57"/>
        <v>7.9796264855687596E-2</v>
      </c>
      <c r="BF53" s="312">
        <f t="shared" si="57"/>
        <v>8.3645735707591387E-2</v>
      </c>
      <c r="BG53" s="312">
        <f t="shared" si="57"/>
        <v>8.4256941961625531E-2</v>
      </c>
      <c r="BH53" s="312">
        <f t="shared" si="57"/>
        <v>8.8802252544942603E-2</v>
      </c>
      <c r="BI53" s="312">
        <f t="shared" si="57"/>
        <v>7.8919378855562647E-2</v>
      </c>
      <c r="BJ53" s="312">
        <f t="shared" si="57"/>
        <v>7.2803717636645282E-2</v>
      </c>
      <c r="BK53" s="312">
        <f t="shared" si="57"/>
        <v>8.0754557015684611E-2</v>
      </c>
      <c r="BL53" s="312">
        <f t="shared" si="57"/>
        <v>8.0355699272433315E-2</v>
      </c>
      <c r="BM53" s="312">
        <f t="shared" si="57"/>
        <v>9.8982619754133111E-2</v>
      </c>
      <c r="BN53" s="312">
        <f t="shared" si="57"/>
        <v>8.0092495270128239E-2</v>
      </c>
      <c r="BO53" s="312">
        <f t="shared" ref="BO53:CL53" si="58">IF(ISERROR(-BO9/BO6),"",-BO9/BO6)</f>
        <v>7.9099821746880572E-2</v>
      </c>
      <c r="BP53" s="312">
        <f t="shared" si="58"/>
        <v>7.700580770058077E-2</v>
      </c>
      <c r="BQ53" s="312">
        <f t="shared" si="58"/>
        <v>8.3870621104663673E-2</v>
      </c>
      <c r="BR53" s="312">
        <f t="shared" si="58"/>
        <v>9.5238095238095233E-2</v>
      </c>
      <c r="BS53" s="312">
        <f t="shared" si="58"/>
        <v>7.3861461921163413E-2</v>
      </c>
      <c r="BT53" s="312">
        <f t="shared" si="58"/>
        <v>7.0129870129870139E-2</v>
      </c>
      <c r="BU53" s="312">
        <f t="shared" si="58"/>
        <v>7.5491209927611172E-2</v>
      </c>
      <c r="BV53" s="312">
        <f t="shared" si="58"/>
        <v>7.8630943471536194E-2</v>
      </c>
      <c r="BW53" s="312">
        <f t="shared" si="58"/>
        <v>8.9598997493734331E-2</v>
      </c>
      <c r="BX53" s="312">
        <f t="shared" si="58"/>
        <v>7.7549358843883573E-2</v>
      </c>
      <c r="BY53" s="312">
        <f t="shared" si="58"/>
        <v>7.0600203458799596E-2</v>
      </c>
      <c r="BZ53" s="312">
        <f t="shared" si="58"/>
        <v>7.0549149892515151E-2</v>
      </c>
      <c r="CA53" s="312">
        <f t="shared" si="58"/>
        <v>7.6926975117822941E-2</v>
      </c>
      <c r="CB53" s="312">
        <f t="shared" si="58"/>
        <v>8.5910016663580807E-2</v>
      </c>
      <c r="CC53" s="312">
        <f t="shared" si="58"/>
        <v>6.447488584474885E-2</v>
      </c>
      <c r="CD53" s="312">
        <f t="shared" si="58"/>
        <v>6.0314523589269198E-2</v>
      </c>
      <c r="CE53" s="312">
        <f t="shared" si="58"/>
        <v>5.6506238859180033E-2</v>
      </c>
      <c r="CF53" s="312">
        <f t="shared" si="58"/>
        <v>6.6694075190717642E-2</v>
      </c>
      <c r="CG53" s="312">
        <f t="shared" si="58"/>
        <v>8.1160846040334481E-2</v>
      </c>
      <c r="CH53" s="312">
        <f t="shared" si="58"/>
        <v>6.4860426929392451E-2</v>
      </c>
      <c r="CI53" s="312">
        <f t="shared" si="58"/>
        <v>5.903930131004366E-2</v>
      </c>
      <c r="CJ53" s="312">
        <f t="shared" si="58"/>
        <v>6.3618642566010991E-2</v>
      </c>
      <c r="CK53" s="344">
        <f t="shared" si="58"/>
        <v>6.7368510421530761E-2</v>
      </c>
      <c r="CL53" s="313">
        <f t="shared" si="58"/>
        <v>8.595194085027727E-2</v>
      </c>
      <c r="CM53" s="316">
        <v>7.0000000000000007E-2</v>
      </c>
      <c r="CN53" s="316">
        <v>7.0000000000000007E-2</v>
      </c>
      <c r="CO53" s="316">
        <v>7.0000000000000007E-2</v>
      </c>
      <c r="CP53" s="312">
        <f>IF(ISERROR(-CP9/CP6),"",-CP9/CP6)</f>
        <v>7.5362293446071996E-2</v>
      </c>
      <c r="CQ53" s="317">
        <v>0.08</v>
      </c>
      <c r="CR53" s="318">
        <v>0.08</v>
      </c>
      <c r="CS53" s="318">
        <v>0.08</v>
      </c>
      <c r="DL53" s="157"/>
      <c r="DM53" s="157"/>
      <c r="DN53" s="157" t="s">
        <v>548</v>
      </c>
      <c r="DO53" s="161">
        <v>653.6</v>
      </c>
      <c r="DP53" s="161">
        <v>750.2</v>
      </c>
      <c r="DQ53" s="161">
        <v>924.6</v>
      </c>
      <c r="DR53" s="163">
        <v>1062.8</v>
      </c>
      <c r="DS53" s="157"/>
      <c r="DT53" s="157"/>
      <c r="DU53" s="157"/>
      <c r="DV53" s="157"/>
    </row>
    <row r="54" spans="1:129" ht="12" customHeight="1">
      <c r="B54" s="343" t="s">
        <v>133</v>
      </c>
      <c r="C54" s="303">
        <f t="shared" ref="C54:AH54" si="59">IF(ISERROR(C48/C6),"",C48/C6)</f>
        <v>0.11982003618489527</v>
      </c>
      <c r="D54" s="303">
        <f t="shared" si="59"/>
        <v>0.1418500997204889</v>
      </c>
      <c r="E54" s="303">
        <f t="shared" si="59"/>
        <v>0.10143291359096832</v>
      </c>
      <c r="F54" s="303">
        <f t="shared" si="59"/>
        <v>0.11461589466704564</v>
      </c>
      <c r="G54" s="303">
        <f t="shared" si="59"/>
        <v>-0.26302754111353288</v>
      </c>
      <c r="H54" s="303">
        <f t="shared" si="59"/>
        <v>0.12623413258110008</v>
      </c>
      <c r="I54" s="303">
        <f t="shared" si="59"/>
        <v>0.12264466495707436</v>
      </c>
      <c r="J54" s="303">
        <f t="shared" si="59"/>
        <v>0.14079147640791487</v>
      </c>
      <c r="K54" s="303">
        <f t="shared" si="59"/>
        <v>0.14364437913299044</v>
      </c>
      <c r="L54" s="303">
        <f t="shared" si="59"/>
        <v>0.11782592170277473</v>
      </c>
      <c r="M54" s="303">
        <f t="shared" si="59"/>
        <v>0.12192474674384918</v>
      </c>
      <c r="N54" s="303">
        <f t="shared" si="59"/>
        <v>0.13103769194974402</v>
      </c>
      <c r="O54" s="303">
        <f t="shared" si="59"/>
        <v>0.15554026152787337</v>
      </c>
      <c r="P54" s="303">
        <f t="shared" si="59"/>
        <v>0.15644073241246392</v>
      </c>
      <c r="Q54" s="303">
        <f t="shared" si="59"/>
        <v>7.2668112798264753E-2</v>
      </c>
      <c r="R54" s="303">
        <f t="shared" si="59"/>
        <v>0.1325556733828207</v>
      </c>
      <c r="S54" s="303">
        <f t="shared" si="59"/>
        <v>0.13044601343206477</v>
      </c>
      <c r="T54" s="303">
        <f t="shared" si="59"/>
        <v>0.13485342019543972</v>
      </c>
      <c r="U54" s="303">
        <f t="shared" si="59"/>
        <v>0.14588607594936706</v>
      </c>
      <c r="V54" s="303">
        <f t="shared" si="59"/>
        <v>0.12452438602559679</v>
      </c>
      <c r="W54" s="303">
        <f t="shared" si="59"/>
        <v>9.3594306049822065E-2</v>
      </c>
      <c r="X54" s="303">
        <f t="shared" si="59"/>
        <v>0.1255552761713184</v>
      </c>
      <c r="Y54" s="303">
        <f t="shared" si="59"/>
        <v>0.14012738853503193</v>
      </c>
      <c r="Z54" s="303">
        <f t="shared" si="59"/>
        <v>0.15148378191856454</v>
      </c>
      <c r="AA54" s="303">
        <f t="shared" si="59"/>
        <v>0.14372109569548214</v>
      </c>
      <c r="AB54" s="303">
        <f t="shared" si="59"/>
        <v>9.7292191435767811E-2</v>
      </c>
      <c r="AC54" s="303">
        <f t="shared" si="59"/>
        <v>0.13218341729997429</v>
      </c>
      <c r="AD54" s="303">
        <f t="shared" si="59"/>
        <v>0.13759071117561691</v>
      </c>
      <c r="AE54" s="303">
        <f t="shared" si="59"/>
        <v>0.1132127955493742</v>
      </c>
      <c r="AF54" s="303">
        <f t="shared" si="59"/>
        <v>0.14091732045866015</v>
      </c>
      <c r="AG54" s="303">
        <f t="shared" si="59"/>
        <v>0.13816925734024127</v>
      </c>
      <c r="AH54" s="303">
        <f t="shared" si="59"/>
        <v>0.13193448562155624</v>
      </c>
      <c r="AI54" s="303">
        <f t="shared" ref="AI54:BN54" si="60">IF(ISERROR(AI48/AI6),"",AI48/AI6)</f>
        <v>0.1653107712333225</v>
      </c>
      <c r="AJ54" s="303">
        <f t="shared" si="60"/>
        <v>0.14893617021276603</v>
      </c>
      <c r="AK54" s="303">
        <f t="shared" si="60"/>
        <v>0.12290937378451969</v>
      </c>
      <c r="AL54" s="303">
        <f t="shared" si="60"/>
        <v>9.9774943735934013E-2</v>
      </c>
      <c r="AM54" s="303">
        <f t="shared" si="60"/>
        <v>0.13561310114589917</v>
      </c>
      <c r="AN54" s="303">
        <f t="shared" si="60"/>
        <v>0.13612167300380226</v>
      </c>
      <c r="AO54" s="303">
        <f t="shared" si="60"/>
        <v>0.17731891183218626</v>
      </c>
      <c r="AP54" s="303">
        <f t="shared" si="60"/>
        <v>0.16366723259762309</v>
      </c>
      <c r="AQ54" s="303">
        <f t="shared" si="60"/>
        <v>0.14437299035369755</v>
      </c>
      <c r="AR54" s="303">
        <f t="shared" si="60"/>
        <v>0.15593047034764823</v>
      </c>
      <c r="AS54" s="303">
        <f t="shared" si="60"/>
        <v>0.18486127864897475</v>
      </c>
      <c r="AT54" s="303">
        <f t="shared" si="60"/>
        <v>0.1786824992931863</v>
      </c>
      <c r="AU54" s="303">
        <f t="shared" si="60"/>
        <v>0.16969869243888575</v>
      </c>
      <c r="AV54" s="303">
        <f t="shared" si="60"/>
        <v>0.17759639741063893</v>
      </c>
      <c r="AW54" s="303">
        <f t="shared" si="60"/>
        <v>0.17760700948003455</v>
      </c>
      <c r="AX54" s="303">
        <f t="shared" si="60"/>
        <v>0.18645338665333674</v>
      </c>
      <c r="AY54" s="303">
        <f t="shared" si="60"/>
        <v>0.2209418837675351</v>
      </c>
      <c r="AZ54" s="303">
        <f t="shared" si="60"/>
        <v>0.1907558733401431</v>
      </c>
      <c r="BA54" s="303">
        <f t="shared" si="60"/>
        <v>0.17686547895688104</v>
      </c>
      <c r="BB54" s="312">
        <f t="shared" si="60"/>
        <v>0.19389177544037517</v>
      </c>
      <c r="BC54" s="312">
        <f t="shared" si="60"/>
        <v>0.18559423769507802</v>
      </c>
      <c r="BD54" s="312">
        <f t="shared" si="60"/>
        <v>0.20279223852342643</v>
      </c>
      <c r="BE54" s="312">
        <f t="shared" si="60"/>
        <v>0.20300751879699253</v>
      </c>
      <c r="BF54" s="312">
        <f t="shared" si="60"/>
        <v>0.19564198687910031</v>
      </c>
      <c r="BG54" s="312">
        <f t="shared" si="60"/>
        <v>0.19675843165296153</v>
      </c>
      <c r="BH54" s="312">
        <f t="shared" si="60"/>
        <v>0.19861381849685941</v>
      </c>
      <c r="BI54" s="312">
        <f t="shared" si="60"/>
        <v>0.19740480748776856</v>
      </c>
      <c r="BJ54" s="312">
        <f t="shared" si="60"/>
        <v>0.21420668289444572</v>
      </c>
      <c r="BK54" s="312">
        <f t="shared" si="60"/>
        <v>0.20284018651971178</v>
      </c>
      <c r="BL54" s="312">
        <f t="shared" si="60"/>
        <v>0.20317973592023716</v>
      </c>
      <c r="BM54" s="312">
        <f t="shared" si="60"/>
        <v>0.21386180584993641</v>
      </c>
      <c r="BN54" s="312">
        <f t="shared" si="60"/>
        <v>0.2301870927054866</v>
      </c>
      <c r="BO54" s="312">
        <f t="shared" ref="BO54:CS54" si="61">IF(ISERROR(BO48/BO6),"",BO48/BO6)</f>
        <v>0.21680035650623891</v>
      </c>
      <c r="BP54" s="312">
        <f t="shared" si="61"/>
        <v>0.21746612174661212</v>
      </c>
      <c r="BQ54" s="312">
        <f t="shared" si="61"/>
        <v>0.21964324091983667</v>
      </c>
      <c r="BR54" s="312">
        <f t="shared" si="61"/>
        <v>0.21318063090214989</v>
      </c>
      <c r="BS54" s="312">
        <f t="shared" si="61"/>
        <v>0.23612705702257944</v>
      </c>
      <c r="BT54" s="312">
        <f t="shared" si="61"/>
        <v>0.22497502497502497</v>
      </c>
      <c r="BU54" s="312">
        <f t="shared" si="61"/>
        <v>0.23019648397104453</v>
      </c>
      <c r="BV54" s="312">
        <f t="shared" si="61"/>
        <v>0.22621364067255403</v>
      </c>
      <c r="BW54" s="312">
        <f t="shared" si="61"/>
        <v>0.2151211361737678</v>
      </c>
      <c r="BX54" s="312">
        <f t="shared" si="61"/>
        <v>0.23366578465296162</v>
      </c>
      <c r="BY54" s="312">
        <f t="shared" si="61"/>
        <v>0.23580874872838253</v>
      </c>
      <c r="BZ54" s="312">
        <f t="shared" si="61"/>
        <v>0.23724838772718387</v>
      </c>
      <c r="CA54" s="312">
        <f t="shared" si="61"/>
        <v>0.23062889575837434</v>
      </c>
      <c r="CB54" s="312">
        <f t="shared" si="61"/>
        <v>0.20773930753564157</v>
      </c>
      <c r="CC54" s="312">
        <f t="shared" si="61"/>
        <v>0.23068493150684932</v>
      </c>
      <c r="CD54" s="312">
        <f t="shared" si="61"/>
        <v>0.2362627197039778</v>
      </c>
      <c r="CE54" s="312">
        <f t="shared" si="61"/>
        <v>0.22834224598930475</v>
      </c>
      <c r="CF54" s="312">
        <f t="shared" si="61"/>
        <v>0.22580055730665569</v>
      </c>
      <c r="CG54" s="312">
        <f t="shared" si="61"/>
        <v>0.23200524676176423</v>
      </c>
      <c r="CH54" s="312">
        <f t="shared" si="61"/>
        <v>0.2448275862068966</v>
      </c>
      <c r="CI54" s="312">
        <f t="shared" si="61"/>
        <v>0.25205240174672483</v>
      </c>
      <c r="CJ54" s="312">
        <f t="shared" si="61"/>
        <v>0.23391812865497069</v>
      </c>
      <c r="CK54" s="344">
        <f t="shared" si="61"/>
        <v>0.24065033747930548</v>
      </c>
      <c r="CL54" s="313">
        <f t="shared" si="61"/>
        <v>0.18706099815157112</v>
      </c>
      <c r="CM54" s="313">
        <f t="shared" si="61"/>
        <v>0.16777190117781482</v>
      </c>
      <c r="CN54" s="313">
        <f t="shared" si="61"/>
        <v>0.20101433013829975</v>
      </c>
      <c r="CO54" s="313">
        <f t="shared" si="61"/>
        <v>0.21430795287576623</v>
      </c>
      <c r="CP54" s="312">
        <f t="shared" si="61"/>
        <v>0.19354008994734637</v>
      </c>
      <c r="CQ54" s="314">
        <f t="shared" si="61"/>
        <v>0.20843320733165407</v>
      </c>
      <c r="CR54" s="315">
        <f t="shared" si="61"/>
        <v>0.20984112037928251</v>
      </c>
      <c r="CS54" s="315">
        <f t="shared" si="61"/>
        <v>0.21139542985054635</v>
      </c>
      <c r="DE54" s="157"/>
      <c r="DL54" s="157"/>
      <c r="DM54" s="157"/>
      <c r="DN54" s="157" t="s">
        <v>192</v>
      </c>
      <c r="DO54" s="158">
        <v>92.49</v>
      </c>
      <c r="DP54" s="161">
        <v>89.83</v>
      </c>
      <c r="DQ54" s="161">
        <v>87.52</v>
      </c>
      <c r="DR54" s="161">
        <v>84.38</v>
      </c>
      <c r="DS54" s="157"/>
      <c r="DT54" s="161">
        <f>DR54*(1-0.025)</f>
        <v>82.270499999999998</v>
      </c>
      <c r="DU54" s="161">
        <f>DT54*(1-0.03)</f>
        <v>79.802385000000001</v>
      </c>
      <c r="DV54" s="161">
        <f>DU54*(1-0.03)</f>
        <v>77.408313449999994</v>
      </c>
    </row>
    <row r="55" spans="1:129" ht="12" customHeight="1">
      <c r="B55" s="343" t="s">
        <v>134</v>
      </c>
      <c r="C55" s="303">
        <f t="shared" ref="C55:AH55" si="62">IF(ISERROR(C46/C6),"",C46/C6)</f>
        <v>8.1610281206803678E-2</v>
      </c>
      <c r="D55" s="303">
        <f t="shared" si="62"/>
        <v>0.10746948699960712</v>
      </c>
      <c r="E55" s="303">
        <f t="shared" si="62"/>
        <v>5.9834997828918809E-2</v>
      </c>
      <c r="F55" s="303">
        <f t="shared" si="62"/>
        <v>7.1421805437150779E-2</v>
      </c>
      <c r="G55" s="303">
        <f t="shared" si="62"/>
        <v>-0.31325539924707752</v>
      </c>
      <c r="H55" s="303">
        <f t="shared" si="62"/>
        <v>7.0756934649741365E-2</v>
      </c>
      <c r="I55" s="303">
        <f t="shared" si="62"/>
        <v>6.4444196677444526E-2</v>
      </c>
      <c r="J55" s="303">
        <f t="shared" si="62"/>
        <v>9.0182648401826576E-2</v>
      </c>
      <c r="K55" s="303">
        <f t="shared" si="62"/>
        <v>9.5150624540778841E-2</v>
      </c>
      <c r="L55" s="303">
        <f t="shared" si="62"/>
        <v>7.0695553021664886E-2</v>
      </c>
      <c r="M55" s="303">
        <f t="shared" si="62"/>
        <v>7.4529667149059009E-2</v>
      </c>
      <c r="N55" s="303">
        <f t="shared" si="62"/>
        <v>8.264308980921356E-2</v>
      </c>
      <c r="O55" s="303">
        <f t="shared" si="62"/>
        <v>0.11321403991741226</v>
      </c>
      <c r="P55" s="303">
        <f t="shared" si="62"/>
        <v>0.11853517507227761</v>
      </c>
      <c r="Q55" s="303">
        <f t="shared" si="62"/>
        <v>3.1453362255965414E-2</v>
      </c>
      <c r="R55" s="303">
        <f t="shared" si="62"/>
        <v>9.0844821491693095E-2</v>
      </c>
      <c r="S55" s="303">
        <f t="shared" si="62"/>
        <v>8.9719304287928375E-2</v>
      </c>
      <c r="T55" s="303">
        <f t="shared" si="62"/>
        <v>9.7068403908794759E-2</v>
      </c>
      <c r="U55" s="303">
        <f t="shared" si="62"/>
        <v>0.10854430379746832</v>
      </c>
      <c r="V55" s="303">
        <f t="shared" si="62"/>
        <v>8.8896575579384379E-2</v>
      </c>
      <c r="W55" s="303">
        <f t="shared" si="62"/>
        <v>5.9074733096085401E-2</v>
      </c>
      <c r="X55" s="303">
        <f t="shared" si="62"/>
        <v>8.9179448495515901E-2</v>
      </c>
      <c r="Y55" s="303">
        <f t="shared" si="62"/>
        <v>0.10580325548478424</v>
      </c>
      <c r="Z55" s="303">
        <f t="shared" si="62"/>
        <v>0.11732229123533473</v>
      </c>
      <c r="AA55" s="303">
        <f t="shared" si="62"/>
        <v>0.10743507648523667</v>
      </c>
      <c r="AB55" s="303">
        <f t="shared" si="62"/>
        <v>6.5806045340049912E-2</v>
      </c>
      <c r="AC55" s="303">
        <f t="shared" si="62"/>
        <v>9.8198275125949891E-2</v>
      </c>
      <c r="AD55" s="303">
        <f t="shared" si="62"/>
        <v>0.10566037735849064</v>
      </c>
      <c r="AE55" s="303">
        <f t="shared" si="62"/>
        <v>8.1502086230876292E-2</v>
      </c>
      <c r="AF55" s="303">
        <f t="shared" si="62"/>
        <v>0.10832830416415198</v>
      </c>
      <c r="AG55" s="303">
        <f t="shared" si="62"/>
        <v>0.10120898100172661</v>
      </c>
      <c r="AH55" s="303">
        <f t="shared" si="62"/>
        <v>9.8799909427126464E-2</v>
      </c>
      <c r="AI55" s="303">
        <f t="shared" ref="AI55:BN55" si="63">IF(ISERROR(AI46/AI6),"",AI46/AI6)</f>
        <v>0.12984054669703873</v>
      </c>
      <c r="AJ55" s="303">
        <f t="shared" si="63"/>
        <v>0.10710421925712235</v>
      </c>
      <c r="AK55" s="303">
        <f t="shared" si="63"/>
        <v>7.6234928043562883E-2</v>
      </c>
      <c r="AL55" s="303">
        <f t="shared" si="63"/>
        <v>5.4388597149287357E-2</v>
      </c>
      <c r="AM55" s="303">
        <f t="shared" si="63"/>
        <v>9.3566723811242494E-2</v>
      </c>
      <c r="AN55" s="303">
        <f t="shared" si="63"/>
        <v>9.0494296577946762E-2</v>
      </c>
      <c r="AO55" s="303">
        <f t="shared" si="63"/>
        <v>0.1327433628318585</v>
      </c>
      <c r="AP55" s="303">
        <f t="shared" si="63"/>
        <v>0.11714770797962648</v>
      </c>
      <c r="AQ55" s="303">
        <f t="shared" si="63"/>
        <v>9.9678456591639625E-2</v>
      </c>
      <c r="AR55" s="303">
        <f t="shared" si="63"/>
        <v>0.11059986366734828</v>
      </c>
      <c r="AS55" s="303">
        <f t="shared" si="63"/>
        <v>0.14234016887816656</v>
      </c>
      <c r="AT55" s="303">
        <f t="shared" si="63"/>
        <v>0.1396663839411931</v>
      </c>
      <c r="AU55" s="303">
        <f t="shared" si="63"/>
        <v>0.13075611142694712</v>
      </c>
      <c r="AV55" s="303">
        <f t="shared" si="63"/>
        <v>0.13903743315508027</v>
      </c>
      <c r="AW55" s="303">
        <f t="shared" si="63"/>
        <v>0.1378914105142201</v>
      </c>
      <c r="AX55" s="303">
        <f t="shared" si="63"/>
        <v>0.15146213446638349</v>
      </c>
      <c r="AY55" s="303">
        <f t="shared" si="63"/>
        <v>0.18512024048096196</v>
      </c>
      <c r="AZ55" s="303">
        <f t="shared" si="63"/>
        <v>0.15321756894790614</v>
      </c>
      <c r="BA55" s="303">
        <f t="shared" si="63"/>
        <v>0.14020139426800934</v>
      </c>
      <c r="BB55" s="312">
        <f t="shared" si="63"/>
        <v>0.15764795336459264</v>
      </c>
      <c r="BC55" s="312">
        <f t="shared" si="63"/>
        <v>0.15126050420168066</v>
      </c>
      <c r="BD55" s="312">
        <f t="shared" si="63"/>
        <v>0.17013724562233795</v>
      </c>
      <c r="BE55" s="312">
        <f t="shared" si="63"/>
        <v>0.16735386854232359</v>
      </c>
      <c r="BF55" s="312">
        <f t="shared" si="63"/>
        <v>0.15698219306466732</v>
      </c>
      <c r="BG55" s="312">
        <f t="shared" si="63"/>
        <v>0.1614229531641044</v>
      </c>
      <c r="BH55" s="312">
        <f t="shared" si="63"/>
        <v>0.16157678145982238</v>
      </c>
      <c r="BI55" s="312">
        <f t="shared" si="63"/>
        <v>0.15975324399064034</v>
      </c>
      <c r="BJ55" s="312">
        <f t="shared" si="63"/>
        <v>0.17481743748616951</v>
      </c>
      <c r="BK55" s="312">
        <f t="shared" si="63"/>
        <v>0.16341670199236966</v>
      </c>
      <c r="BL55" s="312">
        <f t="shared" si="63"/>
        <v>0.16480732956076533</v>
      </c>
      <c r="BM55" s="312">
        <f t="shared" si="63"/>
        <v>0.17507418397626115</v>
      </c>
      <c r="BN55" s="312">
        <f t="shared" si="63"/>
        <v>0.19045616985495054</v>
      </c>
      <c r="BO55" s="312">
        <f t="shared" ref="BO55:CS55" si="64">IF(ISERROR(BO46/BO6),"",BO46/BO6)</f>
        <v>0.17379679144385032</v>
      </c>
      <c r="BP55" s="312">
        <f t="shared" si="64"/>
        <v>0.17466121746612168</v>
      </c>
      <c r="BQ55" s="312">
        <f t="shared" si="64"/>
        <v>0.17859445519019987</v>
      </c>
      <c r="BR55" s="312">
        <f t="shared" si="64"/>
        <v>0.16857544705645972</v>
      </c>
      <c r="BS55" s="312">
        <f t="shared" si="64"/>
        <v>0.19154228855721397</v>
      </c>
      <c r="BT55" s="312">
        <f t="shared" si="64"/>
        <v>0.178021978021978</v>
      </c>
      <c r="BU55" s="312">
        <f t="shared" si="64"/>
        <v>0.17993795243019653</v>
      </c>
      <c r="BV55" s="312">
        <f t="shared" si="64"/>
        <v>0.17966372299555955</v>
      </c>
      <c r="BW55" s="312">
        <f t="shared" si="64"/>
        <v>0.16416040100250631</v>
      </c>
      <c r="BX55" s="312">
        <f t="shared" si="64"/>
        <v>0.18257683696315904</v>
      </c>
      <c r="BY55" s="312">
        <f t="shared" si="64"/>
        <v>0.18128179043743647</v>
      </c>
      <c r="BZ55" s="312">
        <f t="shared" si="64"/>
        <v>0.18213797146765681</v>
      </c>
      <c r="CA55" s="312">
        <f t="shared" si="64"/>
        <v>0.17767192013378608</v>
      </c>
      <c r="CB55" s="312">
        <f t="shared" si="64"/>
        <v>0.15256433993704874</v>
      </c>
      <c r="CC55" s="312">
        <f t="shared" si="64"/>
        <v>0.17625570776255711</v>
      </c>
      <c r="CD55" s="312">
        <f t="shared" si="64"/>
        <v>0.17853839037927843</v>
      </c>
      <c r="CE55" s="312">
        <f t="shared" si="64"/>
        <v>0.17076648841354719</v>
      </c>
      <c r="CF55" s="312">
        <f t="shared" si="64"/>
        <v>0.1695674021287287</v>
      </c>
      <c r="CG55" s="312">
        <f t="shared" si="64"/>
        <v>0.16855222167568451</v>
      </c>
      <c r="CH55" s="312">
        <f t="shared" si="64"/>
        <v>0.18899835796387521</v>
      </c>
      <c r="CI55" s="312">
        <f t="shared" si="64"/>
        <v>0.19196506550218337</v>
      </c>
      <c r="CJ55" s="312">
        <f t="shared" si="64"/>
        <v>0.17260322523480409</v>
      </c>
      <c r="CK55" s="344">
        <f t="shared" si="64"/>
        <v>0.18049836566625627</v>
      </c>
      <c r="CL55" s="313">
        <f t="shared" si="64"/>
        <v>0.12144177449168202</v>
      </c>
      <c r="CM55" s="313">
        <f t="shared" si="64"/>
        <v>4.8196791401221004E-2</v>
      </c>
      <c r="CN55" s="313">
        <f t="shared" si="64"/>
        <v>9.5746081033791119E-2</v>
      </c>
      <c r="CO55" s="313">
        <f t="shared" si="64"/>
        <v>0.12052120470280424</v>
      </c>
      <c r="CP55" s="312">
        <f t="shared" si="64"/>
        <v>0.10189023093279051</v>
      </c>
      <c r="CQ55" s="314">
        <f t="shared" si="64"/>
        <v>0.12039521454154538</v>
      </c>
      <c r="CR55" s="315">
        <f t="shared" si="64"/>
        <v>0.13177940290759671</v>
      </c>
      <c r="CS55" s="315">
        <f t="shared" si="64"/>
        <v>0.14316052101866289</v>
      </c>
      <c r="CW55" s="157"/>
      <c r="CX55" s="157"/>
      <c r="DE55" s="157"/>
      <c r="DF55" s="157"/>
      <c r="DG55" s="157"/>
      <c r="DH55" s="157"/>
      <c r="DL55" s="157"/>
      <c r="DM55" s="157"/>
      <c r="DN55" s="157" t="s">
        <v>539</v>
      </c>
      <c r="DO55" s="158">
        <v>47</v>
      </c>
      <c r="DP55" s="161">
        <v>64</v>
      </c>
      <c r="DQ55" s="161">
        <v>64</v>
      </c>
      <c r="DR55" s="161">
        <v>80</v>
      </c>
      <c r="DS55" s="157"/>
      <c r="DT55" s="157"/>
      <c r="DU55" s="157"/>
      <c r="DV55" s="157"/>
    </row>
    <row r="56" spans="1:129" ht="12" customHeight="1">
      <c r="B56" s="343" t="s">
        <v>135</v>
      </c>
      <c r="C56" s="303">
        <f t="shared" ref="C56:AH56" si="65">IF(ISERROR(-C16/C15),"",-C16/C15)</f>
        <v>-0.4507802648171495</v>
      </c>
      <c r="D56" s="303">
        <f t="shared" si="65"/>
        <v>0.36056845121131764</v>
      </c>
      <c r="E56" s="303">
        <f t="shared" si="65"/>
        <v>6.8000000000000005E-2</v>
      </c>
      <c r="F56" s="303">
        <f t="shared" si="65"/>
        <v>0.35066666666666635</v>
      </c>
      <c r="G56" s="303">
        <f t="shared" si="65"/>
        <v>-0.10629921259842517</v>
      </c>
      <c r="H56" s="303">
        <f t="shared" si="65"/>
        <v>1.4675324675324772</v>
      </c>
      <c r="I56" s="303">
        <f t="shared" si="65"/>
        <v>3.5526315789473721</v>
      </c>
      <c r="J56" s="303">
        <f t="shared" si="65"/>
        <v>0.30357142857142788</v>
      </c>
      <c r="K56" s="303">
        <f t="shared" si="65"/>
        <v>0.38518518518518524</v>
      </c>
      <c r="L56" s="303">
        <f t="shared" si="65"/>
        <v>0.34848484848484668</v>
      </c>
      <c r="M56" s="303">
        <f t="shared" si="65"/>
        <v>3.947368421052691E-2</v>
      </c>
      <c r="N56" s="303">
        <f t="shared" si="65"/>
        <v>0.28791773778920332</v>
      </c>
      <c r="O56" s="303">
        <f t="shared" si="65"/>
        <v>-0.18652849740932653</v>
      </c>
      <c r="P56" s="303">
        <f t="shared" si="65"/>
        <v>0.12456747404844283</v>
      </c>
      <c r="Q56" s="303">
        <f t="shared" si="65"/>
        <v>1.0769230769230482</v>
      </c>
      <c r="R56" s="303">
        <f t="shared" si="65"/>
        <v>-6.2324324324324394</v>
      </c>
      <c r="S56" s="303">
        <f t="shared" si="65"/>
        <v>-3.6292517006802671</v>
      </c>
      <c r="T56" s="303">
        <f t="shared" si="65"/>
        <v>0.39090909090909109</v>
      </c>
      <c r="U56" s="303">
        <f t="shared" si="65"/>
        <v>0.39338235294117663</v>
      </c>
      <c r="V56" s="303">
        <f t="shared" si="65"/>
        <v>0.2222222222222219</v>
      </c>
      <c r="W56" s="303">
        <f t="shared" si="65"/>
        <v>0.40769230769230808</v>
      </c>
      <c r="X56" s="303">
        <f t="shared" si="65"/>
        <v>0.36238044633368766</v>
      </c>
      <c r="Y56" s="303">
        <f t="shared" si="65"/>
        <v>0.42016806722689026</v>
      </c>
      <c r="Z56" s="303">
        <f t="shared" si="65"/>
        <v>0.42499999999999988</v>
      </c>
      <c r="AA56" s="303">
        <f t="shared" si="65"/>
        <v>0.29508196721311442</v>
      </c>
      <c r="AB56" s="303">
        <f t="shared" si="65"/>
        <v>0.26380368098159773</v>
      </c>
      <c r="AC56" s="303">
        <f t="shared" si="65"/>
        <v>0.36108108108108139</v>
      </c>
      <c r="AD56" s="303">
        <f t="shared" si="65"/>
        <v>0.30573248407643283</v>
      </c>
      <c r="AE56" s="303">
        <f t="shared" si="65"/>
        <v>-8.5470085470085375E-2</v>
      </c>
      <c r="AF56" s="303">
        <f t="shared" si="65"/>
        <v>0.36102236421725287</v>
      </c>
      <c r="AG56" s="303">
        <f t="shared" si="65"/>
        <v>-0.13414634146341536</v>
      </c>
      <c r="AH56" s="303">
        <f t="shared" si="65"/>
        <v>0.1409214092140923</v>
      </c>
      <c r="AI56" s="303">
        <f t="shared" ref="AI56:BN56" si="66">IF(ISERROR(-AI16/AI15),"",-AI16/AI15)</f>
        <v>0.32463768115942021</v>
      </c>
      <c r="AJ56" s="303">
        <f t="shared" si="66"/>
        <v>0.25675675675675647</v>
      </c>
      <c r="AK56" s="303">
        <f t="shared" si="66"/>
        <v>0.19685039370078711</v>
      </c>
      <c r="AL56" s="303">
        <f t="shared" si="66"/>
        <v>0.31707317073170693</v>
      </c>
      <c r="AM56" s="303">
        <f t="shared" si="66"/>
        <v>0.28350515463917508</v>
      </c>
      <c r="AN56" s="303">
        <f t="shared" si="66"/>
        <v>8.7209302325581411E-2</v>
      </c>
      <c r="AO56" s="303">
        <f t="shared" si="66"/>
        <v>0.31736526946107757</v>
      </c>
      <c r="AP56" s="303">
        <f t="shared" si="66"/>
        <v>0.3035714285714286</v>
      </c>
      <c r="AQ56" s="303">
        <f t="shared" si="66"/>
        <v>0.14925373134328407</v>
      </c>
      <c r="AR56" s="303">
        <f t="shared" si="66"/>
        <v>0.22945891783567146</v>
      </c>
      <c r="AS56" s="303">
        <f t="shared" si="66"/>
        <v>0.32020997375328059</v>
      </c>
      <c r="AT56" s="303">
        <f t="shared" si="66"/>
        <v>0.2</v>
      </c>
      <c r="AU56" s="303">
        <f t="shared" si="66"/>
        <v>0.27397260273972607</v>
      </c>
      <c r="AV56" s="303">
        <f t="shared" si="66"/>
        <v>0.17197452229299354</v>
      </c>
      <c r="AW56" s="303">
        <f t="shared" si="66"/>
        <v>0.23703703703703696</v>
      </c>
      <c r="AX56" s="303">
        <f t="shared" si="66"/>
        <v>0.3194444444444442</v>
      </c>
      <c r="AY56" s="303">
        <f t="shared" si="66"/>
        <v>0.31661891117478508</v>
      </c>
      <c r="AZ56" s="303">
        <f t="shared" si="66"/>
        <v>0.31141868512110699</v>
      </c>
      <c r="BA56" s="303">
        <f t="shared" si="66"/>
        <v>0.29714285714285699</v>
      </c>
      <c r="BB56" s="312">
        <f t="shared" si="66"/>
        <v>0.31173748422381131</v>
      </c>
      <c r="BC56" s="312">
        <f t="shared" si="66"/>
        <v>0.29200652528548121</v>
      </c>
      <c r="BD56" s="312">
        <f t="shared" si="66"/>
        <v>0.29941860465116271</v>
      </c>
      <c r="BE56" s="312">
        <f t="shared" si="66"/>
        <v>0.27868852459016391</v>
      </c>
      <c r="BF56" s="312">
        <f t="shared" si="66"/>
        <v>0.28746177370030573</v>
      </c>
      <c r="BG56" s="312">
        <f t="shared" si="66"/>
        <v>0.28941355674028935</v>
      </c>
      <c r="BH56" s="312">
        <f t="shared" si="66"/>
        <v>0.31318681318681318</v>
      </c>
      <c r="BI56" s="312">
        <f t="shared" si="66"/>
        <v>0.31326949384404912</v>
      </c>
      <c r="BJ56" s="312">
        <f t="shared" si="66"/>
        <v>0.27748691099476436</v>
      </c>
      <c r="BK56" s="312">
        <f t="shared" si="66"/>
        <v>0.29866666666666658</v>
      </c>
      <c r="BL56" s="312">
        <f t="shared" si="66"/>
        <v>0.30036999663639419</v>
      </c>
      <c r="BM56" s="312">
        <f t="shared" si="66"/>
        <v>0.15985130111524162</v>
      </c>
      <c r="BN56" s="312">
        <f t="shared" si="66"/>
        <v>0.30646992054483552</v>
      </c>
      <c r="BO56" s="312">
        <f t="shared" ref="BO56:CL56" si="67">IF(ISERROR(-BO16/BO15),"",-BO16/BO15)</f>
        <v>0.2820163487738418</v>
      </c>
      <c r="BP56" s="312">
        <f t="shared" si="67"/>
        <v>0.2947368421052633</v>
      </c>
      <c r="BQ56" s="312">
        <f t="shared" si="67"/>
        <v>0.26084223758642366</v>
      </c>
      <c r="BR56" s="312">
        <f t="shared" si="67"/>
        <v>0.28991060025542786</v>
      </c>
      <c r="BS56" s="312">
        <f t="shared" si="67"/>
        <v>0.30531914893617018</v>
      </c>
      <c r="BT56" s="312">
        <f t="shared" si="67"/>
        <v>0.1925837320574163</v>
      </c>
      <c r="BU56" s="312">
        <f t="shared" si="67"/>
        <v>0.27906976744186035</v>
      </c>
      <c r="BV56" s="312">
        <f t="shared" si="67"/>
        <v>0.26747630331753552</v>
      </c>
      <c r="BW56" s="312">
        <f t="shared" si="67"/>
        <v>0.11878453038674029</v>
      </c>
      <c r="BX56" s="312">
        <f t="shared" si="67"/>
        <v>0.26658624849215912</v>
      </c>
      <c r="BY56" s="312">
        <f t="shared" si="67"/>
        <v>0.16565164433617535</v>
      </c>
      <c r="BZ56" s="312">
        <f t="shared" si="67"/>
        <v>-2.0979020979020983E-2</v>
      </c>
      <c r="CA56" s="312">
        <f t="shared" si="67"/>
        <v>0.13149752475247525</v>
      </c>
      <c r="CB56" s="312">
        <f t="shared" si="67"/>
        <v>0.18951612903225801</v>
      </c>
      <c r="CC56" s="312">
        <f t="shared" si="67"/>
        <v>0.22779043280182229</v>
      </c>
      <c r="CD56" s="312">
        <f t="shared" si="67"/>
        <v>9.0803259604190917E-2</v>
      </c>
      <c r="CE56" s="312">
        <f t="shared" si="67"/>
        <v>0.2412177985948479</v>
      </c>
      <c r="CF56" s="312">
        <f t="shared" si="67"/>
        <v>0.1874062968515742</v>
      </c>
      <c r="CG56" s="312">
        <f t="shared" si="67"/>
        <v>0.22687224669603531</v>
      </c>
      <c r="CH56" s="312">
        <f t="shared" si="67"/>
        <v>0.22868217054263568</v>
      </c>
      <c r="CI56" s="312">
        <f t="shared" si="67"/>
        <v>0.18402426693629934</v>
      </c>
      <c r="CJ56" s="312">
        <f t="shared" si="67"/>
        <v>0.16589861751152085</v>
      </c>
      <c r="CK56" s="344">
        <f t="shared" si="67"/>
        <v>0.20226494601000797</v>
      </c>
      <c r="CL56" s="313">
        <f t="shared" si="67"/>
        <v>0.21973929236499082</v>
      </c>
      <c r="CM56" s="316">
        <v>0.23</v>
      </c>
      <c r="CN56" s="316">
        <v>0.23</v>
      </c>
      <c r="CO56" s="316">
        <v>0.23</v>
      </c>
      <c r="CP56" s="312">
        <f>IF(ISERROR(-CP16/CP15),"",-CP16/CP15)</f>
        <v>0.22493112335905041</v>
      </c>
      <c r="CQ56" s="317">
        <v>0.23</v>
      </c>
      <c r="CR56" s="318">
        <v>0.23</v>
      </c>
      <c r="CS56" s="318">
        <v>0.23</v>
      </c>
      <c r="CW56" s="157"/>
      <c r="CX56" s="157"/>
      <c r="DE56" s="157"/>
      <c r="DF56" s="157"/>
      <c r="DG56" s="157"/>
      <c r="DH56" s="157"/>
      <c r="DL56" s="157"/>
      <c r="DM56" s="157"/>
      <c r="DN56" s="157"/>
      <c r="DO56" s="161"/>
      <c r="DP56" s="161"/>
      <c r="DQ56" s="161"/>
      <c r="DR56" s="161"/>
      <c r="DS56" s="157"/>
      <c r="DT56" s="157">
        <f>DP54/DO54-1</f>
        <v>-2.8759865931451967E-2</v>
      </c>
      <c r="DU56" s="157">
        <f>DQ54/DP54-1</f>
        <v>-2.5715239897584397E-2</v>
      </c>
      <c r="DV56" s="157">
        <f>DR54/DQ54-1</f>
        <v>-3.5877513711151776E-2</v>
      </c>
    </row>
    <row r="57" spans="1:129" ht="12" customHeight="1">
      <c r="B57" s="345" t="s">
        <v>136</v>
      </c>
      <c r="C57" s="346">
        <f t="shared" ref="C57:AH57" si="68">IF(ISERROR(C18/C6),"",C18/C6)</f>
        <v>7.8592738470734599E-2</v>
      </c>
      <c r="D57" s="346">
        <f t="shared" si="68"/>
        <v>4.6314933097285453E-2</v>
      </c>
      <c r="E57" s="346">
        <f t="shared" si="68"/>
        <v>-2.0234476769431176E-2</v>
      </c>
      <c r="F57" s="346">
        <f t="shared" si="68"/>
        <v>5.1340342900445271E-2</v>
      </c>
      <c r="G57" s="346">
        <f t="shared" si="68"/>
        <v>-0.42698632851198737</v>
      </c>
      <c r="H57" s="346">
        <f t="shared" si="68"/>
        <v>-1.598495533615427E-2</v>
      </c>
      <c r="I57" s="346">
        <f t="shared" si="68"/>
        <v>-1.2375961645668419E-2</v>
      </c>
      <c r="J57" s="346">
        <f t="shared" si="68"/>
        <v>3.082191780821927E-2</v>
      </c>
      <c r="K57" s="346">
        <f t="shared" si="68"/>
        <v>3.2329169728141066E-2</v>
      </c>
      <c r="L57" s="346">
        <f t="shared" si="68"/>
        <v>1.6343595591030154E-2</v>
      </c>
      <c r="M57" s="346">
        <f t="shared" si="68"/>
        <v>2.7496382054992413E-2</v>
      </c>
      <c r="N57" s="346">
        <f t="shared" si="68"/>
        <v>2.6803164262447606E-2</v>
      </c>
      <c r="O57" s="346">
        <f t="shared" si="68"/>
        <v>-7.7081899518238087E-2</v>
      </c>
      <c r="P57" s="346">
        <f t="shared" si="68"/>
        <v>8.4163186636684928E-2</v>
      </c>
      <c r="Q57" s="346">
        <f t="shared" si="68"/>
        <v>3.9768618944325176E-3</v>
      </c>
      <c r="R57" s="346">
        <f t="shared" si="68"/>
        <v>0.47649346058677977</v>
      </c>
      <c r="S57" s="346">
        <f t="shared" si="68"/>
        <v>0.12028586189082145</v>
      </c>
      <c r="T57" s="346">
        <f t="shared" si="68"/>
        <v>4.7231270358306154E-2</v>
      </c>
      <c r="U57" s="346">
        <f t="shared" si="68"/>
        <v>5.569620253164554E-2</v>
      </c>
      <c r="V57" s="346">
        <f t="shared" si="68"/>
        <v>5.4306468350051977E-2</v>
      </c>
      <c r="W57" s="346">
        <f t="shared" si="68"/>
        <v>5.8007117437722383E-2</v>
      </c>
      <c r="X57" s="346">
        <f t="shared" si="68"/>
        <v>5.3725588802279775E-2</v>
      </c>
      <c r="Y57" s="346">
        <f t="shared" si="68"/>
        <v>5.2370842179759479E-2</v>
      </c>
      <c r="Z57" s="346">
        <f t="shared" si="68"/>
        <v>6.0386473429951716E-2</v>
      </c>
      <c r="AA57" s="346">
        <f t="shared" si="68"/>
        <v>6.4389896833867047E-2</v>
      </c>
      <c r="AB57" s="346">
        <f t="shared" si="68"/>
        <v>4.0931989924432775E-2</v>
      </c>
      <c r="AC57" s="346">
        <f t="shared" si="68"/>
        <v>5.4137136025958425E-2</v>
      </c>
      <c r="AD57" s="346">
        <f t="shared" si="68"/>
        <v>6.7343976777939116E-2</v>
      </c>
      <c r="AE57" s="346">
        <f t="shared" si="68"/>
        <v>7.4269819193324135E-2</v>
      </c>
      <c r="AF57" s="346">
        <f t="shared" si="68"/>
        <v>9.9577549788774769E-2</v>
      </c>
      <c r="AG57" s="346">
        <f t="shared" si="68"/>
        <v>9.7754749568220584E-2</v>
      </c>
      <c r="AH57" s="346">
        <f t="shared" si="68"/>
        <v>8.3930862706619258E-2</v>
      </c>
      <c r="AI57" s="346">
        <f t="shared" ref="AI57:BN57" si="69">IF(ISERROR(AI18/AI6),"",AI18/AI6)</f>
        <v>7.6147087536609204E-2</v>
      </c>
      <c r="AJ57" s="346">
        <f t="shared" si="69"/>
        <v>6.0584204832311681E-2</v>
      </c>
      <c r="AK57" s="346">
        <f t="shared" si="69"/>
        <v>4.0451186308829316E-2</v>
      </c>
      <c r="AL57" s="346">
        <f t="shared" si="69"/>
        <v>2.1380345086271603E-2</v>
      </c>
      <c r="AM57" s="346">
        <f t="shared" si="69"/>
        <v>5.0798520256248363E-2</v>
      </c>
      <c r="AN57" s="346">
        <f t="shared" si="69"/>
        <v>6.0076045627376409E-2</v>
      </c>
      <c r="AO57" s="346">
        <f t="shared" si="69"/>
        <v>7.5712881022615613E-2</v>
      </c>
      <c r="AP57" s="346">
        <f t="shared" si="69"/>
        <v>5.2971137521222407E-2</v>
      </c>
      <c r="AQ57" s="346">
        <f t="shared" si="69"/>
        <v>7.3633440514469198E-2</v>
      </c>
      <c r="AR57" s="346">
        <f t="shared" si="69"/>
        <v>6.5950920245398711E-2</v>
      </c>
      <c r="AS57" s="346">
        <f t="shared" si="69"/>
        <v>7.8106151990349912E-2</v>
      </c>
      <c r="AT57" s="346">
        <f t="shared" si="69"/>
        <v>0.10573932711337293</v>
      </c>
      <c r="AU57" s="346">
        <f t="shared" si="69"/>
        <v>9.1529277998862971E-2</v>
      </c>
      <c r="AV57" s="346">
        <f t="shared" si="69"/>
        <v>0.11117365606529699</v>
      </c>
      <c r="AW57" s="346">
        <f t="shared" si="69"/>
        <v>9.6954898017811028E-2</v>
      </c>
      <c r="AX57" s="346">
        <f t="shared" si="69"/>
        <v>9.8975256185953597E-2</v>
      </c>
      <c r="AY57" s="346">
        <f t="shared" si="69"/>
        <v>0.11948897795591185</v>
      </c>
      <c r="AZ57" s="346">
        <f t="shared" si="69"/>
        <v>0.10163432073544444</v>
      </c>
      <c r="BA57" s="346">
        <f t="shared" si="69"/>
        <v>9.5274980635166609E-2</v>
      </c>
      <c r="BB57" s="347">
        <f t="shared" si="69"/>
        <v>0.10391585350399196</v>
      </c>
      <c r="BC57" s="347">
        <f t="shared" si="69"/>
        <v>0.10468187274909964</v>
      </c>
      <c r="BD57" s="347">
        <f t="shared" si="69"/>
        <v>0.11476573592049223</v>
      </c>
      <c r="BE57" s="347">
        <f t="shared" si="69"/>
        <v>0.11811787533349503</v>
      </c>
      <c r="BF57" s="347">
        <f t="shared" si="69"/>
        <v>0.11035613870665423</v>
      </c>
      <c r="BG57" s="347">
        <f t="shared" si="69"/>
        <v>0.1119652008103921</v>
      </c>
      <c r="BH57" s="347">
        <f t="shared" si="69"/>
        <v>0.10851202079272255</v>
      </c>
      <c r="BI57" s="347">
        <f t="shared" si="69"/>
        <v>0.10763667304828764</v>
      </c>
      <c r="BJ57" s="347">
        <f t="shared" si="69"/>
        <v>0.12347864571807923</v>
      </c>
      <c r="BK57" s="347">
        <f t="shared" si="69"/>
        <v>0.11212378126324717</v>
      </c>
      <c r="BL57" s="347">
        <f t="shared" si="69"/>
        <v>0.11285367825383996</v>
      </c>
      <c r="BM57" s="347">
        <f t="shared" si="69"/>
        <v>0.1443408223823654</v>
      </c>
      <c r="BN57" s="347">
        <f t="shared" si="69"/>
        <v>0.12970359470254356</v>
      </c>
      <c r="BO57" s="347">
        <f t="shared" ref="BO57:CS57" si="70">IF(ISERROR(BO18/BO6),"",BO18/BO6)</f>
        <v>0.11920677361853839</v>
      </c>
      <c r="BP57" s="347">
        <f t="shared" si="70"/>
        <v>0.11593891159389107</v>
      </c>
      <c r="BQ57" s="347">
        <f t="shared" si="70"/>
        <v>0.12744465935955296</v>
      </c>
      <c r="BR57" s="347">
        <f t="shared" si="70"/>
        <v>0.11251758087201125</v>
      </c>
      <c r="BS57" s="347">
        <f t="shared" si="70"/>
        <v>0.12648296976655188</v>
      </c>
      <c r="BT57" s="347">
        <f t="shared" si="70"/>
        <v>0.13626373626373628</v>
      </c>
      <c r="BU57" s="347">
        <f t="shared" si="70"/>
        <v>0.12306101344364019</v>
      </c>
      <c r="BV57" s="347">
        <f t="shared" si="70"/>
        <v>0.12463204111161007</v>
      </c>
      <c r="BW57" s="347">
        <f t="shared" si="70"/>
        <v>0.13492063492063497</v>
      </c>
      <c r="BX57" s="347">
        <f t="shared" si="70"/>
        <v>0.12538164054549164</v>
      </c>
      <c r="BY57" s="347">
        <f t="shared" si="70"/>
        <v>0.1418107833163785</v>
      </c>
      <c r="BZ57" s="347">
        <f t="shared" si="70"/>
        <v>0.17217119405901893</v>
      </c>
      <c r="CA57" s="347">
        <f t="shared" si="70"/>
        <v>0.14392135002280448</v>
      </c>
      <c r="CB57" s="347">
        <f t="shared" si="70"/>
        <v>0.11405295315682283</v>
      </c>
      <c r="CC57" s="347">
        <f t="shared" si="70"/>
        <v>0.12566210045662102</v>
      </c>
      <c r="CD57" s="347">
        <f t="shared" si="70"/>
        <v>0.14819611470860317</v>
      </c>
      <c r="CE57" s="347">
        <f t="shared" si="70"/>
        <v>0.11782531194295892</v>
      </c>
      <c r="CF57" s="347">
        <f t="shared" si="70"/>
        <v>0.12635329587501715</v>
      </c>
      <c r="CG57" s="347">
        <f t="shared" si="70"/>
        <v>0.11838006230529594</v>
      </c>
      <c r="CH57" s="347">
        <f t="shared" si="70"/>
        <v>0.1328407224958949</v>
      </c>
      <c r="CI57" s="347">
        <f t="shared" si="70"/>
        <v>0.1402620087336244</v>
      </c>
      <c r="CJ57" s="347">
        <f t="shared" si="70"/>
        <v>0.12971823498139276</v>
      </c>
      <c r="CK57" s="348">
        <f t="shared" si="70"/>
        <v>0.13015239631532025</v>
      </c>
      <c r="CL57" s="313">
        <f t="shared" si="70"/>
        <v>7.8373382624768909E-2</v>
      </c>
      <c r="CM57" s="313">
        <f t="shared" si="70"/>
        <v>6.646913102110614E-4</v>
      </c>
      <c r="CN57" s="313">
        <f t="shared" si="70"/>
        <v>4.7478102770262015E-2</v>
      </c>
      <c r="CO57" s="313">
        <f t="shared" si="70"/>
        <v>7.2057391295146891E-2</v>
      </c>
      <c r="CP57" s="312">
        <f t="shared" si="70"/>
        <v>5.5457168991155624E-2</v>
      </c>
      <c r="CQ57" s="314">
        <f t="shared" si="70"/>
        <v>7.7240671230175653E-2</v>
      </c>
      <c r="CR57" s="315">
        <f t="shared" si="70"/>
        <v>8.9003903312047342E-2</v>
      </c>
      <c r="CS57" s="315">
        <f t="shared" si="70"/>
        <v>9.9028919421759218E-2</v>
      </c>
      <c r="CW57" s="157"/>
      <c r="CX57" s="157"/>
      <c r="DE57" s="157"/>
      <c r="DF57" s="157"/>
      <c r="DG57" s="157"/>
      <c r="DH57" s="157"/>
      <c r="DL57" s="157"/>
      <c r="DM57" s="157"/>
      <c r="DN57" s="157" t="s">
        <v>549</v>
      </c>
      <c r="DO57" s="161">
        <f>DO53+DO54*DO55</f>
        <v>5000.63</v>
      </c>
      <c r="DP57" s="161">
        <f>DP53+DP54*DP55</f>
        <v>6499.32</v>
      </c>
      <c r="DQ57" s="161">
        <f>DQ53+DQ54*DQ55</f>
        <v>6525.88</v>
      </c>
      <c r="DR57" s="161">
        <f>DR53+DR54*DR55</f>
        <v>7813.2</v>
      </c>
      <c r="DS57" s="157"/>
      <c r="DT57" s="157"/>
      <c r="DU57" s="157"/>
      <c r="DV57" s="157"/>
    </row>
    <row r="58" spans="1:129" ht="12" customHeight="1">
      <c r="B58" s="260"/>
      <c r="C58" s="260"/>
      <c r="D58" s="260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  <c r="AL58" s="260"/>
      <c r="AM58" s="260"/>
      <c r="AN58" s="260"/>
      <c r="AO58" s="260"/>
      <c r="AP58" s="260"/>
      <c r="AQ58" s="260"/>
      <c r="AR58" s="260"/>
      <c r="AS58" s="260"/>
      <c r="AT58" s="260"/>
      <c r="AU58" s="260"/>
      <c r="AV58" s="260"/>
      <c r="AW58" s="260"/>
      <c r="AX58" s="260"/>
      <c r="AY58" s="260"/>
      <c r="AZ58" s="260"/>
      <c r="BA58" s="260"/>
      <c r="BB58" s="312"/>
      <c r="BC58" s="312"/>
      <c r="BD58" s="312"/>
      <c r="BE58" s="312"/>
      <c r="BF58" s="312"/>
      <c r="BG58" s="312"/>
      <c r="BH58" s="312"/>
      <c r="BI58" s="312"/>
      <c r="BJ58" s="312"/>
      <c r="BK58" s="312"/>
      <c r="BL58" s="312"/>
      <c r="BM58" s="312"/>
      <c r="BN58" s="312"/>
      <c r="BO58" s="312"/>
      <c r="BP58" s="312"/>
      <c r="BQ58" s="312"/>
      <c r="BR58" s="312"/>
      <c r="BS58" s="312"/>
      <c r="BT58" s="312"/>
      <c r="BU58" s="312"/>
      <c r="BV58" s="312"/>
      <c r="BW58" s="312"/>
      <c r="BX58" s="312"/>
      <c r="BY58" s="312"/>
      <c r="BZ58" s="312"/>
      <c r="CA58" s="312"/>
      <c r="CB58" s="312"/>
      <c r="CC58" s="312"/>
      <c r="CD58" s="312"/>
      <c r="CE58" s="312"/>
      <c r="CF58" s="312"/>
      <c r="CG58" s="312"/>
      <c r="CH58" s="312"/>
      <c r="CI58" s="312"/>
      <c r="CJ58" s="312"/>
      <c r="CK58" s="312"/>
      <c r="CL58" s="313"/>
      <c r="CM58" s="313"/>
      <c r="CN58" s="313"/>
      <c r="CO58" s="313"/>
      <c r="CP58" s="312"/>
      <c r="CQ58" s="314"/>
      <c r="CR58" s="315"/>
      <c r="CS58" s="315"/>
      <c r="CV58" s="157"/>
      <c r="CW58" s="157"/>
      <c r="CX58" s="157"/>
      <c r="DE58" s="157"/>
      <c r="DF58" s="157"/>
      <c r="DG58" s="157"/>
      <c r="DH58" s="157"/>
      <c r="DI58" s="157"/>
      <c r="DJ58" s="157"/>
      <c r="DK58" s="157"/>
      <c r="DL58" s="157"/>
      <c r="DM58" s="157"/>
      <c r="DN58" s="157"/>
      <c r="DO58" s="161"/>
      <c r="DP58" s="161"/>
      <c r="DQ58" s="161"/>
      <c r="DR58" s="161"/>
      <c r="DS58" s="157"/>
      <c r="DT58" s="157"/>
      <c r="DU58" s="157"/>
      <c r="DV58" s="157"/>
    </row>
    <row r="59" spans="1:129" ht="12" customHeight="1">
      <c r="B59" s="342" t="s">
        <v>137</v>
      </c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3"/>
      <c r="N59" s="333"/>
      <c r="O59" s="333"/>
      <c r="P59" s="333"/>
      <c r="Q59" s="333"/>
      <c r="R59" s="333"/>
      <c r="S59" s="333"/>
      <c r="T59" s="333"/>
      <c r="U59" s="333"/>
      <c r="V59" s="333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G59" s="333"/>
      <c r="AH59" s="333"/>
      <c r="AI59" s="333"/>
      <c r="AJ59" s="333"/>
      <c r="AK59" s="333"/>
      <c r="AL59" s="333"/>
      <c r="AM59" s="333"/>
      <c r="AN59" s="333"/>
      <c r="AO59" s="333"/>
      <c r="AP59" s="333"/>
      <c r="AQ59" s="333"/>
      <c r="AR59" s="333"/>
      <c r="AS59" s="333"/>
      <c r="AT59" s="333"/>
      <c r="AU59" s="333"/>
      <c r="AV59" s="333"/>
      <c r="AW59" s="333"/>
      <c r="AX59" s="333"/>
      <c r="AY59" s="333"/>
      <c r="AZ59" s="333"/>
      <c r="BA59" s="333"/>
      <c r="BB59" s="349"/>
      <c r="BC59" s="349"/>
      <c r="BD59" s="349"/>
      <c r="BE59" s="349"/>
      <c r="BF59" s="349"/>
      <c r="BG59" s="349"/>
      <c r="BH59" s="349"/>
      <c r="BI59" s="349"/>
      <c r="BJ59" s="349"/>
      <c r="BK59" s="349"/>
      <c r="BL59" s="349"/>
      <c r="BM59" s="349"/>
      <c r="BN59" s="349"/>
      <c r="BO59" s="349"/>
      <c r="BP59" s="349"/>
      <c r="BQ59" s="349"/>
      <c r="BR59" s="349"/>
      <c r="BS59" s="349"/>
      <c r="BT59" s="349"/>
      <c r="BU59" s="349"/>
      <c r="BV59" s="349"/>
      <c r="BW59" s="349"/>
      <c r="BX59" s="349"/>
      <c r="BY59" s="349"/>
      <c r="BZ59" s="349"/>
      <c r="CA59" s="349"/>
      <c r="CB59" s="349"/>
      <c r="CC59" s="349"/>
      <c r="CD59" s="349"/>
      <c r="CE59" s="349"/>
      <c r="CF59" s="349"/>
      <c r="CG59" s="349"/>
      <c r="CH59" s="349"/>
      <c r="CI59" s="349"/>
      <c r="CJ59" s="349"/>
      <c r="CK59" s="350"/>
      <c r="CL59" s="313"/>
      <c r="CM59" s="313"/>
      <c r="CN59" s="313"/>
      <c r="CO59" s="313"/>
      <c r="CP59" s="312"/>
      <c r="CQ59" s="314"/>
      <c r="CR59" s="315"/>
      <c r="CS59" s="315"/>
      <c r="CV59" s="157"/>
      <c r="CW59" s="157"/>
      <c r="CX59" s="157"/>
      <c r="DE59" s="157"/>
      <c r="DF59" s="157"/>
      <c r="DG59" s="157"/>
      <c r="DH59" s="157"/>
      <c r="DI59" s="157"/>
      <c r="DJ59" s="157"/>
      <c r="DK59" s="157"/>
      <c r="DL59" s="157"/>
      <c r="DM59" s="157"/>
      <c r="DN59" s="157" t="s">
        <v>550</v>
      </c>
      <c r="DO59" s="161">
        <f>DO57/DO52</f>
        <v>10.968699276157054</v>
      </c>
      <c r="DP59" s="161">
        <f>DP57/DP52</f>
        <v>14.178272251308901</v>
      </c>
      <c r="DQ59" s="161">
        <f>DQ57/DQ52</f>
        <v>13.04393363981611</v>
      </c>
      <c r="DR59" s="161">
        <f>DR57/DR52</f>
        <v>13.330830916225899</v>
      </c>
      <c r="DS59" s="157"/>
      <c r="DT59" s="157"/>
      <c r="DU59" s="157"/>
      <c r="DV59" s="157"/>
    </row>
    <row r="60" spans="1:129" s="157" customFormat="1" ht="12" customHeight="1">
      <c r="A60" s="197"/>
      <c r="B60" s="343" t="s">
        <v>117</v>
      </c>
      <c r="C60" s="304"/>
      <c r="D60" s="304">
        <f t="shared" ref="D60:I60" si="71">IF(ISERROR(D6/C6-1),"",D6/C6-1)</f>
        <v>0.16244669666063594</v>
      </c>
      <c r="E60" s="304">
        <f t="shared" si="71"/>
        <v>5.7349381659510534E-2</v>
      </c>
      <c r="F60" s="304">
        <f t="shared" si="71"/>
        <v>-8.3195831524098929E-2</v>
      </c>
      <c r="G60" s="304">
        <f t="shared" si="71"/>
        <v>-4.3857156389125795E-2</v>
      </c>
      <c r="H60" s="304">
        <f t="shared" si="71"/>
        <v>-0.15712304339211414</v>
      </c>
      <c r="I60" s="304">
        <f t="shared" si="71"/>
        <v>5.4184297132110926E-2</v>
      </c>
      <c r="J60" s="304"/>
      <c r="K60" s="304"/>
      <c r="L60" s="304"/>
      <c r="M60" s="304"/>
      <c r="N60" s="304">
        <f t="shared" ref="N60:AS60" si="72">IF(ISERROR(N6/I6-1),"",N6/I6-1)</f>
        <v>0.1980153863306946</v>
      </c>
      <c r="O60" s="304">
        <f t="shared" si="72"/>
        <v>0.10578386605783874</v>
      </c>
      <c r="P60" s="304">
        <f t="shared" si="72"/>
        <v>0.14364437913299044</v>
      </c>
      <c r="Q60" s="304">
        <f t="shared" si="72"/>
        <v>5.1311288483466333E-2</v>
      </c>
      <c r="R60" s="304">
        <f t="shared" si="72"/>
        <v>2.3516642547033229E-2</v>
      </c>
      <c r="S60" s="304">
        <f t="shared" si="72"/>
        <v>8.0874825500232728E-2</v>
      </c>
      <c r="T60" s="304">
        <f t="shared" si="72"/>
        <v>5.6434962147281498E-2</v>
      </c>
      <c r="U60" s="304">
        <f t="shared" si="72"/>
        <v>1.5097976228718224E-2</v>
      </c>
      <c r="V60" s="304">
        <f t="shared" si="72"/>
        <v>4.5191612436731754E-2</v>
      </c>
      <c r="W60" s="304">
        <f t="shared" si="72"/>
        <v>-6.7161541180632556E-3</v>
      </c>
      <c r="X60" s="304">
        <f t="shared" si="72"/>
        <v>2.7294644394695977E-2</v>
      </c>
      <c r="Y60" s="304">
        <f t="shared" si="72"/>
        <v>-7.947882736156342E-2</v>
      </c>
      <c r="Z60" s="304">
        <f t="shared" si="72"/>
        <v>-8.2911392405063289E-2</v>
      </c>
      <c r="AA60" s="304">
        <f t="shared" si="72"/>
        <v>-2.7672085783465916E-2</v>
      </c>
      <c r="AB60" s="304">
        <f t="shared" si="72"/>
        <v>0.13024911032028452</v>
      </c>
      <c r="AC60" s="304">
        <f t="shared" si="72"/>
        <v>-1.843935965132848E-2</v>
      </c>
      <c r="AD60" s="304">
        <f t="shared" si="72"/>
        <v>0.21903750884642603</v>
      </c>
      <c r="AE60" s="304">
        <f t="shared" si="72"/>
        <v>0.24051069703243622</v>
      </c>
      <c r="AF60" s="304">
        <f t="shared" si="72"/>
        <v>0.17893987904660236</v>
      </c>
      <c r="AG60" s="304">
        <f t="shared" si="72"/>
        <v>-8.8476070528966666E-2</v>
      </c>
      <c r="AH60" s="304">
        <f t="shared" si="72"/>
        <v>0.13132951925540115</v>
      </c>
      <c r="AI60" s="304">
        <f t="shared" si="72"/>
        <v>-0.10798258345428158</v>
      </c>
      <c r="AJ60" s="304">
        <f t="shared" si="72"/>
        <v>-0.22865090403337962</v>
      </c>
      <c r="AK60" s="304">
        <f t="shared" si="72"/>
        <v>-0.22420036210018091</v>
      </c>
      <c r="AL60" s="304">
        <f t="shared" si="72"/>
        <v>-7.9101899827288324E-2</v>
      </c>
      <c r="AM60" s="304">
        <f t="shared" si="72"/>
        <v>-0.16348403653105892</v>
      </c>
      <c r="AN60" s="304">
        <f t="shared" si="72"/>
        <v>-0.14415880247315327</v>
      </c>
      <c r="AO60" s="304">
        <f t="shared" si="72"/>
        <v>0.10025243418680141</v>
      </c>
      <c r="AP60" s="304">
        <f t="shared" si="72"/>
        <v>0.145468689225982</v>
      </c>
      <c r="AQ60" s="304">
        <f t="shared" si="72"/>
        <v>0.16654163540885158</v>
      </c>
      <c r="AR60" s="304">
        <f t="shared" si="72"/>
        <v>5.8919065235044421E-2</v>
      </c>
      <c r="AS60" s="304">
        <f t="shared" si="72"/>
        <v>0.26083650190114072</v>
      </c>
      <c r="AT60" s="304">
        <f t="shared" ref="AT60:BY60" si="73">IF(ISERROR(AT6/AO6-1),"",AT6/AO6-1)</f>
        <v>0.15929203539822989</v>
      </c>
      <c r="AU60" s="304">
        <f t="shared" si="73"/>
        <v>0.19456706281833624</v>
      </c>
      <c r="AV60" s="304">
        <f t="shared" si="73"/>
        <v>0.14244372990353749</v>
      </c>
      <c r="AW60" s="304">
        <f t="shared" si="73"/>
        <v>0.18643490115882755</v>
      </c>
      <c r="AX60" s="304">
        <f t="shared" si="73"/>
        <v>0.20657418576598308</v>
      </c>
      <c r="AY60" s="304">
        <f t="shared" si="73"/>
        <v>0.12864009047215164</v>
      </c>
      <c r="AZ60" s="304">
        <f t="shared" si="73"/>
        <v>0.11313246162592394</v>
      </c>
      <c r="BA60" s="304">
        <f t="shared" si="73"/>
        <v>9.0064734027582416E-2</v>
      </c>
      <c r="BB60" s="312">
        <f t="shared" si="73"/>
        <v>0.13343866704969853</v>
      </c>
      <c r="BC60" s="312">
        <f t="shared" si="73"/>
        <v>4.0989752561859438E-2</v>
      </c>
      <c r="BD60" s="312">
        <f t="shared" si="73"/>
        <v>5.8617234468937962E-2</v>
      </c>
      <c r="BE60" s="312">
        <f t="shared" si="73"/>
        <v>5.2860061287027582E-2</v>
      </c>
      <c r="BF60" s="312">
        <f t="shared" si="73"/>
        <v>0.1019881229021431</v>
      </c>
      <c r="BG60" s="312">
        <f t="shared" si="73"/>
        <v>6.3363325307312035E-2</v>
      </c>
      <c r="BH60" s="312">
        <f t="shared" si="73"/>
        <v>0.10852340936374549</v>
      </c>
      <c r="BI60" s="312">
        <f t="shared" si="73"/>
        <v>0.11239943208708003</v>
      </c>
      <c r="BJ60" s="312">
        <f t="shared" si="73"/>
        <v>9.6046568032985613E-2</v>
      </c>
      <c r="BK60" s="312">
        <f t="shared" si="73"/>
        <v>0.10543580131208996</v>
      </c>
      <c r="BL60" s="312">
        <f t="shared" si="73"/>
        <v>0.10564890954594186</v>
      </c>
      <c r="BM60" s="312">
        <f t="shared" si="73"/>
        <v>2.1875676846437209E-2</v>
      </c>
      <c r="BN60" s="312">
        <f t="shared" si="73"/>
        <v>1.1912359072537626E-2</v>
      </c>
      <c r="BO60" s="312">
        <f t="shared" si="73"/>
        <v>-6.859924762115388E-3</v>
      </c>
      <c r="BP60" s="312">
        <f t="shared" si="73"/>
        <v>-1.46248410343367E-2</v>
      </c>
      <c r="BQ60" s="312">
        <f t="shared" si="73"/>
        <v>3.0719482619241401E-3</v>
      </c>
      <c r="BR60" s="312">
        <f t="shared" si="73"/>
        <v>5.4896142433234374E-2</v>
      </c>
      <c r="BS60" s="312">
        <f t="shared" si="73"/>
        <v>9.8591549295774739E-2</v>
      </c>
      <c r="BT60" s="312">
        <f t="shared" si="73"/>
        <v>0.11519607843137258</v>
      </c>
      <c r="BU60" s="312">
        <f t="shared" si="73"/>
        <v>4.0008604000860482E-2</v>
      </c>
      <c r="BV60" s="312">
        <f t="shared" si="73"/>
        <v>7.6885880077369517E-2</v>
      </c>
      <c r="BW60" s="312">
        <f t="shared" si="73"/>
        <v>-3.7974683544303778E-2</v>
      </c>
      <c r="BX60" s="312">
        <f t="shared" si="73"/>
        <v>-5.9892843474933066E-2</v>
      </c>
      <c r="BY60" s="312">
        <f t="shared" si="73"/>
        <v>-1.7982017982017928E-2</v>
      </c>
      <c r="BZ60" s="312">
        <f t="shared" ref="BZ60:CP60" si="74">IF(ISERROR(BZ6/BU6-1),"",BZ6/BU6-1)</f>
        <v>5.8324715615305056E-2</v>
      </c>
      <c r="CA60" s="312">
        <f t="shared" si="74"/>
        <v>-1.5466746495035655E-2</v>
      </c>
      <c r="CB60" s="312">
        <f t="shared" si="74"/>
        <v>0.12802840434419394</v>
      </c>
      <c r="CC60" s="312">
        <f t="shared" si="74"/>
        <v>0.1143903928353347</v>
      </c>
      <c r="CD60" s="312">
        <f t="shared" si="74"/>
        <v>9.9694811800610461E-2</v>
      </c>
      <c r="CE60" s="312">
        <f t="shared" si="74"/>
        <v>9.6345514950166189E-2</v>
      </c>
      <c r="CF60" s="312">
        <f t="shared" si="74"/>
        <v>0.10935995540465204</v>
      </c>
      <c r="CG60" s="312">
        <f t="shared" si="74"/>
        <v>0.12923532679133487</v>
      </c>
      <c r="CH60" s="312">
        <f t="shared" si="74"/>
        <v>0.11232876712328776</v>
      </c>
      <c r="CI60" s="312">
        <f t="shared" si="74"/>
        <v>5.9204440333024966E-2</v>
      </c>
      <c r="CJ60" s="312">
        <f t="shared" si="74"/>
        <v>5.8823529411764497E-3</v>
      </c>
      <c r="CK60" s="344">
        <f t="shared" si="74"/>
        <v>7.6104335114887345E-2</v>
      </c>
      <c r="CL60" s="313">
        <f t="shared" si="74"/>
        <v>-0.11296933923594032</v>
      </c>
      <c r="CM60" s="313">
        <f t="shared" si="74"/>
        <v>-0.50563875205254516</v>
      </c>
      <c r="CN60" s="313">
        <f t="shared" si="74"/>
        <v>-0.38605589519650652</v>
      </c>
      <c r="CO60" s="313">
        <f t="shared" si="74"/>
        <v>-0.26309232677653727</v>
      </c>
      <c r="CP60" s="312">
        <f t="shared" si="74"/>
        <v>-0.31681198794413545</v>
      </c>
      <c r="CQ60" s="314">
        <f>IF(ISERROR(CQ6/CP6-1),"",CQ6/CP6-1)</f>
        <v>9.3959758566310336E-2</v>
      </c>
      <c r="CR60" s="315">
        <f>IF(ISERROR(CR6/CQ6-1),"",CR6/CQ6-1)</f>
        <v>9.1419203910259039E-2</v>
      </c>
      <c r="CS60" s="315">
        <f>IF(ISERROR(CS6/CR6-1),"",CS6/CR6-1)</f>
        <v>0.10588057512535731</v>
      </c>
      <c r="DL60" s="156"/>
      <c r="DM60" s="156"/>
      <c r="DN60" s="156"/>
      <c r="DO60" s="156"/>
      <c r="DP60" s="156"/>
      <c r="DQ60" s="156"/>
      <c r="DR60" s="156"/>
      <c r="DS60" s="156"/>
      <c r="DT60" s="156"/>
      <c r="DU60" s="156"/>
      <c r="DV60" s="156"/>
      <c r="DW60" s="156"/>
      <c r="DX60" s="156"/>
      <c r="DY60" s="156"/>
    </row>
    <row r="61" spans="1:129" s="157" customFormat="1" ht="12" customHeight="1">
      <c r="A61" s="197"/>
      <c r="B61" s="343" t="s">
        <v>129</v>
      </c>
      <c r="C61" s="304"/>
      <c r="D61" s="304">
        <f t="shared" ref="D61:I61" si="75">IF(ISERROR(D48/C48-1),"",D48/C48-1)</f>
        <v>0.37617367755269338</v>
      </c>
      <c r="E61" s="304">
        <f t="shared" si="75"/>
        <v>-0.24391996426745099</v>
      </c>
      <c r="F61" s="304">
        <f t="shared" si="75"/>
        <v>3.5958904109589573E-2</v>
      </c>
      <c r="G61" s="304">
        <f t="shared" si="75"/>
        <v>-3.1942148760330569</v>
      </c>
      <c r="H61" s="304">
        <f t="shared" si="75"/>
        <v>-1.4045197740112991</v>
      </c>
      <c r="I61" s="304">
        <f t="shared" si="75"/>
        <v>2.4208566108008034E-2</v>
      </c>
      <c r="J61" s="304"/>
      <c r="K61" s="304"/>
      <c r="L61" s="304"/>
      <c r="M61" s="304"/>
      <c r="N61" s="304">
        <f t="shared" ref="N61:AS61" si="76">IF(ISERROR(N48/I48-1),"",N48/I48-1)</f>
        <v>0.27999999999999958</v>
      </c>
      <c r="O61" s="304">
        <f t="shared" si="76"/>
        <v>0.22162162162162069</v>
      </c>
      <c r="P61" s="304">
        <f t="shared" si="76"/>
        <v>0.24552429667519249</v>
      </c>
      <c r="Q61" s="304">
        <f t="shared" si="76"/>
        <v>-0.35161290322580607</v>
      </c>
      <c r="R61" s="304">
        <f t="shared" si="76"/>
        <v>0.11275964391691606</v>
      </c>
      <c r="S61" s="304">
        <f t="shared" si="76"/>
        <v>7.5994318181818787E-2</v>
      </c>
      <c r="T61" s="304">
        <f t="shared" si="76"/>
        <v>-8.4070796460177233E-2</v>
      </c>
      <c r="U61" s="304">
        <f t="shared" si="76"/>
        <v>-5.3388090349076545E-2</v>
      </c>
      <c r="V61" s="304">
        <f t="shared" si="76"/>
        <v>0.79104477611940172</v>
      </c>
      <c r="W61" s="304">
        <f t="shared" si="76"/>
        <v>-0.29866666666666641</v>
      </c>
      <c r="X61" s="304">
        <f t="shared" si="76"/>
        <v>-1.122112211221149E-2</v>
      </c>
      <c r="Y61" s="304">
        <f t="shared" si="76"/>
        <v>-4.3478260869564522E-2</v>
      </c>
      <c r="Z61" s="304">
        <f t="shared" si="76"/>
        <v>-4.7722342733188317E-2</v>
      </c>
      <c r="AA61" s="304">
        <f t="shared" si="76"/>
        <v>0.12222222222222201</v>
      </c>
      <c r="AB61" s="304">
        <f t="shared" si="76"/>
        <v>0.17490494296577364</v>
      </c>
      <c r="AC61" s="304">
        <f t="shared" si="76"/>
        <v>3.3377837116154385E-2</v>
      </c>
      <c r="AD61" s="304">
        <f t="shared" si="76"/>
        <v>0.19696969696969702</v>
      </c>
      <c r="AE61" s="304">
        <f t="shared" si="76"/>
        <v>-7.2892938496582738E-2</v>
      </c>
      <c r="AF61" s="304">
        <f t="shared" si="76"/>
        <v>0.15594059405940408</v>
      </c>
      <c r="AG61" s="304">
        <f t="shared" si="76"/>
        <v>0.29449838187702482</v>
      </c>
      <c r="AH61" s="304">
        <f t="shared" si="76"/>
        <v>0.12919896640826867</v>
      </c>
      <c r="AI61" s="304">
        <f t="shared" si="76"/>
        <v>7.1729957805906741E-2</v>
      </c>
      <c r="AJ61" s="304">
        <f t="shared" si="76"/>
        <v>1.4742014742014753E-2</v>
      </c>
      <c r="AK61" s="304">
        <f t="shared" si="76"/>
        <v>-0.32334047109207631</v>
      </c>
      <c r="AL61" s="304">
        <f t="shared" si="76"/>
        <v>-0.3349999999999973</v>
      </c>
      <c r="AM61" s="304">
        <f t="shared" si="76"/>
        <v>-0.14016018306636058</v>
      </c>
      <c r="AN61" s="304">
        <f t="shared" si="76"/>
        <v>-0.29527559055118124</v>
      </c>
      <c r="AO61" s="304">
        <f t="shared" si="76"/>
        <v>0.30992736077481831</v>
      </c>
      <c r="AP61" s="304">
        <f t="shared" si="76"/>
        <v>0.52531645569620156</v>
      </c>
      <c r="AQ61" s="304">
        <f t="shared" si="76"/>
        <v>0.68796992481202657</v>
      </c>
      <c r="AR61" s="304">
        <f t="shared" si="76"/>
        <v>0.21756487025948013</v>
      </c>
      <c r="AS61" s="304">
        <f t="shared" si="76"/>
        <v>0.71229050279329709</v>
      </c>
      <c r="AT61" s="304">
        <f t="shared" ref="AT61:BY61" si="77">IF(ISERROR(AT48/AO48-1),"",AT48/AO48-1)</f>
        <v>0.1682070240295741</v>
      </c>
      <c r="AU61" s="304">
        <f t="shared" si="77"/>
        <v>0.23858921161825752</v>
      </c>
      <c r="AV61" s="304">
        <f t="shared" si="77"/>
        <v>0.40534521158129455</v>
      </c>
      <c r="AW61" s="304">
        <f t="shared" si="77"/>
        <v>0.35136612021858005</v>
      </c>
      <c r="AX61" s="304">
        <f t="shared" si="77"/>
        <v>0.21696574225122345</v>
      </c>
      <c r="AY61" s="304">
        <f t="shared" si="77"/>
        <v>0.39556962025316467</v>
      </c>
      <c r="AZ61" s="304">
        <f t="shared" si="77"/>
        <v>0.25125628140703582</v>
      </c>
      <c r="BA61" s="304">
        <f t="shared" si="77"/>
        <v>8.5578446909667427E-2</v>
      </c>
      <c r="BB61" s="312">
        <f t="shared" si="77"/>
        <v>0.23736352608168221</v>
      </c>
      <c r="BC61" s="312">
        <f t="shared" si="77"/>
        <v>3.6193029490616091E-2</v>
      </c>
      <c r="BD61" s="312">
        <f t="shared" si="77"/>
        <v>-2.8344671201813942E-2</v>
      </c>
      <c r="BE61" s="312">
        <f t="shared" si="77"/>
        <v>0.12048192771084287</v>
      </c>
      <c r="BF61" s="312">
        <f t="shared" si="77"/>
        <v>0.21897810218978075</v>
      </c>
      <c r="BG61" s="312">
        <f t="shared" si="77"/>
        <v>7.9084967320261157E-2</v>
      </c>
      <c r="BH61" s="312">
        <f t="shared" si="77"/>
        <v>0.18628719275549788</v>
      </c>
      <c r="BI61" s="312">
        <f t="shared" si="77"/>
        <v>8.2847141190198315E-2</v>
      </c>
      <c r="BJ61" s="312">
        <f t="shared" si="77"/>
        <v>0.15651135005973704</v>
      </c>
      <c r="BK61" s="312">
        <f t="shared" si="77"/>
        <v>0.14610778443113781</v>
      </c>
      <c r="BL61" s="312">
        <f t="shared" si="77"/>
        <v>0.14173228346456668</v>
      </c>
      <c r="BM61" s="312">
        <f t="shared" si="77"/>
        <v>0.10032715376226853</v>
      </c>
      <c r="BN61" s="312">
        <f t="shared" si="77"/>
        <v>0.17995689655172376</v>
      </c>
      <c r="BO61" s="312">
        <f t="shared" si="77"/>
        <v>5.1652892561984132E-3</v>
      </c>
      <c r="BP61" s="312">
        <f t="shared" si="77"/>
        <v>5.642633228840066E-2</v>
      </c>
      <c r="BQ61" s="312">
        <f t="shared" si="77"/>
        <v>8.4350132625994556E-2</v>
      </c>
      <c r="BR61" s="312">
        <f t="shared" si="77"/>
        <v>5.1536174430128812E-2</v>
      </c>
      <c r="BS61" s="312">
        <f t="shared" si="77"/>
        <v>0.1269406392694068</v>
      </c>
      <c r="BT61" s="312">
        <f t="shared" si="77"/>
        <v>0.15724563206577558</v>
      </c>
      <c r="BU61" s="312">
        <f t="shared" si="77"/>
        <v>0.10089020771513413</v>
      </c>
      <c r="BV61" s="312">
        <f t="shared" si="77"/>
        <v>0.10909980430528399</v>
      </c>
      <c r="BW61" s="312">
        <f t="shared" si="77"/>
        <v>-2.9217719132893172E-2</v>
      </c>
      <c r="BX61" s="312">
        <f t="shared" si="77"/>
        <v>-6.9692058346839336E-2</v>
      </c>
      <c r="BY61" s="312">
        <f t="shared" si="77"/>
        <v>2.9307282415630853E-2</v>
      </c>
      <c r="BZ61" s="312">
        <f t="shared" ref="BZ61:CP61" si="78">IF(ISERROR(BZ48/BU48-1),"",BZ48/BU48-1)</f>
        <v>9.0745732255165912E-2</v>
      </c>
      <c r="CA61" s="312">
        <f t="shared" si="78"/>
        <v>3.7494486104985292E-3</v>
      </c>
      <c r="CB61" s="312">
        <f t="shared" si="78"/>
        <v>8.932038834951439E-2</v>
      </c>
      <c r="CC61" s="312">
        <f t="shared" si="78"/>
        <v>0.10017421602787424</v>
      </c>
      <c r="CD61" s="312">
        <f t="shared" si="78"/>
        <v>0.10181190681622065</v>
      </c>
      <c r="CE61" s="312">
        <f t="shared" si="78"/>
        <v>5.5189456342668697E-2</v>
      </c>
      <c r="CF61" s="312">
        <f t="shared" si="78"/>
        <v>8.6134915403207835E-2</v>
      </c>
      <c r="CG61" s="312">
        <f t="shared" si="78"/>
        <v>0.26114081996434924</v>
      </c>
      <c r="CH61" s="312">
        <f t="shared" si="78"/>
        <v>0.18052256532066524</v>
      </c>
      <c r="CI61" s="312">
        <f t="shared" si="78"/>
        <v>0.12999216914643652</v>
      </c>
      <c r="CJ61" s="312">
        <f t="shared" si="78"/>
        <v>3.0444964871194191E-2</v>
      </c>
      <c r="CK61" s="344">
        <f t="shared" si="78"/>
        <v>0.14687436779283813</v>
      </c>
      <c r="CL61" s="313">
        <f t="shared" si="78"/>
        <v>-0.28480565371024757</v>
      </c>
      <c r="CM61" s="313">
        <f t="shared" si="78"/>
        <v>-0.66123128638497652</v>
      </c>
      <c r="CN61" s="313">
        <f t="shared" si="78"/>
        <v>-0.51037339015938987</v>
      </c>
      <c r="CO61" s="313">
        <f t="shared" si="78"/>
        <v>-0.32486987727272698</v>
      </c>
      <c r="CP61" s="312">
        <f t="shared" si="78"/>
        <v>-0.45055439901217142</v>
      </c>
      <c r="CQ61" s="314">
        <f>IF(ISERROR(CQ48/CP48-1),"",CQ48/CP48-1)</f>
        <v>0.17814113464435932</v>
      </c>
      <c r="CR61" s="315">
        <f>IF(ISERROR(CR48/CQ48-1),"",CR48/CQ48-1)</f>
        <v>9.8791461705882044E-2</v>
      </c>
      <c r="CS61" s="315">
        <f>IF(ISERROR(CS48/CR48-1),"",CS48/CR48-1)</f>
        <v>0.11407191840877662</v>
      </c>
      <c r="DL61" s="156"/>
      <c r="DM61" s="156"/>
      <c r="DN61" s="156"/>
      <c r="DO61" s="156"/>
      <c r="DP61" s="156"/>
      <c r="DQ61" s="156"/>
      <c r="DR61" s="156"/>
      <c r="DS61" s="156"/>
      <c r="DT61" s="156"/>
      <c r="DU61" s="156"/>
      <c r="DV61" s="156"/>
      <c r="DW61" s="156"/>
      <c r="DX61" s="156"/>
      <c r="DY61" s="156"/>
    </row>
    <row r="62" spans="1:129" s="157" customFormat="1" ht="12" customHeight="1">
      <c r="A62" s="197"/>
      <c r="B62" s="343" t="s">
        <v>82</v>
      </c>
      <c r="C62" s="304"/>
      <c r="D62" s="304">
        <f t="shared" ref="D62:I62" si="79">IF(ISERROR(D46/C46-1),"",D46/C46-1)</f>
        <v>0.53078200818760934</v>
      </c>
      <c r="E62" s="304">
        <f t="shared" si="79"/>
        <v>-0.41130734199711272</v>
      </c>
      <c r="F62" s="304">
        <f t="shared" si="79"/>
        <v>9.4339622641510523E-2</v>
      </c>
      <c r="G62" s="304">
        <f t="shared" si="79"/>
        <v>-5.193633952254638</v>
      </c>
      <c r="H62" s="304">
        <f t="shared" si="79"/>
        <v>-1.1903858317520555</v>
      </c>
      <c r="I62" s="304">
        <f t="shared" si="79"/>
        <v>-3.9867109634550646E-2</v>
      </c>
      <c r="J62" s="304"/>
      <c r="K62" s="304"/>
      <c r="L62" s="304"/>
      <c r="M62" s="304"/>
      <c r="N62" s="304">
        <f t="shared" ref="N62:AS62" si="80">IF(ISERROR(N46/I46-1),"",N46/I46-1)</f>
        <v>0.53633217993079541</v>
      </c>
      <c r="O62" s="304">
        <f t="shared" si="80"/>
        <v>0.38818565400843763</v>
      </c>
      <c r="P62" s="304">
        <f t="shared" si="80"/>
        <v>0.42471042471042564</v>
      </c>
      <c r="Q62" s="304">
        <f t="shared" si="80"/>
        <v>-0.532258064516128</v>
      </c>
      <c r="R62" s="304">
        <f t="shared" si="80"/>
        <v>0.24757281553398491</v>
      </c>
      <c r="S62" s="304">
        <f t="shared" si="80"/>
        <v>0.17342342342342421</v>
      </c>
      <c r="T62" s="304">
        <f t="shared" si="80"/>
        <v>-9.422492401215854E-2</v>
      </c>
      <c r="U62" s="304">
        <f t="shared" si="80"/>
        <v>-7.0460704607046787E-2</v>
      </c>
      <c r="V62" s="304">
        <f t="shared" si="80"/>
        <v>1.9540229885057383</v>
      </c>
      <c r="W62" s="304">
        <f t="shared" si="80"/>
        <v>-0.35408560311284021</v>
      </c>
      <c r="X62" s="304">
        <f t="shared" si="80"/>
        <v>2.1113243761995859E-2</v>
      </c>
      <c r="Y62" s="304">
        <f t="shared" si="80"/>
        <v>3.3557046979877381E-3</v>
      </c>
      <c r="Z62" s="304">
        <f t="shared" si="80"/>
        <v>-8.7463556851307134E-3</v>
      </c>
      <c r="AA62" s="304">
        <f t="shared" si="80"/>
        <v>0.17509727626459148</v>
      </c>
      <c r="AB62" s="304">
        <f t="shared" si="80"/>
        <v>0.25903614457830426</v>
      </c>
      <c r="AC62" s="304">
        <f t="shared" si="80"/>
        <v>8.0827067669172026E-2</v>
      </c>
      <c r="AD62" s="304">
        <f t="shared" si="80"/>
        <v>0.21739130434782594</v>
      </c>
      <c r="AE62" s="304">
        <f t="shared" si="80"/>
        <v>-0.13823529411764646</v>
      </c>
      <c r="AF62" s="304">
        <f t="shared" si="80"/>
        <v>0.18874172185430216</v>
      </c>
      <c r="AG62" s="304">
        <f t="shared" si="80"/>
        <v>0.40191387559809</v>
      </c>
      <c r="AH62" s="304">
        <f t="shared" si="80"/>
        <v>0.13826086956521721</v>
      </c>
      <c r="AI62" s="304">
        <f t="shared" si="80"/>
        <v>9.615384615384559E-2</v>
      </c>
      <c r="AJ62" s="304">
        <f t="shared" si="80"/>
        <v>1.3651877133105783E-2</v>
      </c>
      <c r="AK62" s="304">
        <f t="shared" si="80"/>
        <v>-0.4540389972144836</v>
      </c>
      <c r="AL62" s="304">
        <f t="shared" si="80"/>
        <v>-0.50511945392491187</v>
      </c>
      <c r="AM62" s="304">
        <f t="shared" si="80"/>
        <v>-0.20779220779220642</v>
      </c>
      <c r="AN62" s="304">
        <f t="shared" si="80"/>
        <v>-0.40350877192982471</v>
      </c>
      <c r="AO62" s="304">
        <f t="shared" si="80"/>
        <v>0.36363636363636331</v>
      </c>
      <c r="AP62" s="304">
        <f t="shared" si="80"/>
        <v>0.76020408163265141</v>
      </c>
      <c r="AQ62" s="304">
        <f t="shared" si="80"/>
        <v>1.1379310344827509</v>
      </c>
      <c r="AR62" s="304">
        <f t="shared" si="80"/>
        <v>0.25168756027000794</v>
      </c>
      <c r="AS62" s="304">
        <f t="shared" si="80"/>
        <v>0.98319327731092598</v>
      </c>
      <c r="AT62" s="304">
        <f t="shared" ref="AT62:BY62" si="81">IF(ISERROR(AT46/AO46-1),"",AT46/AO46-1)</f>
        <v>0.21975308641975211</v>
      </c>
      <c r="AU62" s="304">
        <f t="shared" si="81"/>
        <v>0.33333333333333326</v>
      </c>
      <c r="AV62" s="304">
        <f t="shared" si="81"/>
        <v>0.59354838709677948</v>
      </c>
      <c r="AW62" s="304">
        <f t="shared" si="81"/>
        <v>0.47919876733436184</v>
      </c>
      <c r="AX62" s="304">
        <f t="shared" si="81"/>
        <v>0.28389830508474567</v>
      </c>
      <c r="AY62" s="304">
        <f t="shared" si="81"/>
        <v>0.49595141700404866</v>
      </c>
      <c r="AZ62" s="304">
        <f t="shared" si="81"/>
        <v>0.30434782608695765</v>
      </c>
      <c r="BA62" s="304">
        <f t="shared" si="81"/>
        <v>9.919028340080982E-2</v>
      </c>
      <c r="BB62" s="312">
        <f t="shared" si="81"/>
        <v>0.29583333333333361</v>
      </c>
      <c r="BC62" s="312">
        <f t="shared" si="81"/>
        <v>3.9603960396038973E-2</v>
      </c>
      <c r="BD62" s="312">
        <f t="shared" si="81"/>
        <v>-2.7063599458727827E-2</v>
      </c>
      <c r="BE62" s="312">
        <f t="shared" si="81"/>
        <v>0.14999999999999925</v>
      </c>
      <c r="BF62" s="312">
        <f t="shared" si="81"/>
        <v>0.23388581952117837</v>
      </c>
      <c r="BG62" s="312">
        <f t="shared" si="81"/>
        <v>8.8826366559485059E-2</v>
      </c>
      <c r="BH62" s="312">
        <f t="shared" si="81"/>
        <v>0.18412698412698414</v>
      </c>
      <c r="BI62" s="312">
        <f t="shared" si="81"/>
        <v>4.4506258692628586E-2</v>
      </c>
      <c r="BJ62" s="312">
        <f t="shared" si="81"/>
        <v>0.14492753623188381</v>
      </c>
      <c r="BK62" s="312">
        <f t="shared" si="81"/>
        <v>0.15074626865671625</v>
      </c>
      <c r="BL62" s="312">
        <f t="shared" si="81"/>
        <v>0.1288298265042449</v>
      </c>
      <c r="BM62" s="312">
        <f t="shared" si="81"/>
        <v>0.10723860589812362</v>
      </c>
      <c r="BN62" s="312">
        <f t="shared" si="81"/>
        <v>0.20639147802929347</v>
      </c>
      <c r="BO62" s="312">
        <f t="shared" si="81"/>
        <v>-1.2658227848100889E-2</v>
      </c>
      <c r="BP62" s="312">
        <f t="shared" si="81"/>
        <v>5.3177691309986397E-2</v>
      </c>
      <c r="BQ62" s="312">
        <f t="shared" si="81"/>
        <v>8.6984957488554393E-2</v>
      </c>
      <c r="BR62" s="312">
        <f t="shared" si="81"/>
        <v>1.5738498789346078E-2</v>
      </c>
      <c r="BS62" s="312">
        <f t="shared" si="81"/>
        <v>0.104856512141281</v>
      </c>
      <c r="BT62" s="312">
        <f t="shared" si="81"/>
        <v>0.1423076923076918</v>
      </c>
      <c r="BU62" s="312">
        <f t="shared" si="81"/>
        <v>7.1428571428572285E-2</v>
      </c>
      <c r="BV62" s="312">
        <f t="shared" si="81"/>
        <v>8.3333333333333481E-2</v>
      </c>
      <c r="BW62" s="312">
        <f t="shared" si="81"/>
        <v>-6.3170441001191513E-2</v>
      </c>
      <c r="BX62" s="312">
        <f t="shared" si="81"/>
        <v>-0.1038961038961036</v>
      </c>
      <c r="BY62" s="312">
        <f t="shared" si="81"/>
        <v>2.2204460492503131E-16</v>
      </c>
      <c r="BZ62" s="312">
        <f t="shared" ref="BZ62:CP62" si="82">IF(ISERROR(BZ46/BU46-1),"",BZ46/BU46-1)</f>
        <v>7.1264367816091578E-2</v>
      </c>
      <c r="CA62" s="312">
        <f t="shared" si="82"/>
        <v>-2.6381560677589344E-2</v>
      </c>
      <c r="CB62" s="312">
        <f t="shared" si="82"/>
        <v>4.8346055979643809E-2</v>
      </c>
      <c r="CC62" s="312">
        <f t="shared" si="82"/>
        <v>7.5808249721292853E-2</v>
      </c>
      <c r="CD62" s="312">
        <f t="shared" si="82"/>
        <v>8.3052749719416008E-2</v>
      </c>
      <c r="CE62" s="312">
        <f t="shared" si="82"/>
        <v>2.7896995708154293E-2</v>
      </c>
      <c r="CF62" s="312">
        <f t="shared" si="82"/>
        <v>5.8756417569880037E-2</v>
      </c>
      <c r="CG62" s="312">
        <f t="shared" si="82"/>
        <v>0.24757281553398003</v>
      </c>
      <c r="CH62" s="312">
        <f t="shared" si="82"/>
        <v>0.19274611398963715</v>
      </c>
      <c r="CI62" s="312">
        <f t="shared" si="82"/>
        <v>0.13886010362694279</v>
      </c>
      <c r="CJ62" s="312">
        <f t="shared" si="82"/>
        <v>1.6701461377870208E-2</v>
      </c>
      <c r="CK62" s="344">
        <f t="shared" si="82"/>
        <v>0.14547413793103425</v>
      </c>
      <c r="CL62" s="313">
        <f t="shared" si="82"/>
        <v>-0.36089494163424141</v>
      </c>
      <c r="CM62" s="313">
        <f t="shared" si="82"/>
        <v>-0.87393210078192873</v>
      </c>
      <c r="CN62" s="313">
        <f t="shared" si="82"/>
        <v>-0.69378416924476793</v>
      </c>
      <c r="CO62" s="313">
        <f t="shared" si="82"/>
        <v>-0.4854499363449688</v>
      </c>
      <c r="CP62" s="312">
        <f t="shared" si="82"/>
        <v>-0.61434451740357476</v>
      </c>
      <c r="CQ62" s="314">
        <f>IF(ISERROR(CQ46/CP46-1),"",CQ46/CP46-1)</f>
        <v>0.29264129275833994</v>
      </c>
      <c r="CR62" s="315">
        <f>IF(ISERROR(CR46/CQ46-1),"",CR46/CQ46-1)</f>
        <v>0.19462033072375595</v>
      </c>
      <c r="CS62" s="315">
        <f>IF(ISERROR(CS46/CR46-1),"",CS46/CR46-1)</f>
        <v>0.20138986690034621</v>
      </c>
      <c r="DV62" s="161"/>
      <c r="DW62" s="156"/>
      <c r="DX62" s="156"/>
      <c r="DY62" s="156"/>
    </row>
    <row r="63" spans="1:129" s="157" customFormat="1" ht="12" customHeight="1">
      <c r="A63" s="197"/>
      <c r="B63" s="343" t="s">
        <v>61</v>
      </c>
      <c r="C63" s="304"/>
      <c r="D63" s="304">
        <f t="shared" ref="D63:I63" si="83">IF(ISERROR(D18/C18-1),"",D18/C18-1)</f>
        <v>-0.31496672551948801</v>
      </c>
      <c r="E63" s="304">
        <f t="shared" si="83"/>
        <v>-1.4619441305339109</v>
      </c>
      <c r="F63" s="304">
        <f t="shared" si="83"/>
        <v>-3.3261802575107327</v>
      </c>
      <c r="G63" s="304">
        <f t="shared" si="83"/>
        <v>-8.9520295202951932</v>
      </c>
      <c r="H63" s="304">
        <f t="shared" si="83"/>
        <v>-0.96844547563805095</v>
      </c>
      <c r="I63" s="304">
        <f t="shared" si="83"/>
        <v>-0.18382352941176738</v>
      </c>
      <c r="J63" s="304"/>
      <c r="K63" s="304"/>
      <c r="L63" s="304"/>
      <c r="M63" s="304"/>
      <c r="N63" s="304">
        <f t="shared" ref="N63:AS63" si="84">IF(ISERROR(N18/I18-1),"",N18/I18-1)</f>
        <v>-3.5945945945945894</v>
      </c>
      <c r="O63" s="304">
        <f t="shared" si="84"/>
        <v>-3.7654320987654226</v>
      </c>
      <c r="P63" s="304">
        <f t="shared" si="84"/>
        <v>1.9772727272727302</v>
      </c>
      <c r="Q63" s="304">
        <f t="shared" si="84"/>
        <v>-0.7441860465116219</v>
      </c>
      <c r="R63" s="304">
        <f t="shared" si="84"/>
        <v>16.736842105263381</v>
      </c>
      <c r="S63" s="304">
        <f t="shared" si="84"/>
        <v>3.8506944444444535</v>
      </c>
      <c r="T63" s="304">
        <f t="shared" si="84"/>
        <v>-1.6473214285714284</v>
      </c>
      <c r="U63" s="304">
        <f t="shared" si="84"/>
        <v>-0.32824427480916107</v>
      </c>
      <c r="V63" s="304">
        <f t="shared" si="84"/>
        <v>13.272727272726851</v>
      </c>
      <c r="W63" s="304">
        <f t="shared" si="84"/>
        <v>-0.87908011869436209</v>
      </c>
      <c r="X63" s="304">
        <f t="shared" si="84"/>
        <v>-0.54115962777380111</v>
      </c>
      <c r="Y63" s="304">
        <f t="shared" si="84"/>
        <v>2.0689655172416499E-2</v>
      </c>
      <c r="Z63" s="304">
        <f t="shared" si="84"/>
        <v>-5.6818181818172331E-3</v>
      </c>
      <c r="AA63" s="304">
        <f t="shared" si="84"/>
        <v>0.15286624203821653</v>
      </c>
      <c r="AB63" s="304">
        <f t="shared" si="84"/>
        <v>-0.20245398773007028</v>
      </c>
      <c r="AC63" s="304">
        <f t="shared" si="84"/>
        <v>-1.0920436817474122E-2</v>
      </c>
      <c r="AD63" s="304">
        <f t="shared" si="84"/>
        <v>0.56756756756756621</v>
      </c>
      <c r="AE63" s="304">
        <f t="shared" si="84"/>
        <v>0.52571428571428669</v>
      </c>
      <c r="AF63" s="304">
        <f t="shared" si="84"/>
        <v>0.82320441988949744</v>
      </c>
      <c r="AG63" s="304">
        <f t="shared" si="84"/>
        <v>1.1769230769230927</v>
      </c>
      <c r="AH63" s="304">
        <f t="shared" si="84"/>
        <v>0.75394321766561556</v>
      </c>
      <c r="AI63" s="304">
        <f t="shared" si="84"/>
        <v>8.6206896551717094E-3</v>
      </c>
      <c r="AJ63" s="304">
        <f t="shared" si="84"/>
        <v>-0.37078651685393216</v>
      </c>
      <c r="AK63" s="304">
        <f t="shared" si="84"/>
        <v>-0.68484848484848393</v>
      </c>
      <c r="AL63" s="304">
        <f t="shared" si="84"/>
        <v>-0.79858657243816122</v>
      </c>
      <c r="AM63" s="304">
        <f t="shared" si="84"/>
        <v>-0.49370503597122173</v>
      </c>
      <c r="AN63" s="304">
        <f t="shared" si="84"/>
        <v>-0.3247863247863253</v>
      </c>
      <c r="AO63" s="304">
        <f t="shared" si="84"/>
        <v>0.37499999999999911</v>
      </c>
      <c r="AP63" s="304">
        <f t="shared" si="84"/>
        <v>0.49999999999999711</v>
      </c>
      <c r="AQ63" s="304">
        <f t="shared" si="84"/>
        <v>3.0175438596491002</v>
      </c>
      <c r="AR63" s="304">
        <f t="shared" si="84"/>
        <v>0.37477797513321187</v>
      </c>
      <c r="AS63" s="304">
        <f t="shared" si="84"/>
        <v>0.63924050632911644</v>
      </c>
      <c r="AT63" s="304">
        <f t="shared" ref="AT63:BY63" si="85">IF(ISERROR(AT18/AO18-1),"",AT18/AO18-1)</f>
        <v>0.61904761904761751</v>
      </c>
      <c r="AU63" s="304">
        <f t="shared" si="85"/>
        <v>1.0641025641025643</v>
      </c>
      <c r="AV63" s="304">
        <f t="shared" si="85"/>
        <v>0.72489082969433061</v>
      </c>
      <c r="AW63" s="304">
        <f t="shared" si="85"/>
        <v>0.74418604651163034</v>
      </c>
      <c r="AX63" s="304">
        <f t="shared" si="85"/>
        <v>0.52895752895752857</v>
      </c>
      <c r="AY63" s="304">
        <f t="shared" si="85"/>
        <v>0.27540106951871657</v>
      </c>
      <c r="AZ63" s="304">
        <f t="shared" si="85"/>
        <v>0.23602484472049845</v>
      </c>
      <c r="BA63" s="304">
        <f t="shared" si="85"/>
        <v>-6.5822784810126378E-2</v>
      </c>
      <c r="BB63" s="312">
        <f t="shared" si="85"/>
        <v>0.21481481481481524</v>
      </c>
      <c r="BC63" s="312">
        <f t="shared" si="85"/>
        <v>0.10101010101010011</v>
      </c>
      <c r="BD63" s="312">
        <f t="shared" si="85"/>
        <v>1.6771488469601969E-2</v>
      </c>
      <c r="BE63" s="312">
        <f t="shared" si="85"/>
        <v>0.22361809045226</v>
      </c>
      <c r="BF63" s="312">
        <f t="shared" si="85"/>
        <v>0.276422764227642</v>
      </c>
      <c r="BG63" s="312">
        <f t="shared" si="85"/>
        <v>0.14573170731707252</v>
      </c>
      <c r="BH63" s="312">
        <f t="shared" si="85"/>
        <v>0.14908256880733939</v>
      </c>
      <c r="BI63" s="312">
        <f t="shared" si="85"/>
        <v>4.3298969072165017E-2</v>
      </c>
      <c r="BJ63" s="312">
        <f t="shared" si="85"/>
        <v>0.14579055441478439</v>
      </c>
      <c r="BK63" s="312">
        <f t="shared" si="85"/>
        <v>0.12314225053078531</v>
      </c>
      <c r="BL63" s="312">
        <f t="shared" si="85"/>
        <v>0.11442256519425231</v>
      </c>
      <c r="BM63" s="312">
        <f t="shared" si="85"/>
        <v>0.35928143712574845</v>
      </c>
      <c r="BN63" s="312">
        <f t="shared" si="85"/>
        <v>0.21936758893280506</v>
      </c>
      <c r="BO63" s="312">
        <f t="shared" si="85"/>
        <v>-4.1218637992831098E-2</v>
      </c>
      <c r="BP63" s="312">
        <f t="shared" si="85"/>
        <v>1.8903591682418508E-2</v>
      </c>
      <c r="BQ63" s="312">
        <f t="shared" si="85"/>
        <v>0.13276026743075398</v>
      </c>
      <c r="BR63" s="312">
        <f t="shared" si="85"/>
        <v>-0.17767988252569755</v>
      </c>
      <c r="BS63" s="312">
        <f t="shared" si="85"/>
        <v>7.1312803889790111E-2</v>
      </c>
      <c r="BT63" s="312">
        <f t="shared" si="85"/>
        <v>0.27476635514018621</v>
      </c>
      <c r="BU63" s="312">
        <f t="shared" si="85"/>
        <v>0.10389610389610549</v>
      </c>
      <c r="BV63" s="312">
        <f t="shared" si="85"/>
        <v>5.3119730185497982E-2</v>
      </c>
      <c r="BW63" s="312">
        <f t="shared" si="85"/>
        <v>0.15357142857142914</v>
      </c>
      <c r="BX63" s="312">
        <f t="shared" si="85"/>
        <v>-6.8078668683811849E-2</v>
      </c>
      <c r="BY63" s="312">
        <f t="shared" si="85"/>
        <v>2.1994134897361128E-2</v>
      </c>
      <c r="BZ63" s="312">
        <f t="shared" ref="BZ63:CP63" si="86">IF(ISERROR(BZ18/BU18-1),"",BZ18/BU18-1)</f>
        <v>0.48067226890756176</v>
      </c>
      <c r="CA63" s="312">
        <f t="shared" si="86"/>
        <v>0.13690952762209774</v>
      </c>
      <c r="CB63" s="312">
        <f t="shared" si="86"/>
        <v>-4.6439628482972228E-2</v>
      </c>
      <c r="CC63" s="312">
        <f t="shared" si="86"/>
        <v>0.11688311688311637</v>
      </c>
      <c r="CD63" s="312">
        <f t="shared" si="86"/>
        <v>0.14921090387374414</v>
      </c>
      <c r="CE63" s="312">
        <f t="shared" si="86"/>
        <v>-0.2497162315550514</v>
      </c>
      <c r="CF63" s="312">
        <f t="shared" si="86"/>
        <v>-2.605633802816909E-2</v>
      </c>
      <c r="CG63" s="312">
        <f t="shared" si="86"/>
        <v>0.17207792207792161</v>
      </c>
      <c r="CH63" s="312">
        <f t="shared" si="86"/>
        <v>0.17587209302325557</v>
      </c>
      <c r="CI63" s="312">
        <f t="shared" si="86"/>
        <v>2.4968789013728454E-3</v>
      </c>
      <c r="CJ63" s="312">
        <f t="shared" si="86"/>
        <v>0.10741301059001485</v>
      </c>
      <c r="CK63" s="344">
        <f t="shared" si="86"/>
        <v>0.10845986984815559</v>
      </c>
      <c r="CL63" s="313">
        <f t="shared" si="86"/>
        <v>-0.41274238227146831</v>
      </c>
      <c r="CM63" s="313">
        <f t="shared" si="86"/>
        <v>-0.99752637881334982</v>
      </c>
      <c r="CN63" s="313">
        <f t="shared" si="86"/>
        <v>-0.79218249070983804</v>
      </c>
      <c r="CO63" s="313">
        <f t="shared" si="86"/>
        <v>-0.59065396961748595</v>
      </c>
      <c r="CP63" s="312">
        <f t="shared" si="86"/>
        <v>-0.70889761456621003</v>
      </c>
      <c r="CQ63" s="314">
        <f>IF(ISERROR(CQ18/CP18-1),"",CQ18/CP18-1)</f>
        <v>0.52366569710651079</v>
      </c>
      <c r="CR63" s="315">
        <f>IF(ISERROR(CR18/CQ18-1),"",CR18/CQ18-1)</f>
        <v>0.25763497067838048</v>
      </c>
      <c r="CS63" s="315">
        <f>IF(ISERROR(CS18/CR18-1),"",CS18/CR18-1)</f>
        <v>0.23044219735196925</v>
      </c>
      <c r="DE63" s="156"/>
      <c r="DV63" s="156"/>
      <c r="DW63" s="156"/>
      <c r="DX63" s="156"/>
      <c r="DY63" s="156"/>
    </row>
    <row r="64" spans="1:129" s="157" customFormat="1" ht="12" customHeight="1">
      <c r="A64" s="197"/>
      <c r="B64" s="343" t="s">
        <v>138</v>
      </c>
      <c r="C64" s="304"/>
      <c r="D64" s="304">
        <f t="shared" ref="D64:I64" si="87">IF(ISERROR(D26/C26-1),"",D26/C26-1)</f>
        <v>-0.31007695197652529</v>
      </c>
      <c r="E64" s="304">
        <f t="shared" si="87"/>
        <v>-1.5796002853190727</v>
      </c>
      <c r="F64" s="304">
        <f t="shared" si="87"/>
        <v>-2.852800030052312</v>
      </c>
      <c r="G64" s="304">
        <f t="shared" si="87"/>
        <v>-10.66509970950772</v>
      </c>
      <c r="H64" s="304">
        <f t="shared" si="87"/>
        <v>-0.96910286156225822</v>
      </c>
      <c r="I64" s="304">
        <f t="shared" si="87"/>
        <v>-0.18805242304175829</v>
      </c>
      <c r="J64" s="304"/>
      <c r="K64" s="304"/>
      <c r="L64" s="304"/>
      <c r="M64" s="304"/>
      <c r="N64" s="304">
        <f t="shared" ref="N64:AS64" si="88">IF(ISERROR(N26/I26-1),"",N26/I26-1)</f>
        <v>-2.0969479885142515</v>
      </c>
      <c r="O64" s="304">
        <f t="shared" si="88"/>
        <v>-3.6629001883239081</v>
      </c>
      <c r="P64" s="304">
        <f t="shared" si="88"/>
        <v>1.8643308746048497</v>
      </c>
      <c r="Q64" s="304">
        <f t="shared" si="88"/>
        <v>-0.75335114073565235</v>
      </c>
      <c r="R64" s="304">
        <f t="shared" si="88"/>
        <v>16.101380955022123</v>
      </c>
      <c r="S64" s="304">
        <f t="shared" si="88"/>
        <v>3.7264504031780001</v>
      </c>
      <c r="T64" s="304">
        <f t="shared" si="88"/>
        <v>-1.6425567072254768</v>
      </c>
      <c r="U64" s="304">
        <f t="shared" si="88"/>
        <v>-0.33246472962711393</v>
      </c>
      <c r="V64" s="304">
        <f t="shared" si="88"/>
        <v>13.227750190985063</v>
      </c>
      <c r="W64" s="304">
        <f t="shared" si="88"/>
        <v>-0.8807141711444384</v>
      </c>
      <c r="X64" s="304">
        <f t="shared" si="88"/>
        <v>-0.54980792798330025</v>
      </c>
      <c r="Y64" s="304">
        <f t="shared" si="88"/>
        <v>1.0068534931288564E-2</v>
      </c>
      <c r="Z64" s="304">
        <f t="shared" si="88"/>
        <v>-1.3941989993391024E-2</v>
      </c>
      <c r="AA64" s="304">
        <f t="shared" si="88"/>
        <v>0.13498310488147069</v>
      </c>
      <c r="AB64" s="304">
        <f t="shared" si="88"/>
        <v>-0.20821541403129784</v>
      </c>
      <c r="AC64" s="304">
        <f t="shared" si="88"/>
        <v>-2.1169965969624505E-2</v>
      </c>
      <c r="AD64" s="304">
        <f t="shared" si="88"/>
        <v>0.54189604138426906</v>
      </c>
      <c r="AE64" s="304">
        <f t="shared" si="88"/>
        <v>0.50231375985977333</v>
      </c>
      <c r="AF64" s="304">
        <f t="shared" si="88"/>
        <v>0.80269803070873613</v>
      </c>
      <c r="AG64" s="304">
        <f t="shared" si="88"/>
        <v>1.1724391982888549</v>
      </c>
      <c r="AH64" s="304">
        <f t="shared" si="88"/>
        <v>0.73417541500749905</v>
      </c>
      <c r="AI64" s="304">
        <f t="shared" si="88"/>
        <v>1.3809067688377308E-2</v>
      </c>
      <c r="AJ64" s="304">
        <f t="shared" si="88"/>
        <v>-0.37078651685393216</v>
      </c>
      <c r="AK64" s="304">
        <f t="shared" si="88"/>
        <v>-0.68581225094986464</v>
      </c>
      <c r="AL64" s="304">
        <f t="shared" si="88"/>
        <v>-0.80144930135782189</v>
      </c>
      <c r="AM64" s="304">
        <f t="shared" si="88"/>
        <v>-0.49525650164240298</v>
      </c>
      <c r="AN64" s="304">
        <f t="shared" si="88"/>
        <v>-0.33706293706293755</v>
      </c>
      <c r="AO64" s="304">
        <f t="shared" si="88"/>
        <v>0.34879638916750166</v>
      </c>
      <c r="AP64" s="304">
        <f t="shared" si="88"/>
        <v>0.47149999999999714</v>
      </c>
      <c r="AQ64" s="304">
        <f t="shared" si="88"/>
        <v>2.9219828560499139</v>
      </c>
      <c r="AR64" s="304">
        <f t="shared" si="88"/>
        <v>0.34725489254796238</v>
      </c>
      <c r="AS64" s="304">
        <f t="shared" si="88"/>
        <v>0.61638257098189753</v>
      </c>
      <c r="AT64" s="304">
        <f t="shared" ref="AT64:BY64" si="89">IF(ISERROR(AT26/AO26-1),"",AT26/AO26-1)</f>
        <v>0.60296968837187159</v>
      </c>
      <c r="AU64" s="304">
        <f t="shared" si="89"/>
        <v>1.0416444748788964</v>
      </c>
      <c r="AV64" s="304">
        <f t="shared" si="89"/>
        <v>0.71807980963630813</v>
      </c>
      <c r="AW64" s="304">
        <f t="shared" si="89"/>
        <v>0.73032955358998897</v>
      </c>
      <c r="AX64" s="304">
        <f t="shared" si="89"/>
        <v>0.50941333242218167</v>
      </c>
      <c r="AY64" s="304">
        <f t="shared" si="89"/>
        <v>0.25914595784838013</v>
      </c>
      <c r="AZ64" s="304">
        <f t="shared" si="89"/>
        <v>0.22391882273498931</v>
      </c>
      <c r="BA64" s="304">
        <f t="shared" si="89"/>
        <v>-7.4049394337238894E-2</v>
      </c>
      <c r="BB64" s="312">
        <f t="shared" si="89"/>
        <v>0.19933188090050891</v>
      </c>
      <c r="BC64" s="312">
        <f t="shared" si="89"/>
        <v>9.6696643219658984E-2</v>
      </c>
      <c r="BD64" s="312">
        <f t="shared" si="89"/>
        <v>1.8769074890956805E-2</v>
      </c>
      <c r="BE64" s="312">
        <f t="shared" si="89"/>
        <v>0.2284307476418459</v>
      </c>
      <c r="BF64" s="312">
        <f t="shared" si="89"/>
        <v>0.28018063301339557</v>
      </c>
      <c r="BG64" s="312">
        <f t="shared" si="89"/>
        <v>0.14713751309292156</v>
      </c>
      <c r="BH64" s="312">
        <f t="shared" si="89"/>
        <v>0.16621600671202152</v>
      </c>
      <c r="BI64" s="312">
        <f t="shared" si="89"/>
        <v>7.0643498503491831E-2</v>
      </c>
      <c r="BJ64" s="312">
        <f t="shared" si="89"/>
        <v>0.19270111959041536</v>
      </c>
      <c r="BK64" s="312">
        <f t="shared" si="89"/>
        <v>0.1738276444008926</v>
      </c>
      <c r="BL64" s="312">
        <f t="shared" si="89"/>
        <v>0.14968910206748798</v>
      </c>
      <c r="BM64" s="312">
        <f t="shared" si="89"/>
        <v>0.39676928064198447</v>
      </c>
      <c r="BN64" s="312">
        <f t="shared" si="89"/>
        <v>0.23178477415615317</v>
      </c>
      <c r="BO64" s="312">
        <f t="shared" si="89"/>
        <v>-3.7277090769779919E-2</v>
      </c>
      <c r="BP64" s="312">
        <f t="shared" si="89"/>
        <v>3.6984344353192311E-2</v>
      </c>
      <c r="BQ64" s="312">
        <f t="shared" si="89"/>
        <v>0.14964107306050312</v>
      </c>
      <c r="BR64" s="312">
        <f t="shared" si="89"/>
        <v>-0.15078966771377411</v>
      </c>
      <c r="BS64" s="312">
        <f t="shared" si="89"/>
        <v>0.1120815786678373</v>
      </c>
      <c r="BT64" s="312">
        <f t="shared" si="89"/>
        <v>0.31811653937449647</v>
      </c>
      <c r="BU64" s="312">
        <f t="shared" si="89"/>
        <v>0.13347531353962361</v>
      </c>
      <c r="BV64" s="312">
        <f t="shared" si="89"/>
        <v>8.7776536592876431E-2</v>
      </c>
      <c r="BW64" s="312">
        <f t="shared" si="89"/>
        <v>0.17716438566815373</v>
      </c>
      <c r="BX64" s="312">
        <f t="shared" si="89"/>
        <v>-4.1741761494441421E-2</v>
      </c>
      <c r="BY64" s="312">
        <f t="shared" si="89"/>
        <v>5.218433363065289E-2</v>
      </c>
      <c r="BZ64" s="312">
        <f t="shared" ref="BZ64:CP64" si="90">IF(ISERROR(BZ26/BU26-1),"",BZ26/BU26-1)</f>
        <v>0.50980024796803836</v>
      </c>
      <c r="CA64" s="312">
        <f t="shared" si="90"/>
        <v>0.16472949974988138</v>
      </c>
      <c r="CB64" s="312">
        <f t="shared" si="90"/>
        <v>-2.8664928575308335E-2</v>
      </c>
      <c r="CC64" s="312">
        <f t="shared" si="90"/>
        <v>0.14246438462582511</v>
      </c>
      <c r="CD64" s="312">
        <f t="shared" si="90"/>
        <v>0.19225739630034311</v>
      </c>
      <c r="CE64" s="312">
        <f t="shared" si="90"/>
        <v>-0.2100004049169989</v>
      </c>
      <c r="CF64" s="312">
        <f t="shared" si="90"/>
        <v>6.2260642506724029E-3</v>
      </c>
      <c r="CG64" s="312">
        <f t="shared" si="90"/>
        <v>0.24294774992449364</v>
      </c>
      <c r="CH64" s="312">
        <f t="shared" si="90"/>
        <v>0.22689020935628301</v>
      </c>
      <c r="CI64" s="312">
        <f t="shared" si="90"/>
        <v>2.5783682127885621E-2</v>
      </c>
      <c r="CJ64" s="312">
        <f t="shared" si="90"/>
        <v>0.12950927958066072</v>
      </c>
      <c r="CK64" s="344">
        <f t="shared" si="90"/>
        <v>0.14980103049517313</v>
      </c>
      <c r="CL64" s="313">
        <f t="shared" si="90"/>
        <v>-0.40089970196140312</v>
      </c>
      <c r="CM64" s="313">
        <f t="shared" si="90"/>
        <v>-0.99746762296568592</v>
      </c>
      <c r="CN64" s="313">
        <f t="shared" si="90"/>
        <v>-0.78724033828914453</v>
      </c>
      <c r="CO64" s="313">
        <f t="shared" si="90"/>
        <v>-0.58381525311944871</v>
      </c>
      <c r="CP64" s="312">
        <f t="shared" si="90"/>
        <v>-0.70301326194745317</v>
      </c>
      <c r="CQ64" s="314">
        <f>IF(ISERROR(CQ26/CP26-1),"",CQ26/CP26-1)</f>
        <v>0.54200102438817765</v>
      </c>
      <c r="CR64" s="315">
        <f>IF(ISERROR(CR26/CQ26-1),"",CR26/CQ26-1)</f>
        <v>0.29664349954557601</v>
      </c>
      <c r="CS64" s="315">
        <f>IF(ISERROR(CS26/CR26-1),"",CS26/CR26-1)</f>
        <v>0.28297077757527433</v>
      </c>
      <c r="DE64" s="156"/>
      <c r="DV64" s="156"/>
      <c r="DW64" s="156"/>
      <c r="DX64" s="156"/>
      <c r="DY64" s="156"/>
    </row>
    <row r="65" spans="1:129" s="157" customFormat="1" ht="5.0999999999999996" customHeight="1">
      <c r="A65" s="197"/>
      <c r="B65" s="345"/>
      <c r="C65" s="351"/>
      <c r="D65" s="351"/>
      <c r="E65" s="351"/>
      <c r="F65" s="351"/>
      <c r="G65" s="351"/>
      <c r="H65" s="351"/>
      <c r="I65" s="351"/>
      <c r="J65" s="352"/>
      <c r="K65" s="352"/>
      <c r="L65" s="352"/>
      <c r="M65" s="352"/>
      <c r="N65" s="351"/>
      <c r="O65" s="352"/>
      <c r="P65" s="352"/>
      <c r="Q65" s="352"/>
      <c r="R65" s="352"/>
      <c r="S65" s="351"/>
      <c r="T65" s="352"/>
      <c r="U65" s="352"/>
      <c r="V65" s="352"/>
      <c r="W65" s="352"/>
      <c r="X65" s="351"/>
      <c r="Y65" s="352"/>
      <c r="Z65" s="352"/>
      <c r="AA65" s="352"/>
      <c r="AB65" s="352"/>
      <c r="AC65" s="351"/>
      <c r="AD65" s="352"/>
      <c r="AE65" s="352"/>
      <c r="AF65" s="352"/>
      <c r="AG65" s="352"/>
      <c r="AH65" s="351"/>
      <c r="AI65" s="352"/>
      <c r="AJ65" s="352"/>
      <c r="AK65" s="352"/>
      <c r="AL65" s="352"/>
      <c r="AM65" s="351"/>
      <c r="AN65" s="352"/>
      <c r="AO65" s="352"/>
      <c r="AP65" s="352"/>
      <c r="AQ65" s="352"/>
      <c r="AR65" s="351"/>
      <c r="AS65" s="352"/>
      <c r="AT65" s="352"/>
      <c r="AU65" s="352"/>
      <c r="AV65" s="352"/>
      <c r="AW65" s="351"/>
      <c r="AX65" s="352"/>
      <c r="AY65" s="352"/>
      <c r="AZ65" s="352"/>
      <c r="BA65" s="352"/>
      <c r="BB65" s="352"/>
      <c r="BC65" s="352"/>
      <c r="BD65" s="352"/>
      <c r="BE65" s="352"/>
      <c r="BF65" s="352"/>
      <c r="BG65" s="352"/>
      <c r="BH65" s="352"/>
      <c r="BI65" s="352"/>
      <c r="BJ65" s="352"/>
      <c r="BK65" s="352"/>
      <c r="BL65" s="352"/>
      <c r="BM65" s="352"/>
      <c r="BN65" s="352"/>
      <c r="BO65" s="352"/>
      <c r="BP65" s="352"/>
      <c r="BQ65" s="352"/>
      <c r="BR65" s="352"/>
      <c r="BS65" s="352"/>
      <c r="BT65" s="352"/>
      <c r="BU65" s="352"/>
      <c r="BV65" s="352"/>
      <c r="BW65" s="352"/>
      <c r="BX65" s="352"/>
      <c r="BY65" s="352"/>
      <c r="BZ65" s="352"/>
      <c r="CA65" s="352"/>
      <c r="CB65" s="352"/>
      <c r="CC65" s="352"/>
      <c r="CD65" s="352"/>
      <c r="CE65" s="352"/>
      <c r="CF65" s="352"/>
      <c r="CG65" s="352"/>
      <c r="CH65" s="352"/>
      <c r="CI65" s="352"/>
      <c r="CJ65" s="352"/>
      <c r="CK65" s="353"/>
      <c r="CL65" s="304"/>
      <c r="CM65" s="304"/>
      <c r="CN65" s="304"/>
      <c r="CO65" s="304"/>
      <c r="CP65" s="304"/>
      <c r="CR65" s="292"/>
      <c r="CS65" s="233"/>
      <c r="DE65" s="156"/>
      <c r="DV65" s="156"/>
      <c r="DW65" s="156"/>
      <c r="DX65" s="156"/>
      <c r="DY65" s="156"/>
    </row>
    <row r="66" spans="1:129" s="157" customFormat="1" ht="12" customHeight="1">
      <c r="A66" s="197"/>
      <c r="B66" s="295" t="s">
        <v>139</v>
      </c>
      <c r="C66" s="306"/>
      <c r="D66" s="306"/>
      <c r="E66" s="306"/>
      <c r="F66" s="306"/>
      <c r="G66" s="306"/>
      <c r="H66" s="306"/>
      <c r="I66" s="306"/>
      <c r="J66" s="305"/>
      <c r="K66" s="305"/>
      <c r="L66" s="305"/>
      <c r="M66" s="305"/>
      <c r="N66" s="306"/>
      <c r="O66" s="305"/>
      <c r="P66" s="305"/>
      <c r="Q66" s="305"/>
      <c r="R66" s="305"/>
      <c r="S66" s="306"/>
      <c r="T66" s="305"/>
      <c r="U66" s="305"/>
      <c r="V66" s="305"/>
      <c r="W66" s="305"/>
      <c r="X66" s="306"/>
      <c r="Y66" s="305"/>
      <c r="Z66" s="305"/>
      <c r="AA66" s="305"/>
      <c r="AB66" s="305"/>
      <c r="AC66" s="306"/>
      <c r="AD66" s="305"/>
      <c r="AE66" s="305"/>
      <c r="AF66" s="305"/>
      <c r="AG66" s="305"/>
      <c r="AH66" s="306"/>
      <c r="AI66" s="305"/>
      <c r="AJ66" s="305"/>
      <c r="AK66" s="305"/>
      <c r="AL66" s="305"/>
      <c r="AM66" s="306"/>
      <c r="AN66" s="305"/>
      <c r="AO66" s="305"/>
      <c r="AP66" s="305"/>
      <c r="AQ66" s="305"/>
      <c r="AR66" s="306"/>
      <c r="AS66" s="305"/>
      <c r="AT66" s="305"/>
      <c r="AU66" s="305"/>
      <c r="AV66" s="305"/>
      <c r="AW66" s="306"/>
      <c r="AX66" s="305"/>
      <c r="AY66" s="305"/>
      <c r="AZ66" s="305"/>
      <c r="BA66" s="305"/>
      <c r="BB66" s="306"/>
      <c r="BC66" s="304"/>
      <c r="BD66" s="304"/>
      <c r="BE66" s="304"/>
      <c r="BF66" s="304"/>
      <c r="BG66" s="306"/>
      <c r="BH66" s="304"/>
      <c r="BI66" s="304"/>
      <c r="BJ66" s="304"/>
      <c r="BK66" s="304"/>
      <c r="BL66" s="306"/>
      <c r="BM66" s="304"/>
      <c r="BN66" s="304"/>
      <c r="BO66" s="304"/>
      <c r="BP66" s="304"/>
      <c r="BQ66" s="306"/>
      <c r="BR66" s="304"/>
      <c r="BS66" s="304"/>
      <c r="BT66" s="304"/>
      <c r="BU66" s="304"/>
      <c r="BV66" s="306"/>
      <c r="BW66" s="304"/>
      <c r="BX66" s="304"/>
      <c r="BY66" s="304"/>
      <c r="BZ66" s="304"/>
      <c r="CA66" s="306"/>
      <c r="CB66" s="304"/>
      <c r="CC66" s="304"/>
      <c r="CD66" s="304"/>
      <c r="CE66" s="304"/>
      <c r="CF66" s="306"/>
      <c r="CG66" s="304"/>
      <c r="CH66" s="304"/>
      <c r="CI66" s="304"/>
      <c r="CJ66" s="304"/>
      <c r="CK66" s="306"/>
      <c r="CL66" s="305"/>
      <c r="CM66" s="305"/>
      <c r="CN66" s="305"/>
      <c r="CO66" s="305"/>
      <c r="CP66" s="304"/>
      <c r="CQ66" s="292"/>
      <c r="CR66" s="233"/>
      <c r="CS66" s="233"/>
      <c r="DE66" s="156"/>
      <c r="DV66" s="156"/>
      <c r="DW66" s="156"/>
      <c r="DX66" s="156"/>
      <c r="DY66" s="156"/>
    </row>
    <row r="67" spans="1:129" s="157" customFormat="1" ht="12" customHeight="1">
      <c r="A67" s="197"/>
      <c r="B67" s="260" t="s">
        <v>117</v>
      </c>
      <c r="C67" s="306"/>
      <c r="D67" s="306"/>
      <c r="E67" s="306"/>
      <c r="F67" s="306"/>
      <c r="G67" s="306"/>
      <c r="H67" s="306"/>
      <c r="I67" s="306"/>
      <c r="J67" s="305"/>
      <c r="K67" s="305">
        <f>IF(ISERROR(K6/J6-1),"",K6/J6-1)</f>
        <v>3.5768645357686424E-2</v>
      </c>
      <c r="L67" s="305">
        <f>IF(ISERROR(L6/K6-1),"",L6/K6-1)</f>
        <v>-3.3431300514327522E-2</v>
      </c>
      <c r="M67" s="305">
        <f>IF(ISERROR(M6/L6-1),"",M6/L6-1)</f>
        <v>5.0551121246674047E-2</v>
      </c>
      <c r="N67" s="306"/>
      <c r="O67" s="305">
        <f>IF(ISERROR(O6/M6-1),"",O6/M6-1)</f>
        <v>5.137481910274988E-2</v>
      </c>
      <c r="P67" s="305">
        <f>IF(ISERROR(P6/O6-1),"",P6/O6-1)</f>
        <v>7.1231933929800428E-2</v>
      </c>
      <c r="Q67" s="305">
        <f>IF(ISERROR(Q6/P6-1),"",Q6/P6-1)</f>
        <v>-0.11146803726309018</v>
      </c>
      <c r="R67" s="305">
        <f>IF(ISERROR(R6/Q6-1),"",R6/Q6-1)</f>
        <v>2.2776572668112616E-2</v>
      </c>
      <c r="S67" s="306"/>
      <c r="T67" s="305">
        <f>IF(ISERROR(T6/R6-1),"",T6/R6-1)</f>
        <v>8.5189112760692964E-2</v>
      </c>
      <c r="U67" s="305">
        <f>IF(ISERROR(U6/T6-1),"",U6/T6-1)</f>
        <v>2.931596091205213E-2</v>
      </c>
      <c r="V67" s="305">
        <f>IF(ISERROR(V6/U6-1),"",V6/U6-1)</f>
        <v>-8.5126582278480911E-2</v>
      </c>
      <c r="W67" s="305">
        <f>IF(ISERROR(W6/V6-1),"",W6/V6-1)</f>
        <v>-2.8017986855759736E-2</v>
      </c>
      <c r="X67" s="306"/>
      <c r="Y67" s="305">
        <f>IF(ISERROR(Y6/W6-1),"",Y6/W6-1)</f>
        <v>5.693950177936502E-3</v>
      </c>
      <c r="Z67" s="305">
        <f>IF(ISERROR(Z6/Y6-1),"",Z6/Y6-1)</f>
        <v>2.5477707006369421E-2</v>
      </c>
      <c r="AA67" s="305">
        <f>IF(ISERROR(AA6/Z6-1),"",AA6/Z6-1)</f>
        <v>-3.0020703933747339E-2</v>
      </c>
      <c r="AB67" s="305">
        <f>IF(ISERROR(AB6/AA6-1),"",AB6/AA6-1)</f>
        <v>0.12984702952685789</v>
      </c>
      <c r="AC67" s="306"/>
      <c r="AD67" s="305">
        <f>IF(ISERROR(AD6/AB6-1),"",AD6/AB6-1)</f>
        <v>8.4697732997481845E-2</v>
      </c>
      <c r="AE67" s="305">
        <f>IF(ISERROR(AE6/AD6-1),"",AE6/AD6-1)</f>
        <v>4.3541364296081353E-2</v>
      </c>
      <c r="AF67" s="305">
        <f>IF(ISERROR(AF6/AE6-1),"",AF6/AE6-1)</f>
        <v>-7.8164116828929098E-2</v>
      </c>
      <c r="AG67" s="305">
        <f>IF(ISERROR(AG6/AF6-1),"",AG6/AF6-1)</f>
        <v>-0.12643331321665652</v>
      </c>
      <c r="AH67" s="306"/>
      <c r="AI67" s="305">
        <f>IF(ISERROR(AI6/AG6-1),"",AI6/AG6-1)</f>
        <v>6.1485319516407566E-2</v>
      </c>
      <c r="AJ67" s="305">
        <f>IF(ISERROR(AJ6/AI6-1),"",AJ6/AI6-1)</f>
        <v>-9.7624471200780993E-2</v>
      </c>
      <c r="AK67" s="305">
        <f>IF(ISERROR(AK6/AJ6-1),"",AK6/AJ6-1)</f>
        <v>-7.2845293905517416E-2</v>
      </c>
      <c r="AL67" s="305">
        <f>IF(ISERROR(AL6/AK6-1),"",AL6/AK6-1)</f>
        <v>3.6950602878257577E-2</v>
      </c>
      <c r="AM67" s="306"/>
      <c r="AN67" s="305">
        <f>IF(ISERROR(AN6/AL6-1),"",AN6/AL6-1)</f>
        <v>-1.3503375843961107E-2</v>
      </c>
      <c r="AO67" s="305">
        <f>IF(ISERROR(AO6/AN6-1),"",AO6/AN6-1)</f>
        <v>0.16007604562737643</v>
      </c>
      <c r="AP67" s="305">
        <f>IF(ISERROR(AP6/AO6-1),"",AP6/AO6-1)</f>
        <v>-3.4742707309079024E-2</v>
      </c>
      <c r="AQ67" s="305">
        <f>IF(ISERROR(AQ6/AP6-1),"",AQ6/AP6-1)</f>
        <v>5.6027164685907849E-2</v>
      </c>
      <c r="AR67" s="306"/>
      <c r="AS67" s="305">
        <f>IF(ISERROR(AS6/AQ6-1),"",AS6/AQ6-1)</f>
        <v>6.6237942122187032E-2</v>
      </c>
      <c r="AT67" s="305">
        <f>IF(ISERROR(AT6/AR6-1),"",AT6/AR6-1)</f>
        <v>-0.69861963190184051</v>
      </c>
      <c r="AU67" s="305">
        <f>IF(ISERROR(AU6/AT6-1),"",AU6/AT6-1)</f>
        <v>-5.3717839977380777E-3</v>
      </c>
      <c r="AV67" s="305">
        <f>IF(ISERROR(AV6/AU6-1),"",AV6/AU6-1)</f>
        <v>9.9488345650937671E-3</v>
      </c>
      <c r="AW67" s="306"/>
      <c r="AX67" s="305">
        <f>IF(ISERROR(AX6/AV6-1),"",AX6/AV6-1)</f>
        <v>0.12609062763861534</v>
      </c>
      <c r="AY67" s="305">
        <f>IF(ISERROR(AY6/AX6-1),"",AY6/AX6-1)</f>
        <v>-2.2494376405899352E-3</v>
      </c>
      <c r="AZ67" s="305">
        <f>IF(ISERROR(AZ6/AY6-1),"",AZ6/AY6-1)</f>
        <v>-1.9038076152304573E-2</v>
      </c>
      <c r="BA67" s="305">
        <f>IF(ISERROR(BA6/AZ6-1),"",BA6/AZ6-1)</f>
        <v>-1.098059244126659E-2</v>
      </c>
      <c r="BB67" s="306"/>
      <c r="BC67" s="305">
        <f>IF(ISERROR(BC6/BA6-1),"",BC6/BA6-1)</f>
        <v>7.5393751613736182E-2</v>
      </c>
      <c r="BD67" s="305">
        <f>IF(ISERROR(BD6/BC6-1),"",BD6/BC6-1)</f>
        <v>1.4645858343337315E-2</v>
      </c>
      <c r="BE67" s="305">
        <f>IF(ISERROR(BE6/BD6-1),"",BE6/BD6-1)</f>
        <v>-2.4372929484145822E-2</v>
      </c>
      <c r="BF67" s="305">
        <f>IF(ISERROR(BF6/BE6-1),"",BF6/BE6-1)</f>
        <v>3.5168566577734595E-2</v>
      </c>
      <c r="BG67" s="306"/>
      <c r="BH67" s="305">
        <f>IF(ISERROR(BH6/BF6-1),"",BH6/BF6-1)</f>
        <v>8.1771321462043023E-2</v>
      </c>
      <c r="BI67" s="305">
        <f>IF(ISERROR(BI6/BH6-1),"",BI6/BH6-1)</f>
        <v>1.8193632228719947E-2</v>
      </c>
      <c r="BJ67" s="305">
        <f>IF(ISERROR(BJ6/BI6-1),"",BJ6/BI6-1)</f>
        <v>-3.871516698574784E-2</v>
      </c>
      <c r="BK67" s="305">
        <f>IF(ISERROR(BK6/BJ6-1),"",BK6/BJ6-1)</f>
        <v>4.4036291214870626E-2</v>
      </c>
      <c r="BL67" s="306"/>
      <c r="BM67" s="305">
        <f>IF(ISERROR(BM6/BK6-1),"",BM6/BK6-1)</f>
        <v>0</v>
      </c>
      <c r="BN67" s="305">
        <f>IF(ISERROR(BN6/BM6-1),"",BN6/BM6-1)</f>
        <v>8.2662144976684004E-3</v>
      </c>
      <c r="BO67" s="305">
        <f>IF(ISERROR(BO6/BN6-1),"",BO6/BN6-1)</f>
        <v>-5.654824469203279E-2</v>
      </c>
      <c r="BP67" s="305">
        <f>IF(ISERROR(BP6/BO6-1),"",BP6/BO6-1)</f>
        <v>3.5873440285205005E-2</v>
      </c>
      <c r="BQ67" s="306"/>
      <c r="BR67" s="305">
        <f>IF(ISERROR(BR6/BP6-1),"",BR6/BP6-1)</f>
        <v>7.0552807055280775E-2</v>
      </c>
      <c r="BS67" s="305">
        <f>IF(ISERROR(BS6/BR6-1),"",BS6/BR6-1)</f>
        <v>5.0030138637733534E-2</v>
      </c>
      <c r="BT67" s="305">
        <f>IF(ISERROR(BT6/BS6-1),"",BT6/BS6-1)</f>
        <v>-4.2288557213930433E-2</v>
      </c>
      <c r="BU67" s="305">
        <f>IF(ISERROR(BU6/BT6-1),"",BU6/BT6-1)</f>
        <v>-3.3966033966033926E-2</v>
      </c>
      <c r="BV67" s="306"/>
      <c r="BW67" s="305">
        <f>IF(ISERROR(BW6/BU6-1),"",BW6/BU6-1)</f>
        <v>-9.720785935884102E-3</v>
      </c>
      <c r="BX67" s="305">
        <f>IF(ISERROR(BX6/BW6-1),"",BX6/BW6-1)</f>
        <v>2.6106934001670856E-2</v>
      </c>
      <c r="BY67" s="305">
        <f>IF(ISERROR(BY6/BX6-1),"",BY6/BX6-1)</f>
        <v>4.0708324852434252E-4</v>
      </c>
      <c r="BZ67" s="305">
        <f>IF(ISERROR(BZ6/BY6-1),"",BZ6/BY6-1)</f>
        <v>4.1098677517802606E-2</v>
      </c>
      <c r="CA67" s="306"/>
      <c r="CB67" s="305">
        <f>IF(ISERROR(CB6/BZ6-1),"",CB6/BZ6-1)</f>
        <v>5.5501270275552184E-2</v>
      </c>
      <c r="CC67" s="305">
        <f>IF(ISERROR(CC6/CB6-1),"",CC6/CB6-1)</f>
        <v>1.3701166450657221E-2</v>
      </c>
      <c r="CD67" s="305">
        <f>IF(ISERROR(CD6/CC6-1),"",CD6/CC6-1)</f>
        <v>-1.2785388127853903E-2</v>
      </c>
      <c r="CE67" s="305">
        <f>IF(ISERROR(CE6/CD6-1),"",CE6/CD6-1)</f>
        <v>3.7927844588344195E-2</v>
      </c>
      <c r="CF67" s="306"/>
      <c r="CG67" s="305">
        <f>IF(ISERROR(CG6/CE6-1),"",CG6/CE6-1)</f>
        <v>8.7165775401069512E-2</v>
      </c>
      <c r="CH67" s="305">
        <f>IF(ISERROR(CH6/CG6-1),"",CH6/CG6-1)</f>
        <v>-1.4756517461879115E-3</v>
      </c>
      <c r="CI67" s="305">
        <f>IF(ISERROR(CI6/CH6-1),"",CI6/CH6-1)</f>
        <v>-5.9934318555008192E-2</v>
      </c>
      <c r="CJ67" s="305">
        <f>IF(ISERROR(CJ6/CI6-1),"",CJ6/CI6-1)</f>
        <v>-1.432314410480362E-2</v>
      </c>
      <c r="CK67" s="306"/>
      <c r="CL67" s="305">
        <f>IF(ISERROR(CL6/CJ6-1),"",CL6/CJ6-1)</f>
        <v>-4.1290093921672821E-2</v>
      </c>
      <c r="CM67" s="305">
        <f>IF(ISERROR(CM6/CL6-1),"",CM6/CL6-1)</f>
        <v>-0.44350092421441767</v>
      </c>
      <c r="CN67" s="305">
        <f>IF(ISERROR(CN6/CM6-1),"",CN6/CM6-1)</f>
        <v>0.16746161971129236</v>
      </c>
      <c r="CO67" s="305">
        <f>IF(ISERROR(CO6/CN6-1),"",CO6/CN6-1)</f>
        <v>0.18309278115869043</v>
      </c>
      <c r="CP67" s="304"/>
      <c r="CQ67" s="292"/>
      <c r="CR67" s="233"/>
      <c r="CS67" s="233"/>
      <c r="CW67" s="156"/>
      <c r="CX67" s="156"/>
      <c r="DE67" s="156"/>
      <c r="DF67" s="156"/>
      <c r="DG67" s="156"/>
      <c r="DH67" s="156"/>
      <c r="DV67" s="156"/>
      <c r="DW67" s="156"/>
      <c r="DX67" s="156"/>
      <c r="DY67" s="156"/>
    </row>
    <row r="68" spans="1:129" s="157" customFormat="1" ht="12" customHeight="1">
      <c r="A68" s="197"/>
      <c r="B68" s="260" t="s">
        <v>129</v>
      </c>
      <c r="C68" s="306"/>
      <c r="D68" s="306"/>
      <c r="E68" s="306"/>
      <c r="F68" s="306"/>
      <c r="G68" s="306"/>
      <c r="H68" s="306"/>
      <c r="I68" s="306"/>
      <c r="J68" s="305"/>
      <c r="K68" s="305">
        <f>IF(ISERROR(K48/J48-1),"",K48/J48-1)</f>
        <v>5.6756756756755733E-2</v>
      </c>
      <c r="L68" s="305">
        <f>IF(ISERROR(L48/K48-1),"",L48/K48-1)</f>
        <v>-0.20716112531969211</v>
      </c>
      <c r="M68" s="305">
        <f>IF(ISERROR(M48/L48-1),"",M48/L48-1)</f>
        <v>8.7096774193544446E-2</v>
      </c>
      <c r="N68" s="306"/>
      <c r="O68" s="305">
        <f>IF(ISERROR(O48/M48-1),"",O48/M48-1)</f>
        <v>0.34124629080119062</v>
      </c>
      <c r="P68" s="305">
        <f>IF(ISERROR(P48/O48-1),"",P48/O48-1)</f>
        <v>7.7433628318584358E-2</v>
      </c>
      <c r="Q68" s="305">
        <f>IF(ISERROR(Q48/P48-1),"",Q48/P48-1)</f>
        <v>-0.58726899383983522</v>
      </c>
      <c r="R68" s="305">
        <f>IF(ISERROR(R48/Q48-1),"",R48/Q48-1)</f>
        <v>0.86567164179104017</v>
      </c>
      <c r="S68" s="306"/>
      <c r="T68" s="305">
        <f>IF(ISERROR(T48/R48-1),"",T48/R48-1)</f>
        <v>0.10400000000000054</v>
      </c>
      <c r="U68" s="305">
        <f>IF(ISERROR(U48/T48-1),"",U48/T48-1)</f>
        <v>0.11352657004830902</v>
      </c>
      <c r="V68" s="305">
        <f>IF(ISERROR(V48/U48-1),"",V48/U48-1)</f>
        <v>-0.21908893709327448</v>
      </c>
      <c r="W68" s="305">
        <f>IF(ISERROR(W48/V48-1),"",W48/V48-1)</f>
        <v>-0.26944444444444549</v>
      </c>
      <c r="X68" s="306"/>
      <c r="Y68" s="305">
        <f>IF(ISERROR(Y48/W48-1),"",Y48/W48-1)</f>
        <v>0.50570342205323326</v>
      </c>
      <c r="Z68" s="305">
        <f>IF(ISERROR(Z48/Y48-1),"",Z48/Y48-1)</f>
        <v>0.10858585858585812</v>
      </c>
      <c r="AA68" s="305">
        <f>IF(ISERROR(AA48/Z48-1),"",AA48/Z48-1)</f>
        <v>-7.9726651480637178E-2</v>
      </c>
      <c r="AB68" s="305">
        <f>IF(ISERROR(AB48/AA48-1),"",AB48/AA48-1)</f>
        <v>-0.23514851485148991</v>
      </c>
      <c r="AC68" s="306"/>
      <c r="AD68" s="305">
        <f>IF(ISERROR(AD48/AB48-1),"",AD48/AB48-1)</f>
        <v>0.53398058252428093</v>
      </c>
      <c r="AE68" s="305">
        <f>IF(ISERROR(AE48/AD48-1),"",AE48/AD48-1)</f>
        <v>-0.14135021097046407</v>
      </c>
      <c r="AF68" s="305">
        <f>IF(ISERROR(AF48/AE48-1),"",AF48/AE48-1)</f>
        <v>0.14742014742014597</v>
      </c>
      <c r="AG68" s="305">
        <f>IF(ISERROR(AG48/AF48-1),"",AG48/AF48-1)</f>
        <v>-0.14346895074946731</v>
      </c>
      <c r="AH68" s="306"/>
      <c r="AI68" s="305">
        <f>IF(ISERROR(AI48/AG48-1),"",AI48/AG48-1)</f>
        <v>0.2700000000000049</v>
      </c>
      <c r="AJ68" s="305">
        <f>IF(ISERROR(AJ48/AI48-1),"",AJ48/AI48-1)</f>
        <v>-0.18700787401574759</v>
      </c>
      <c r="AK68" s="305">
        <f>IF(ISERROR(AK48/AJ48-1),"",AK48/AJ48-1)</f>
        <v>-0.23486682808716719</v>
      </c>
      <c r="AL68" s="305">
        <f>IF(ISERROR(AL48/AK48-1),"",AL48/AK48-1)</f>
        <v>-0.158227848101266</v>
      </c>
      <c r="AM68" s="306"/>
      <c r="AN68" s="305">
        <f>IF(ISERROR(AN48/AL48-1),"",AN48/AL48-1)</f>
        <v>0.34586466165413476</v>
      </c>
      <c r="AO68" s="305">
        <f>IF(ISERROR(AO48/AN48-1),"",AO48/AN48-1)</f>
        <v>0.51117318435754289</v>
      </c>
      <c r="AP68" s="305">
        <f>IF(ISERROR(AP48/AO48-1),"",AP48/AO48-1)</f>
        <v>-0.10905730129390079</v>
      </c>
      <c r="AQ68" s="305">
        <f>IF(ISERROR(AQ48/AP48-1),"",AQ48/AP48-1)</f>
        <v>-6.8464730290457965E-2</v>
      </c>
      <c r="AR68" s="306"/>
      <c r="AS68" s="305">
        <f>IF(ISERROR(AS48/AQ48-1),"",AS48/AQ48-1)</f>
        <v>0.36525612472160662</v>
      </c>
      <c r="AT68" s="305">
        <f>IF(ISERROR(AT48/AR48-1),"",AT48/AR48-1)</f>
        <v>-0.65464480874316933</v>
      </c>
      <c r="AU68" s="305">
        <f>IF(ISERROR(AU48/AT48-1),"",AU48/AT48-1)</f>
        <v>-5.5379746835442889E-2</v>
      </c>
      <c r="AV68" s="305">
        <f>IF(ISERROR(AV48/AU48-1),"",AV48/AU48-1)</f>
        <v>5.6951423785594812E-2</v>
      </c>
      <c r="AW68" s="306"/>
      <c r="AX68" s="305">
        <f>IF(ISERROR(AX48/AV48-1),"",AX48/AV48-1)</f>
        <v>0.18225039619651384</v>
      </c>
      <c r="AY68" s="305">
        <f>IF(ISERROR(AY48/AX48-1),"",AY48/AX48-1)</f>
        <v>0.18230563002680911</v>
      </c>
      <c r="AZ68" s="305">
        <f>IF(ISERROR(AZ48/AY48-1),"",AZ48/AY48-1)</f>
        <v>-0.15306122448979542</v>
      </c>
      <c r="BA68" s="305">
        <f>IF(ISERROR(BA48/AZ48-1),"",BA48/AZ48-1)</f>
        <v>-8.2998661311914468E-2</v>
      </c>
      <c r="BB68" s="306"/>
      <c r="BC68" s="305">
        <f>IF(ISERROR(BC48/BA48-1),"",BC48/BA48-1)</f>
        <v>0.12846715328467107</v>
      </c>
      <c r="BD68" s="305">
        <f>IF(ISERROR(BD48/BC48-1),"",BD48/BC48-1)</f>
        <v>0.10866752910737421</v>
      </c>
      <c r="BE68" s="305">
        <f>IF(ISERROR(BE48/BD48-1),"",BE48/BD48-1)</f>
        <v>-2.3337222870478458E-2</v>
      </c>
      <c r="BF68" s="305">
        <f>IF(ISERROR(BF48/BE48-1),"",BF48/BE48-1)</f>
        <v>-2.3894862604539879E-3</v>
      </c>
      <c r="BG68" s="306"/>
      <c r="BH68" s="305">
        <f>IF(ISERROR(BH48/BF48-1),"",BH48/BF48-1)</f>
        <v>9.8203592814370966E-2</v>
      </c>
      <c r="BI68" s="305">
        <f>IF(ISERROR(BI48/BH48-1),"",BI48/BH48-1)</f>
        <v>1.1995637949836713E-2</v>
      </c>
      <c r="BJ68" s="305">
        <f>IF(ISERROR(BJ48/BI48-1),"",BJ48/BI48-1)</f>
        <v>4.31034482758621E-2</v>
      </c>
      <c r="BK68" s="305">
        <f>IF(ISERROR(BK48/BJ48-1),"",BK48/BJ48-1)</f>
        <v>-1.1363636363636354E-2</v>
      </c>
      <c r="BL68" s="306"/>
      <c r="BM68" s="305">
        <f>IF(ISERROR(BM48/BK48-1),"",BM48/BK48-1)</f>
        <v>5.4336468129571491E-2</v>
      </c>
      <c r="BN68" s="305">
        <f>IF(ISERROR(BN48/BM48-1),"",BN48/BM48-1)</f>
        <v>8.523290386521265E-2</v>
      </c>
      <c r="BO68" s="305">
        <f>IF(ISERROR(BO48/BN48-1),"",BO48/BN48-1)</f>
        <v>-0.11141552511415476</v>
      </c>
      <c r="BP68" s="305">
        <f>IF(ISERROR(BP48/BO48-1),"",BP48/BO48-1)</f>
        <v>3.905447070914625E-2</v>
      </c>
      <c r="BQ68" s="306"/>
      <c r="BR68" s="305">
        <f>IF(ISERROR(BR48/BP48-1),"",BR48/BP48-1)</f>
        <v>4.9455984174085366E-2</v>
      </c>
      <c r="BS68" s="305">
        <f>IF(ISERROR(BS48/BR48-1),"",BS48/BR48-1)</f>
        <v>0.16305372290292208</v>
      </c>
      <c r="BT68" s="305">
        <f>IF(ISERROR(BT48/BS48-1),"",BT48/BS48-1)</f>
        <v>-8.7520259319287086E-2</v>
      </c>
      <c r="BU68" s="305">
        <f>IF(ISERROR(BU48/BT48-1),"",BU48/BT48-1)</f>
        <v>-1.1545293072823926E-2</v>
      </c>
      <c r="BV68" s="306"/>
      <c r="BW68" s="305">
        <f>IF(ISERROR(BW48/BU48-1),"",BW48/BU48-1)</f>
        <v>-7.4573225516621711E-2</v>
      </c>
      <c r="BX68" s="305">
        <f>IF(ISERROR(BX48/BW48-1),"",BX48/BW48-1)</f>
        <v>0.11456310679611659</v>
      </c>
      <c r="BY68" s="305">
        <f>IF(ISERROR(BY48/BX48-1),"",BY48/BX48-1)</f>
        <v>9.5818815331008E-3</v>
      </c>
      <c r="BZ68" s="305">
        <f>IF(ISERROR(BZ48/BY48-1),"",BZ48/BY48-1)</f>
        <v>4.7454702329594145E-2</v>
      </c>
      <c r="CA68" s="306"/>
      <c r="CB68" s="305">
        <f>IF(ISERROR(CB48/BZ48-1),"",CB48/BZ48-1)</f>
        <v>-7.5782537067545119E-2</v>
      </c>
      <c r="CC68" s="305">
        <f>IF(ISERROR(CC48/CB48-1),"",CC48/CB48-1)</f>
        <v>0.1256684491978608</v>
      </c>
      <c r="CD68" s="305">
        <f>IF(ISERROR(CD48/CC48-1),"",CD48/CC48-1)</f>
        <v>1.1084718923198622E-2</v>
      </c>
      <c r="CE68" s="305">
        <f>IF(ISERROR(CE48/CD48-1),"",CE48/CD48-1)</f>
        <v>3.1323414252151238E-3</v>
      </c>
      <c r="CF68" s="306"/>
      <c r="CG68" s="305">
        <f>IF(ISERROR(CG48/CE48-1),"",CG48/CE48-1)</f>
        <v>0.10460577673692462</v>
      </c>
      <c r="CH68" s="305">
        <f>IF(ISERROR(CH48/CG48-1),"",CH48/CG48-1)</f>
        <v>5.3710247349823437E-2</v>
      </c>
      <c r="CI68" s="305">
        <f>IF(ISERROR(CI48/CH48-1),"",CI48/CH48-1)</f>
        <v>-3.2193158953722767E-2</v>
      </c>
      <c r="CJ68" s="305">
        <f>IF(ISERROR(CJ48/CI48-1),"",CJ48/CI48-1)</f>
        <v>-8.5239085239085299E-2</v>
      </c>
      <c r="CK68" s="306"/>
      <c r="CL68" s="305">
        <f>IF(ISERROR(CL48/CJ48-1),"",CL48/CJ48-1)</f>
        <v>-0.23333333333333317</v>
      </c>
      <c r="CM68" s="305">
        <f>IF(ISERROR(CM48/CL48-1),"",CM48/CL48-1)</f>
        <v>-0.50088522529644253</v>
      </c>
      <c r="CN68" s="305">
        <f>IF(ISERROR(CN48/CM48-1),"",CN48/CM48-1)</f>
        <v>0.39878319194651968</v>
      </c>
      <c r="CO68" s="305">
        <f>IF(ISERROR(CO48/CN48-1),"",CO48/CN48-1)</f>
        <v>0.26133391493916713</v>
      </c>
      <c r="CP68" s="304"/>
      <c r="CQ68" s="292"/>
      <c r="CR68" s="233"/>
      <c r="CS68" s="233"/>
      <c r="CW68" s="156"/>
      <c r="CX68" s="156"/>
      <c r="DE68" s="156"/>
      <c r="DF68" s="156"/>
      <c r="DG68" s="156"/>
      <c r="DH68" s="156"/>
    </row>
    <row r="69" spans="1:129" s="157" customFormat="1" ht="12" customHeight="1">
      <c r="A69" s="197"/>
      <c r="B69" s="260" t="s">
        <v>82</v>
      </c>
      <c r="C69" s="306"/>
      <c r="D69" s="306"/>
      <c r="E69" s="306"/>
      <c r="F69" s="306"/>
      <c r="G69" s="306"/>
      <c r="H69" s="306"/>
      <c r="I69" s="306"/>
      <c r="J69" s="305"/>
      <c r="K69" s="305">
        <f>IF(ISERROR(K46/J46-1),"",K46/J46-1)</f>
        <v>9.2827004219408149E-2</v>
      </c>
      <c r="L69" s="305">
        <f>IF(ISERROR(L46/K46-1),"",L46/K46-1)</f>
        <v>-0.28185328185328051</v>
      </c>
      <c r="M69" s="305">
        <f>IF(ISERROR(M46/L46-1),"",M46/L46-1)</f>
        <v>0.10752688172042313</v>
      </c>
      <c r="N69" s="306"/>
      <c r="O69" s="305">
        <f>IF(ISERROR(O46/M46-1),"",O46/M46-1)</f>
        <v>0.59708737864078398</v>
      </c>
      <c r="P69" s="305">
        <f>IF(ISERROR(P46/O46-1),"",P46/O46-1)</f>
        <v>0.12158054711246247</v>
      </c>
      <c r="Q69" s="305">
        <f>IF(ISERROR(Q46/P46-1),"",Q46/P46-1)</f>
        <v>-0.76422764227642193</v>
      </c>
      <c r="R69" s="305">
        <f>IF(ISERROR(R46/Q46-1),"",R46/Q46-1)</f>
        <v>1.9540229885057325</v>
      </c>
      <c r="S69" s="306"/>
      <c r="T69" s="305">
        <f>IF(ISERROR(T46/R46-1),"",T46/R46-1)</f>
        <v>0.15953307392996185</v>
      </c>
      <c r="U69" s="305">
        <f>IF(ISERROR(U46/T46-1),"",U46/T46-1)</f>
        <v>0.15100671140939603</v>
      </c>
      <c r="V69" s="305">
        <f>IF(ISERROR(V46/U46-1),"",V46/U46-1)</f>
        <v>-0.25072886297375996</v>
      </c>
      <c r="W69" s="305">
        <f>IF(ISERROR(W46/V46-1),"",W46/V46-1)</f>
        <v>-0.35408560311284154</v>
      </c>
      <c r="X69" s="306"/>
      <c r="Y69" s="305">
        <f>IF(ISERROR(Y46/W46-1),"",Y46/W46-1)</f>
        <v>0.80120481927711107</v>
      </c>
      <c r="Z69" s="305">
        <f>IF(ISERROR(Z46/Y46-1),"",Z46/Y46-1)</f>
        <v>0.13712374581939724</v>
      </c>
      <c r="AA69" s="305">
        <f>IF(ISERROR(AA46/Z46-1),"",AA46/Z46-1)</f>
        <v>-0.11176470588235221</v>
      </c>
      <c r="AB69" s="305">
        <f>IF(ISERROR(AB46/AA46-1),"",AB46/AA46-1)</f>
        <v>-0.30794701986755568</v>
      </c>
      <c r="AC69" s="306"/>
      <c r="AD69" s="305">
        <f>IF(ISERROR(AD46/AB46-1),"",AD46/AB46-1)</f>
        <v>0.74162679425838784</v>
      </c>
      <c r="AE69" s="305">
        <f>IF(ISERROR(AE46/AD46-1),"",AE46/AD46-1)</f>
        <v>-0.19505494505494492</v>
      </c>
      <c r="AF69" s="305">
        <f>IF(ISERROR(AF46/AE46-1),"",AF46/AE46-1)</f>
        <v>0.22525597269624331</v>
      </c>
      <c r="AG69" s="305">
        <f>IF(ISERROR(AG46/AF46-1),"",AG46/AF46-1)</f>
        <v>-0.1838440111420645</v>
      </c>
      <c r="AH69" s="306"/>
      <c r="AI69" s="305">
        <f>IF(ISERROR(AI46/AG46-1),"",AI46/AG46-1)</f>
        <v>0.36177474402731069</v>
      </c>
      <c r="AJ69" s="305">
        <f>IF(ISERROR(AJ46/AI46-1),"",AJ46/AI46-1)</f>
        <v>-0.25563909774436033</v>
      </c>
      <c r="AK69" s="305">
        <f>IF(ISERROR(AK46/AJ46-1),"",AK46/AJ46-1)</f>
        <v>-0.34006734006734007</v>
      </c>
      <c r="AL69" s="305">
        <f>IF(ISERROR(AL46/AK46-1),"",AL46/AK46-1)</f>
        <v>-0.26020408163265329</v>
      </c>
      <c r="AM69" s="306"/>
      <c r="AN69" s="305">
        <f>IF(ISERROR(AN46/AL46-1),"",AN46/AL46-1)</f>
        <v>0.6413793103448262</v>
      </c>
      <c r="AO69" s="305">
        <f>IF(ISERROR(AO46/AN46-1),"",AO46/AN46-1)</f>
        <v>0.70168067226890907</v>
      </c>
      <c r="AP69" s="305">
        <f>IF(ISERROR(AP46/AO46-1),"",AP46/AO46-1)</f>
        <v>-0.1481481481481487</v>
      </c>
      <c r="AQ69" s="305">
        <f>IF(ISERROR(AQ46/AP46-1),"",AQ46/AP46-1)</f>
        <v>-0.1014492753623214</v>
      </c>
      <c r="AR69" s="306"/>
      <c r="AS69" s="305">
        <f>IF(ISERROR(AS46/AQ46-1),"",AS46/AQ46-1)</f>
        <v>0.52258064516129576</v>
      </c>
      <c r="AT69" s="305">
        <f>IF(ISERROR(AT46/AR46-1),"",AT46/AR46-1)</f>
        <v>-0.6194144838212633</v>
      </c>
      <c r="AU69" s="305">
        <f>IF(ISERROR(AU46/AT46-1),"",AU46/AT46-1)</f>
        <v>-6.8825910931174072E-2</v>
      </c>
      <c r="AV69" s="305">
        <f>IF(ISERROR(AV46/AU46-1),"",AV46/AU46-1)</f>
        <v>7.3913043478261331E-2</v>
      </c>
      <c r="AW69" s="306"/>
      <c r="AX69" s="305">
        <f>IF(ISERROR(AX46/AV46-1),"",AX46/AV46-1)</f>
        <v>0.22672064777327972</v>
      </c>
      <c r="AY69" s="305">
        <f>IF(ISERROR(AY46/AX46-1),"",AY46/AX46-1)</f>
        <v>0.21947194719471885</v>
      </c>
      <c r="AZ69" s="305">
        <f>IF(ISERROR(AZ46/AY46-1),"",AZ46/AY46-1)</f>
        <v>-0.18809201623815908</v>
      </c>
      <c r="BA69" s="305">
        <f>IF(ISERROR(BA46/AZ46-1),"",BA46/AZ46-1)</f>
        <v>-9.5000000000000306E-2</v>
      </c>
      <c r="BB69" s="306"/>
      <c r="BC69" s="305">
        <f>IF(ISERROR(BC46/BA46-1),"",BC46/BA46-1)</f>
        <v>0.1602209944751376</v>
      </c>
      <c r="BD69" s="305">
        <f>IF(ISERROR(BD46/BC46-1),"",BD46/BC46-1)</f>
        <v>0.14126984126984166</v>
      </c>
      <c r="BE69" s="305">
        <f>IF(ISERROR(BE46/BD46-1),"",BE46/BD46-1)</f>
        <v>-4.0333796940194788E-2</v>
      </c>
      <c r="BF69" s="305">
        <f>IF(ISERROR(BF46/BE46-1),"",BF46/BE46-1)</f>
        <v>-2.8985507246376829E-2</v>
      </c>
      <c r="BG69" s="306"/>
      <c r="BH69" s="305">
        <f>IF(ISERROR(BH46/BF46-1),"",BH46/BF46-1)</f>
        <v>0.11343283582089514</v>
      </c>
      <c r="BI69" s="305">
        <f>IF(ISERROR(BI46/BH46-1),"",BI46/BH46-1)</f>
        <v>6.7024128686330453E-3</v>
      </c>
      <c r="BJ69" s="305">
        <f>IF(ISERROR(BJ46/BI46-1),"",BJ46/BI46-1)</f>
        <v>5.193075898801558E-2</v>
      </c>
      <c r="BK69" s="305">
        <f>IF(ISERROR(BK46/BJ46-1),"",BK46/BJ46-1)</f>
        <v>-2.4050632911392311E-2</v>
      </c>
      <c r="BL69" s="306"/>
      <c r="BM69" s="305">
        <f>IF(ISERROR(BM46/BK46-1),"",BM46/BK46-1)</f>
        <v>7.133592736705574E-2</v>
      </c>
      <c r="BN69" s="305">
        <f>IF(ISERROR(BN46/BM46-1),"",BN46/BM46-1)</f>
        <v>9.6852300242130207E-2</v>
      </c>
      <c r="BO69" s="305">
        <f>IF(ISERROR(BO46/BN46-1),"",BO46/BN46-1)</f>
        <v>-0.13907284768211858</v>
      </c>
      <c r="BP69" s="305">
        <f>IF(ISERROR(BP46/BO46-1),"",BP46/BO46-1)</f>
        <v>4.1025641025640214E-2</v>
      </c>
      <c r="BQ69" s="306"/>
      <c r="BR69" s="305">
        <f>IF(ISERROR(BR46/BP46-1),"",BR46/BP46-1)</f>
        <v>3.3251231527094083E-2</v>
      </c>
      <c r="BS69" s="305">
        <f>IF(ISERROR(BS46/BR46-1),"",BS46/BR46-1)</f>
        <v>0.19308700834326609</v>
      </c>
      <c r="BT69" s="305">
        <f>IF(ISERROR(BT46/BS46-1),"",BT46/BS46-1)</f>
        <v>-0.10989010989011017</v>
      </c>
      <c r="BU69" s="305">
        <f>IF(ISERROR(BU46/BT46-1),"",BU46/BT46-1)</f>
        <v>-2.356902356902324E-2</v>
      </c>
      <c r="BV69" s="306"/>
      <c r="BW69" s="305">
        <f>IF(ISERROR(BW46/BU46-1),"",BW46/BU46-1)</f>
        <v>-9.6551724137931116E-2</v>
      </c>
      <c r="BX69" s="305">
        <f>IF(ISERROR(BX46/BW46-1),"",BX46/BW46-1)</f>
        <v>0.14122137404580171</v>
      </c>
      <c r="BY69" s="305">
        <f>IF(ISERROR(BY46/BX46-1),"",BY46/BX46-1)</f>
        <v>-6.6889632107025587E-3</v>
      </c>
      <c r="BZ69" s="305">
        <f>IF(ISERROR(BZ46/BY46-1),"",BZ46/BY46-1)</f>
        <v>4.6015712682379029E-2</v>
      </c>
      <c r="CA69" s="306"/>
      <c r="CB69" s="305">
        <f>IF(ISERROR(CB46/BZ46-1),"",CB46/BZ46-1)</f>
        <v>-0.11587982832617993</v>
      </c>
      <c r="CC69" s="305">
        <f>IF(ISERROR(CC46/CB46-1),"",CC46/CB46-1)</f>
        <v>0.1711165048543688</v>
      </c>
      <c r="CD69" s="305">
        <f>IF(ISERROR(CD46/CC46-1),"",CD46/CC46-1)</f>
        <v>-1.1102230246251565E-16</v>
      </c>
      <c r="CE69" s="305">
        <f>IF(ISERROR(CE46/CD46-1),"",CE46/CD46-1)</f>
        <v>-7.2538860103630309E-3</v>
      </c>
      <c r="CF69" s="306"/>
      <c r="CG69" s="305">
        <f>IF(ISERROR(CG46/CE46-1),"",CG46/CE46-1)</f>
        <v>7.3068893528183798E-2</v>
      </c>
      <c r="CH69" s="305">
        <f>IF(ISERROR(CH46/CG46-1),"",CH46/CG46-1)</f>
        <v>0.11964980544747106</v>
      </c>
      <c r="CI69" s="305">
        <f>IF(ISERROR(CI46/CH46-1),"",CI46/CH46-1)</f>
        <v>-4.5178105994787443E-2</v>
      </c>
      <c r="CJ69" s="305">
        <f>IF(ISERROR(CJ46/CI46-1),"",CJ46/CI46-1)</f>
        <v>-0.11373976342129255</v>
      </c>
      <c r="CK69" s="306"/>
      <c r="CL69" s="305">
        <f>IF(ISERROR(CL46/CJ46-1),"",CL46/CJ46-1)</f>
        <v>-0.32546201232032834</v>
      </c>
      <c r="CM69" s="305">
        <f>IF(ISERROR(CM46/CL46-1),"",CM46/CL46-1)</f>
        <v>-0.77914132115677304</v>
      </c>
      <c r="CN69" s="305">
        <f>IF(ISERROR(CN46/CM46-1),"",CN46/CM46-1)</f>
        <v>1.3192389284629154</v>
      </c>
      <c r="CO69" s="305">
        <f>IF(ISERROR(CO46/CN46-1),"",CO46/CN46-1)</f>
        <v>0.48922823494064271</v>
      </c>
      <c r="CP69" s="304"/>
      <c r="CQ69" s="292"/>
      <c r="CR69" s="233"/>
      <c r="CS69" s="233"/>
    </row>
    <row r="70" spans="1:129" s="157" customFormat="1" ht="12" customHeight="1">
      <c r="A70" s="197"/>
      <c r="B70" s="260" t="s">
        <v>61</v>
      </c>
      <c r="C70" s="306"/>
      <c r="D70" s="306"/>
      <c r="E70" s="306"/>
      <c r="F70" s="306"/>
      <c r="G70" s="306"/>
      <c r="H70" s="306"/>
      <c r="I70" s="306"/>
      <c r="J70" s="305"/>
      <c r="K70" s="305">
        <f>IF(ISERROR(K18/J18-1),"",K18/J18-1)</f>
        <v>8.641975308641614E-2</v>
      </c>
      <c r="L70" s="305">
        <f>IF(ISERROR(L18/K18-1),"",L18/K18-1)</f>
        <v>-0.51136363636363247</v>
      </c>
      <c r="M70" s="305">
        <f>IF(ISERROR(M18/L18-1),"",M18/L18-1)</f>
        <v>0.76744186046507989</v>
      </c>
      <c r="N70" s="306"/>
      <c r="O70" s="305">
        <f>IF(ISERROR(O18/M18-1),"",O18/M18-1)</f>
        <v>-3.9473684210526683</v>
      </c>
      <c r="P70" s="305">
        <f>IF(ISERROR(P18/O18-1),"",P18/O18-1)</f>
        <v>-2.1696428571428585</v>
      </c>
      <c r="Q70" s="305">
        <f>IF(ISERROR(Q18/P18-1),"",Q18/P18-1)</f>
        <v>-0.95801526717557128</v>
      </c>
      <c r="R70" s="305">
        <f>IF(ISERROR(R18/Q18-1),"",R18/Q18-1)</f>
        <v>121.54545454545068</v>
      </c>
      <c r="S70" s="306"/>
      <c r="T70" s="305">
        <f>IF(ISERROR(T18/R18-1),"",T18/R18-1)</f>
        <v>-0.89243323442136502</v>
      </c>
      <c r="U70" s="305">
        <f>IF(ISERROR(U18/T18-1),"",U18/T18-1)</f>
        <v>0.21379310344827607</v>
      </c>
      <c r="V70" s="305">
        <f>IF(ISERROR(V18/U18-1),"",V18/U18-1)</f>
        <v>-0.10795454545454342</v>
      </c>
      <c r="W70" s="305">
        <f>IF(ISERROR(W18/V18-1),"",W18/V18-1)</f>
        <v>3.8216560509551245E-2</v>
      </c>
      <c r="X70" s="306"/>
      <c r="Y70" s="305">
        <f>IF(ISERROR(Y18/W18-1),"",Y18/W18-1)</f>
        <v>-9.2024539877297862E-2</v>
      </c>
      <c r="Z70" s="305">
        <f>IF(ISERROR(Z18/Y18-1),"",Z18/Y18-1)</f>
        <v>0.18243243243243068</v>
      </c>
      <c r="AA70" s="305">
        <f>IF(ISERROR(AA18/Z18-1),"",AA18/Z18-1)</f>
        <v>3.4285714285715585E-2</v>
      </c>
      <c r="AB70" s="305">
        <f>IF(ISERROR(AB18/AA18-1),"",AB18/AA18-1)</f>
        <v>-0.28176795580111502</v>
      </c>
      <c r="AC70" s="306"/>
      <c r="AD70" s="305">
        <f>IF(ISERROR(AD18/AB18-1),"",AD18/AB18-1)</f>
        <v>0.78461538461540847</v>
      </c>
      <c r="AE70" s="305">
        <f>IF(ISERROR(AE18/AD18-1),"",AE18/AD18-1)</f>
        <v>0.15086206896551713</v>
      </c>
      <c r="AF70" s="305">
        <f>IF(ISERROR(AF18/AE18-1),"",AF18/AE18-1)</f>
        <v>0.2359550561797723</v>
      </c>
      <c r="AG70" s="305">
        <f>IF(ISERROR(AG18/AF18-1),"",AG18/AF18-1)</f>
        <v>-0.14242424242424556</v>
      </c>
      <c r="AH70" s="306"/>
      <c r="AI70" s="305">
        <f>IF(ISERROR(AI18/AG18-1),"",AI18/AG18-1)</f>
        <v>-0.17314487632508391</v>
      </c>
      <c r="AJ70" s="305">
        <f>IF(ISERROR(AJ18/AI18-1),"",AJ18/AI18-1)</f>
        <v>-0.28205128205128105</v>
      </c>
      <c r="AK70" s="305">
        <f>IF(ISERROR(AK18/AJ18-1),"",AK18/AJ18-1)</f>
        <v>-0.38095238095238093</v>
      </c>
      <c r="AL70" s="305">
        <f>IF(ISERROR(AL18/AK18-1),"",AL18/AK18-1)</f>
        <v>-0.45192307692307687</v>
      </c>
      <c r="AM70" s="306"/>
      <c r="AN70" s="305">
        <f>IF(ISERROR(AN18/AL18-1),"",AN18/AL18-1)</f>
        <v>1.7719298245613979</v>
      </c>
      <c r="AO70" s="305">
        <f>IF(ISERROR(AO18/AN18-1),"",AO18/AN18-1)</f>
        <v>0.46202531645569822</v>
      </c>
      <c r="AP70" s="305">
        <f>IF(ISERROR(AP18/AO18-1),"",AP18/AO18-1)</f>
        <v>-0.32467532467532556</v>
      </c>
      <c r="AQ70" s="305">
        <f>IF(ISERROR(AQ18/AP18-1),"",AQ18/AP18-1)</f>
        <v>0.46794871794871251</v>
      </c>
      <c r="AR70" s="306"/>
      <c r="AS70" s="305">
        <f>IF(ISERROR(AS18/AQ18-1),"",AS18/AQ18-1)</f>
        <v>0.13100436681223271</v>
      </c>
      <c r="AT70" s="305">
        <f>IF(ISERROR(AT18/AR18-1),"",AT18/AR18-1)</f>
        <v>-0.51679586563307445</v>
      </c>
      <c r="AU70" s="305">
        <f>IF(ISERROR(AU18/AT18-1),"",AU18/AT18-1)</f>
        <v>-0.13903743315508044</v>
      </c>
      <c r="AV70" s="305">
        <f>IF(ISERROR(AV18/AU18-1),"",AV18/AU18-1)</f>
        <v>0.22670807453416231</v>
      </c>
      <c r="AW70" s="306"/>
      <c r="AX70" s="305">
        <f>IF(ISERROR(AX18/AV18-1),"",AX18/AV18-1)</f>
        <v>2.5316455696207107E-3</v>
      </c>
      <c r="AY70" s="305">
        <f>IF(ISERROR(AY18/AX18-1),"",AY18/AX18-1)</f>
        <v>0.2045454545454537</v>
      </c>
      <c r="AZ70" s="305">
        <f>IF(ISERROR(AZ18/AY18-1),"",AZ18/AY18-1)</f>
        <v>-0.16561844863731578</v>
      </c>
      <c r="BA70" s="305">
        <f>IF(ISERROR(BA18/AZ18-1),"",BA18/AZ18-1)</f>
        <v>-7.2864321608040572E-2</v>
      </c>
      <c r="BB70" s="306"/>
      <c r="BC70" s="305">
        <f>IF(ISERROR(BC18/BA18-1),"",BC18/BA18-1)</f>
        <v>0.18157181571815628</v>
      </c>
      <c r="BD70" s="305">
        <f>IF(ISERROR(BD18/BC18-1),"",BD18/BC18-1)</f>
        <v>0.11238532110091781</v>
      </c>
      <c r="BE70" s="305">
        <f>IF(ISERROR(BE18/BD18-1),"",BE18/BD18-1)</f>
        <v>4.1237113402057268E-3</v>
      </c>
      <c r="BF70" s="305">
        <f>IF(ISERROR(BF18/BE18-1),"",BF18/BE18-1)</f>
        <v>-3.2854209445584814E-2</v>
      </c>
      <c r="BG70" s="306"/>
      <c r="BH70" s="305">
        <f>IF(ISERROR(BH18/BF18-1),"",BH18/BF18-1)</f>
        <v>6.3694267515923109E-2</v>
      </c>
      <c r="BI70" s="305">
        <f>IF(ISERROR(BI18/BH18-1),"",BI18/BH18-1)</f>
        <v>9.9800399201601664E-3</v>
      </c>
      <c r="BJ70" s="305">
        <f>IF(ISERROR(BJ18/BI18-1),"",BJ18/BI18-1)</f>
        <v>0.10276679841897196</v>
      </c>
      <c r="BK70" s="305">
        <f>IF(ISERROR(BK18/BJ18-1),"",BK18/BJ18-1)</f>
        <v>-5.1971326164874432E-2</v>
      </c>
      <c r="BL70" s="306"/>
      <c r="BM70" s="305">
        <f>IF(ISERROR(BM18/BK18-1),"",BM18/BK18-1)</f>
        <v>0.28733459357277846</v>
      </c>
      <c r="BN70" s="305">
        <f>IF(ISERROR(BN18/BM18-1),"",BN18/BM18-1)</f>
        <v>-9.397944199706354E-2</v>
      </c>
      <c r="BO70" s="305">
        <f>IF(ISERROR(BO18/BN18-1),"",BO18/BN18-1)</f>
        <v>-0.13290113452187913</v>
      </c>
      <c r="BP70" s="305">
        <f>IF(ISERROR(BP18/BO18-1),"",BP18/BO18-1)</f>
        <v>7.4766355140172269E-3</v>
      </c>
      <c r="BQ70" s="306"/>
      <c r="BR70" s="305">
        <f>IF(ISERROR(BR18/BP18-1),"",BR18/BP18-1)</f>
        <v>3.8961038961039751E-2</v>
      </c>
      <c r="BS70" s="305">
        <f>IF(ISERROR(BS18/BR18-1),"",BS18/BR18-1)</f>
        <v>0.1803571428571431</v>
      </c>
      <c r="BT70" s="305">
        <f>IF(ISERROR(BT18/BS18-1),"",BT18/BS18-1)</f>
        <v>3.1770045385778989E-2</v>
      </c>
      <c r="BU70" s="305">
        <f>IF(ISERROR(BU18/BT18-1),"",BU18/BT18-1)</f>
        <v>-0.12756598240469164</v>
      </c>
      <c r="BV70" s="306"/>
      <c r="BW70" s="305">
        <f>IF(ISERROR(BW18/BU18-1),"",BW18/BU18-1)</f>
        <v>8.571428571428541E-2</v>
      </c>
      <c r="BX70" s="305">
        <f>IF(ISERROR(BX18/BW18-1),"",BX18/BW18-1)</f>
        <v>-4.6439628482971784E-2</v>
      </c>
      <c r="BY70" s="305">
        <f>IF(ISERROR(BY18/BX18-1),"",BY18/BX18-1)</f>
        <v>0.13149350649350611</v>
      </c>
      <c r="BZ70" s="305">
        <f>IF(ISERROR(BZ18/BY18-1),"",BZ18/BY18-1)</f>
        <v>0.2639885222381626</v>
      </c>
      <c r="CA70" s="306"/>
      <c r="CB70" s="305">
        <f>IF(ISERROR(CB18/BZ18-1),"",CB18/BZ18-1)</f>
        <v>-0.30079455164585667</v>
      </c>
      <c r="CC70" s="305">
        <f>IF(ISERROR(CC18/CB18-1),"",CC18/CB18-1)</f>
        <v>0.11688311688311681</v>
      </c>
      <c r="CD70" s="305">
        <f>IF(ISERROR(CD18/CC18-1),"",CD18/CC18-1)</f>
        <v>0.16424418604651159</v>
      </c>
      <c r="CE70" s="305">
        <f>IF(ISERROR(CE18/CD18-1),"",CE18/CD18-1)</f>
        <v>-0.17478152309613049</v>
      </c>
      <c r="CF70" s="306"/>
      <c r="CG70" s="305">
        <f>IF(ISERROR(CG18/CE18-1),"",CG18/CE18-1)</f>
        <v>9.2284417549168607E-2</v>
      </c>
      <c r="CH70" s="305">
        <f>IF(ISERROR(CH18/CG18-1),"",CH18/CG18-1)</f>
        <v>0.12049861495844882</v>
      </c>
      <c r="CI70" s="305">
        <f>IF(ISERROR(CI18/CH18-1),"",CI18/CH18-1)</f>
        <v>-7.4165636588383599E-3</v>
      </c>
      <c r="CJ70" s="305">
        <f>IF(ISERROR(CJ18/CI18-1),"",CJ18/CI18-1)</f>
        <v>-8.8418430884184773E-2</v>
      </c>
      <c r="CK70" s="306"/>
      <c r="CL70" s="305">
        <f>IF(ISERROR(CL18/CJ18-1),"",CL18/CJ18-1)</f>
        <v>-0.42076502732240417</v>
      </c>
      <c r="CM70" s="305">
        <f>IF(ISERROR(CM18/CL18-1),"",CM18/CL18-1)</f>
        <v>-0.99528028410377345</v>
      </c>
      <c r="CN70" s="305">
        <f>IF(ISERROR(CN18/CM18-1),"",CN18/CM18-1)</f>
        <v>82.390382737798703</v>
      </c>
      <c r="CO70" s="305">
        <f>IF(ISERROR(CO18/CN18-1),"",CO18/CN18-1)</f>
        <v>0.7955767921672765</v>
      </c>
      <c r="CP70" s="304"/>
      <c r="CQ70" s="292"/>
      <c r="CR70" s="233"/>
      <c r="CS70" s="233"/>
      <c r="CV70" s="156"/>
      <c r="DI70" s="156"/>
      <c r="DJ70" s="156"/>
      <c r="DK70" s="156"/>
    </row>
    <row r="71" spans="1:129" s="157" customFormat="1" ht="12" customHeight="1">
      <c r="A71" s="197"/>
      <c r="B71" s="307" t="s">
        <v>138</v>
      </c>
      <c r="C71" s="308"/>
      <c r="D71" s="308"/>
      <c r="E71" s="308"/>
      <c r="F71" s="308"/>
      <c r="G71" s="308"/>
      <c r="H71" s="308"/>
      <c r="I71" s="308"/>
      <c r="J71" s="309"/>
      <c r="K71" s="309">
        <f>IF(ISERROR(K26/J26-1),"",K26/J26-1)</f>
        <v>8.1659973226234861E-2</v>
      </c>
      <c r="L71" s="309">
        <f>IF(ISERROR(L26/K26-1),"",L26/K26-1)</f>
        <v>-0.51243169398906707</v>
      </c>
      <c r="M71" s="309">
        <f>IF(ISERROR(M26/L26-1),"",M26/L26-1)</f>
        <v>0.76744186046507967</v>
      </c>
      <c r="N71" s="308"/>
      <c r="O71" s="309">
        <f>IF(ISERROR(O26/M26-1),"",O26/M26-1)</f>
        <v>-3.8568242640499908</v>
      </c>
      <c r="P71" s="309">
        <f>IF(ISERROR(P26/O26-1),"",P26/O26-1)</f>
        <v>-2.1634803552611785</v>
      </c>
      <c r="Q71" s="309">
        <f>IF(ISERROR(Q26/P26-1),"",Q26/P26-1)</f>
        <v>-0.95801526717557128</v>
      </c>
      <c r="R71" s="309">
        <f>IF(ISERROR(R26/Q26-1),"",R26/Q26-1)</f>
        <v>121.54545454545068</v>
      </c>
      <c r="S71" s="308"/>
      <c r="T71" s="309">
        <f>IF(ISERROR(T26/R26-1),"",T26/R26-1)</f>
        <v>-0.89265945264550517</v>
      </c>
      <c r="U71" s="309">
        <f>IF(ISERROR(U26/T26-1),"",U26/T26-1)</f>
        <v>0.20870915327676509</v>
      </c>
      <c r="V71" s="309">
        <f>IF(ISERROR(V26/U26-1),"",V26/U26-1)</f>
        <v>-0.10514347784568179</v>
      </c>
      <c r="W71" s="309">
        <f>IF(ISERROR(W26/V26-1),"",W26/V26-1)</f>
        <v>2.7424288570782496E-2</v>
      </c>
      <c r="X71" s="308"/>
      <c r="Y71" s="309">
        <f>IF(ISERROR(Y26/W26-1),"",Y26/W26-1)</f>
        <v>-9.1079716297565394E-2</v>
      </c>
      <c r="Z71" s="309">
        <f>IF(ISERROR(Z26/Y26-1),"",Z26/Y26-1)</f>
        <v>0.17997670567763824</v>
      </c>
      <c r="AA71" s="309">
        <f>IF(ISERROR(AA26/Z26-1),"",AA26/Z26-1)</f>
        <v>3.000738661545399E-2</v>
      </c>
      <c r="AB71" s="309">
        <f>IF(ISERROR(AB26/AA26-1),"",AB26/AA26-1)</f>
        <v>-0.28325037488098892</v>
      </c>
      <c r="AC71" s="308"/>
      <c r="AD71" s="309">
        <f>IF(ISERROR(AD26/AB26-1),"",AD26/AB26-1)</f>
        <v>0.77000236201876238</v>
      </c>
      <c r="AE71" s="309">
        <f>IF(ISERROR(AE26/AD26-1),"",AE26/AD26-1)</f>
        <v>0.14968531838375299</v>
      </c>
      <c r="AF71" s="309">
        <f>IF(ISERROR(AF26/AE26-1),"",AF26/AE26-1)</f>
        <v>0.2359550561797723</v>
      </c>
      <c r="AG71" s="309">
        <f>IF(ISERROR(AG26/AF26-1),"",AG26/AF26-1)</f>
        <v>-0.13624192491340037</v>
      </c>
      <c r="AH71" s="308"/>
      <c r="AI71" s="309">
        <f>IF(ISERROR(AI26/AG26-1),"",AI26/AG26-1)</f>
        <v>-0.17399555032063463</v>
      </c>
      <c r="AJ71" s="309">
        <f>IF(ISERROR(AJ26/AI26-1),"",AJ26/AI26-1)</f>
        <v>-0.28645587541292961</v>
      </c>
      <c r="AK71" s="309">
        <f>IF(ISERROR(AK26/AJ26-1),"",AK26/AJ26-1)</f>
        <v>-0.38284549293723602</v>
      </c>
      <c r="AL71" s="309">
        <f>IF(ISERROR(AL26/AK26-1),"",AL26/AK26-1)</f>
        <v>-0.45414877001171428</v>
      </c>
      <c r="AM71" s="308"/>
      <c r="AN71" s="309">
        <f>IF(ISERROR(AN26/AL26-1),"",AN26/AL26-1)</f>
        <v>1.757930178982805</v>
      </c>
      <c r="AO71" s="309">
        <f>IF(ISERROR(AO26/AN26-1),"",AO26/AN26-1)</f>
        <v>0.45176034432411383</v>
      </c>
      <c r="AP71" s="309">
        <f>IF(ISERROR(AP26/AO26-1),"",AP26/AO26-1)</f>
        <v>-0.3267012987012996</v>
      </c>
      <c r="AQ71" s="309">
        <f>IF(ISERROR(AQ26/AP26-1),"",AQ26/AP26-1)</f>
        <v>0.45485502274401601</v>
      </c>
      <c r="AR71" s="308"/>
      <c r="AS71" s="309">
        <f>IF(ISERROR(AS26/AQ26-1),"",AS26/AQ26-1)</f>
        <v>0.13663685867882758</v>
      </c>
      <c r="AT71" s="309">
        <f>IF(ISERROR(AT26/AR26-1),"",AT26/AR26-1)</f>
        <v>-0.52063462737581057</v>
      </c>
      <c r="AU71" s="309">
        <f>IF(ISERROR(AU26/AT26-1),"",AU26/AT26-1)</f>
        <v>-0.14244381324150945</v>
      </c>
      <c r="AV71" s="309">
        <f>IF(ISERROR(AV26/AU26-1),"",AV26/AU26-1)</f>
        <v>0.22428614348868514</v>
      </c>
      <c r="AW71" s="308"/>
      <c r="AX71" s="309">
        <f>IF(ISERROR(AX26/AV26-1),"",AX26/AV26-1)</f>
        <v>-1.4114484149206907E-3</v>
      </c>
      <c r="AY71" s="309">
        <f>IF(ISERROR(AY26/AX26-1),"",AY26/AX26-1)</f>
        <v>0.20100267379679071</v>
      </c>
      <c r="AZ71" s="309">
        <f>IF(ISERROR(AZ26/AY26-1),"",AZ26/AY26-1)</f>
        <v>-0.16643566857009018</v>
      </c>
      <c r="BA71" s="309">
        <f>IF(ISERROR(BA26/AZ26-1),"",BA26/AZ26-1)</f>
        <v>-7.37714993755475E-2</v>
      </c>
      <c r="BB71" s="308"/>
      <c r="BC71" s="309">
        <f>IF(ISERROR(BC26/BA26-1),"",BC26/BA26-1)</f>
        <v>0.18272908488144557</v>
      </c>
      <c r="BD71" s="309">
        <f>IF(ISERROR(BD26/BC26-1),"",BD26/BC26-1)</f>
        <v>0.11566347037724678</v>
      </c>
      <c r="BE71" s="309">
        <f>IF(ISERROR(BE26/BD26-1),"",BE26/BD26-1)</f>
        <v>5.1110502894093912E-3</v>
      </c>
      <c r="BF71" s="309">
        <f>IF(ISERROR(BF26/BE26-1),"",BF26/BE26-1)</f>
        <v>-3.4752434745986105E-2</v>
      </c>
      <c r="BG71" s="308"/>
      <c r="BH71" s="309">
        <f>IF(ISERROR(BH26/BF26-1),"",BH26/BF26-1)</f>
        <v>7.7439819680641842E-2</v>
      </c>
      <c r="BI71" s="309">
        <f>IF(ISERROR(BI26/BH26-1),"",BI26/BH26-1)</f>
        <v>2.4233790483549456E-2</v>
      </c>
      <c r="BJ71" s="309">
        <f>IF(ISERROR(BJ26/BI26-1),"",BJ26/BI26-1)</f>
        <v>0.11969771139367458</v>
      </c>
      <c r="BK71" s="309">
        <f>IF(ISERROR(BK26/BJ26-1),"",BK26/BJ26-1)</f>
        <v>-5.0026651962135626E-2</v>
      </c>
      <c r="BL71" s="308"/>
      <c r="BM71" s="309">
        <f>IF(ISERROR(BM26/BK26-1),"",BM26/BK26-1)</f>
        <v>0.28207479952345138</v>
      </c>
      <c r="BN71" s="309">
        <f>IF(ISERROR(BN26/BM26-1),"",BN26/BM26-1)</f>
        <v>-9.6747325575483933E-2</v>
      </c>
      <c r="BO71" s="309">
        <f>IF(ISERROR(BO26/BN26-1),"",BO26/BN26-1)</f>
        <v>-0.12488069280625402</v>
      </c>
      <c r="BP71" s="309">
        <f>IF(ISERROR(BP26/BO26-1),"",BP26/BO26-1)</f>
        <v>2.3251321873840158E-2</v>
      </c>
      <c r="BQ71" s="308"/>
      <c r="BR71" s="309">
        <f>IF(ISERROR(BR26/BP26-1),"",BR26/BP26-1)</f>
        <v>4.9920543591430278E-2</v>
      </c>
      <c r="BS71" s="309">
        <f>IF(ISERROR(BS26/BR26-1),"",BS26/BR26-1)</f>
        <v>0.18285261250377571</v>
      </c>
      <c r="BT71" s="309">
        <f>IF(ISERROR(BT26/BS26-1),"",BT26/BS26-1)</f>
        <v>3.7252351684321949E-2</v>
      </c>
      <c r="BU71" s="309">
        <f>IF(ISERROR(BU26/BT26-1),"",BU26/BT26-1)</f>
        <v>-0.12008530486904057</v>
      </c>
      <c r="BV71" s="308"/>
      <c r="BW71" s="309">
        <f>IF(ISERROR(BW26/BU26-1),"",BW26/BU26-1)</f>
        <v>9.0389051207134807E-2</v>
      </c>
      <c r="BX71" s="309">
        <f>IF(ISERROR(BX26/BW26-1),"",BX26/BW26-1)</f>
        <v>-3.7111320500739953E-2</v>
      </c>
      <c r="BY71" s="309">
        <f>IF(ISERROR(BY26/BX26-1),"",BY26/BX26-1)</f>
        <v>0.13892125380090325</v>
      </c>
      <c r="BZ71" s="309">
        <f>IF(ISERROR(BZ26/BY26-1),"",BZ26/BY26-1)</f>
        <v>0.26260711401713754</v>
      </c>
      <c r="CA71" s="308"/>
      <c r="CB71" s="309">
        <f>IF(ISERROR(CB26/BZ26-1),"",CB26/BZ26-1)</f>
        <v>-0.2984945337236391</v>
      </c>
      <c r="CC71" s="309">
        <f>IF(ISERROR(CC26/CB26-1),"",CC26/CB26-1)</f>
        <v>0.1325299117160359</v>
      </c>
      <c r="CD71" s="309">
        <f>IF(ISERROR(CD26/CC26-1),"",CD26/CC26-1)</f>
        <v>0.18855984214555321</v>
      </c>
      <c r="CE71" s="309">
        <f>IF(ISERROR(CE26/CD26-1),"",CE26/CD26-1)</f>
        <v>-0.16338610109055351</v>
      </c>
      <c r="CF71" s="308"/>
      <c r="CG71" s="309">
        <f>IF(ISERROR(CG26/CE26-1),"",CG26/CE26-1)</f>
        <v>0.10371530098863668</v>
      </c>
      <c r="CH71" s="309">
        <f>IF(ISERROR(CH26/CG26-1),"",CH26/CG26-1)</f>
        <v>0.11789885019056379</v>
      </c>
      <c r="CI71" s="309">
        <f>IF(ISERROR(CI26/CH26-1),"",CI26/CH26-1)</f>
        <v>-6.2637373680820563E-3</v>
      </c>
      <c r="CJ71" s="309">
        <f>IF(ISERROR(CJ26/CI26-1),"",CJ26/CI26-1)</f>
        <v>-7.8789048111834736E-2</v>
      </c>
      <c r="CK71" s="308"/>
      <c r="CL71" s="309">
        <f>IF(ISERROR(CL26/CJ26-1),"",CL26/CJ26-1)</f>
        <v>-0.41458102405538355</v>
      </c>
      <c r="CM71" s="309">
        <f>IF(ISERROR(CM26/CL26-1),"",CM26/CL26-1)</f>
        <v>-0.99527467874047637</v>
      </c>
      <c r="CN71" s="309">
        <f>IF(ISERROR(CN26/CM26-1),"",CN26/CM26-1)</f>
        <v>82.489538959841255</v>
      </c>
      <c r="CO71" s="309">
        <f>IF(ISERROR(CO26/CN26-1),"",CO26/CN26-1)</f>
        <v>0.80200487137551257</v>
      </c>
      <c r="CP71" s="304"/>
      <c r="CQ71" s="293"/>
      <c r="CR71" s="235"/>
      <c r="CS71" s="235"/>
      <c r="CV71" s="156"/>
      <c r="DI71" s="156"/>
      <c r="DJ71" s="156"/>
      <c r="DK71" s="156"/>
    </row>
    <row r="72" spans="1:129" ht="6" customHeight="1" thickBot="1">
      <c r="B72" s="310"/>
      <c r="C72" s="311"/>
      <c r="D72" s="311"/>
      <c r="E72" s="311"/>
      <c r="F72" s="311"/>
      <c r="G72" s="311"/>
      <c r="H72" s="311"/>
      <c r="I72" s="311"/>
      <c r="J72" s="198"/>
      <c r="K72" s="198"/>
      <c r="L72" s="198"/>
      <c r="M72" s="198"/>
      <c r="N72" s="311"/>
      <c r="O72" s="198"/>
      <c r="P72" s="198"/>
      <c r="Q72" s="198"/>
      <c r="R72" s="198"/>
      <c r="S72" s="311"/>
      <c r="T72" s="198"/>
      <c r="U72" s="198"/>
      <c r="V72" s="198"/>
      <c r="W72" s="198"/>
      <c r="X72" s="311"/>
      <c r="Y72" s="198"/>
      <c r="Z72" s="198"/>
      <c r="AA72" s="198"/>
      <c r="AB72" s="198"/>
      <c r="AC72" s="311"/>
      <c r="AD72" s="198"/>
      <c r="AE72" s="198"/>
      <c r="AF72" s="198"/>
      <c r="AG72" s="198"/>
      <c r="AH72" s="311"/>
      <c r="AI72" s="198"/>
      <c r="AJ72" s="198"/>
      <c r="AK72" s="198"/>
      <c r="AL72" s="198"/>
      <c r="AM72" s="311"/>
      <c r="AN72" s="198"/>
      <c r="AO72" s="198"/>
      <c r="AP72" s="198"/>
      <c r="AQ72" s="198"/>
      <c r="AR72" s="311"/>
      <c r="AS72" s="198"/>
      <c r="AT72" s="198"/>
      <c r="AU72" s="198"/>
      <c r="AV72" s="198"/>
      <c r="AW72" s="311"/>
      <c r="AX72" s="198"/>
      <c r="AY72" s="198"/>
      <c r="AZ72" s="198"/>
      <c r="BA72" s="198"/>
      <c r="BB72" s="311"/>
      <c r="BC72" s="198"/>
      <c r="BD72" s="198"/>
      <c r="BE72" s="198"/>
      <c r="BF72" s="198"/>
      <c r="BG72" s="311"/>
      <c r="BH72" s="198"/>
      <c r="BI72" s="198"/>
      <c r="BJ72" s="198"/>
      <c r="BK72" s="198"/>
      <c r="BL72" s="311"/>
      <c r="BM72" s="198"/>
      <c r="BN72" s="198"/>
      <c r="BO72" s="198"/>
      <c r="BP72" s="198"/>
      <c r="BQ72" s="311"/>
      <c r="BR72" s="198"/>
      <c r="BS72" s="198"/>
      <c r="BT72" s="198"/>
      <c r="BU72" s="198"/>
      <c r="BV72" s="311"/>
      <c r="BW72" s="198"/>
      <c r="BX72" s="198"/>
      <c r="BY72" s="198"/>
      <c r="BZ72" s="198"/>
      <c r="CA72" s="311"/>
      <c r="CB72" s="198"/>
      <c r="CC72" s="198"/>
      <c r="CD72" s="198"/>
      <c r="CE72" s="198"/>
      <c r="CF72" s="311"/>
      <c r="CG72" s="198"/>
      <c r="CH72" s="198"/>
      <c r="CI72" s="198"/>
      <c r="CJ72" s="198"/>
      <c r="CK72" s="311"/>
      <c r="CL72" s="198"/>
      <c r="CM72" s="198"/>
      <c r="CN72" s="198"/>
      <c r="CO72" s="198"/>
      <c r="CP72" s="260"/>
      <c r="CQ72" s="294"/>
      <c r="CR72" s="236"/>
      <c r="CS72" s="236"/>
      <c r="DK72" s="193"/>
      <c r="DL72" s="237"/>
      <c r="DM72" s="237"/>
      <c r="DN72" s="237"/>
      <c r="DO72" s="237"/>
      <c r="DP72" s="237"/>
      <c r="DQ72" s="237"/>
      <c r="DR72" s="237"/>
      <c r="DS72" s="237"/>
      <c r="DT72" s="237"/>
      <c r="DU72" s="237"/>
      <c r="DV72" s="238"/>
    </row>
    <row r="73" spans="1:129" ht="12.75">
      <c r="B73" s="310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  <c r="AK73" s="198"/>
      <c r="AL73" s="198"/>
      <c r="AM73" s="198"/>
      <c r="AN73" s="198"/>
      <c r="AO73" s="198"/>
      <c r="AP73" s="198"/>
      <c r="AQ73" s="198"/>
      <c r="AR73" s="198"/>
      <c r="AS73" s="198"/>
      <c r="AT73" s="198"/>
      <c r="AU73" s="198"/>
      <c r="AV73" s="198"/>
      <c r="AW73" s="198"/>
      <c r="AX73" s="198"/>
      <c r="AY73" s="198"/>
      <c r="AZ73" s="198"/>
      <c r="BA73" s="198"/>
      <c r="BB73" s="198"/>
      <c r="BC73" s="198"/>
      <c r="BD73" s="198"/>
      <c r="BE73" s="198"/>
      <c r="BF73" s="198"/>
      <c r="BG73" s="198"/>
      <c r="BH73" s="198"/>
      <c r="BI73" s="198"/>
      <c r="BJ73" s="198"/>
      <c r="BK73" s="198"/>
      <c r="BL73" s="198"/>
      <c r="BM73" s="198"/>
      <c r="BN73" s="198"/>
      <c r="BO73" s="198"/>
      <c r="BP73" s="198"/>
      <c r="BQ73" s="198"/>
      <c r="BR73" s="198"/>
      <c r="BS73" s="198"/>
      <c r="BT73" s="198"/>
      <c r="BU73" s="198"/>
      <c r="BV73" s="198"/>
      <c r="BW73" s="198"/>
      <c r="BX73" s="198"/>
      <c r="BY73" s="198"/>
      <c r="BZ73" s="198"/>
      <c r="CA73" s="198"/>
      <c r="CB73" s="198"/>
      <c r="CC73" s="198"/>
      <c r="CD73" s="198"/>
      <c r="CE73" s="198"/>
      <c r="CF73" s="198"/>
      <c r="CG73" s="198"/>
      <c r="CH73" s="198"/>
      <c r="CI73" s="198"/>
      <c r="CJ73" s="198"/>
      <c r="CK73" s="198"/>
      <c r="CL73" s="198"/>
      <c r="CM73" s="198"/>
      <c r="CN73" s="198"/>
      <c r="CO73" s="198"/>
      <c r="CP73" s="260"/>
      <c r="DK73" s="194"/>
      <c r="DL73" s="186" t="s">
        <v>573</v>
      </c>
      <c r="DM73" s="187">
        <v>2016</v>
      </c>
      <c r="DN73" s="187">
        <f t="shared" ref="DN73:DU73" si="91">DM73+1</f>
        <v>2017</v>
      </c>
      <c r="DO73" s="187">
        <f t="shared" si="91"/>
        <v>2018</v>
      </c>
      <c r="DP73" s="187">
        <f t="shared" si="91"/>
        <v>2019</v>
      </c>
      <c r="DQ73" s="191">
        <f t="shared" si="91"/>
        <v>2020</v>
      </c>
      <c r="DR73" s="191">
        <f t="shared" si="91"/>
        <v>2021</v>
      </c>
      <c r="DS73" s="191">
        <f t="shared" si="91"/>
        <v>2022</v>
      </c>
      <c r="DT73" s="191">
        <f t="shared" si="91"/>
        <v>2023</v>
      </c>
      <c r="DU73" s="191">
        <f t="shared" si="91"/>
        <v>2024</v>
      </c>
      <c r="DV73" s="239"/>
    </row>
    <row r="74" spans="1:129" ht="5.0999999999999996" customHeight="1">
      <c r="B74" s="310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  <c r="AK74" s="198"/>
      <c r="AL74" s="198"/>
      <c r="AM74" s="198"/>
      <c r="AN74" s="198"/>
      <c r="AO74" s="198"/>
      <c r="AP74" s="198"/>
      <c r="AQ74" s="198"/>
      <c r="AR74" s="198"/>
      <c r="AS74" s="198"/>
      <c r="AT74" s="198"/>
      <c r="AU74" s="198"/>
      <c r="AV74" s="198"/>
      <c r="AW74" s="198"/>
      <c r="AX74" s="198"/>
      <c r="AY74" s="198"/>
      <c r="AZ74" s="198"/>
      <c r="BA74" s="198"/>
      <c r="BB74" s="198"/>
      <c r="BC74" s="198"/>
      <c r="BD74" s="198"/>
      <c r="BE74" s="198"/>
      <c r="BF74" s="198"/>
      <c r="BG74" s="198"/>
      <c r="BH74" s="198"/>
      <c r="BI74" s="198"/>
      <c r="BJ74" s="198"/>
      <c r="BK74" s="198"/>
      <c r="BL74" s="198"/>
      <c r="BM74" s="198"/>
      <c r="BN74" s="198"/>
      <c r="BO74" s="198"/>
      <c r="BP74" s="198"/>
      <c r="BQ74" s="198"/>
      <c r="BR74" s="198"/>
      <c r="BS74" s="198"/>
      <c r="BT74" s="198"/>
      <c r="BU74" s="198"/>
      <c r="BV74" s="198"/>
      <c r="BW74" s="198"/>
      <c r="BX74" s="198"/>
      <c r="BY74" s="198"/>
      <c r="BZ74" s="198"/>
      <c r="CA74" s="198"/>
      <c r="CB74" s="198"/>
      <c r="CC74" s="198"/>
      <c r="CD74" s="198"/>
      <c r="CE74" s="198"/>
      <c r="CF74" s="198"/>
      <c r="CG74" s="198"/>
      <c r="CH74" s="198"/>
      <c r="CI74" s="198"/>
      <c r="CJ74" s="198"/>
      <c r="CK74" s="198"/>
      <c r="CL74" s="198"/>
      <c r="CM74" s="198"/>
      <c r="CN74" s="198"/>
      <c r="CO74" s="198"/>
      <c r="CP74" s="260"/>
      <c r="DK74" s="194"/>
      <c r="DL74" s="157"/>
      <c r="DM74" s="157"/>
      <c r="DN74" s="157"/>
      <c r="DO74" s="157"/>
      <c r="DP74" s="157"/>
      <c r="DQ74" s="157"/>
      <c r="DR74" s="157"/>
      <c r="DS74" s="157"/>
      <c r="DT74" s="157"/>
      <c r="DU74" s="157"/>
      <c r="DV74" s="239"/>
    </row>
    <row r="75" spans="1:129" ht="12.75">
      <c r="B75" s="310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  <c r="AS75" s="198"/>
      <c r="AT75" s="198"/>
      <c r="AU75" s="198"/>
      <c r="AV75" s="198"/>
      <c r="AW75" s="198"/>
      <c r="AX75" s="198"/>
      <c r="AY75" s="198"/>
      <c r="AZ75" s="198"/>
      <c r="BA75" s="198"/>
      <c r="BB75" s="198"/>
      <c r="BC75" s="198"/>
      <c r="BD75" s="198"/>
      <c r="BE75" s="198"/>
      <c r="BF75" s="198"/>
      <c r="BG75" s="198"/>
      <c r="BH75" s="198"/>
      <c r="BI75" s="198"/>
      <c r="BJ75" s="198"/>
      <c r="BK75" s="198"/>
      <c r="BL75" s="198"/>
      <c r="BM75" s="198"/>
      <c r="BN75" s="198"/>
      <c r="BO75" s="198"/>
      <c r="BP75" s="198"/>
      <c r="BQ75" s="198"/>
      <c r="BR75" s="198"/>
      <c r="BS75" s="198"/>
      <c r="BT75" s="198"/>
      <c r="BU75" s="198"/>
      <c r="BV75" s="198"/>
      <c r="BW75" s="198"/>
      <c r="BX75" s="198"/>
      <c r="BY75" s="198"/>
      <c r="BZ75" s="198"/>
      <c r="CA75" s="198"/>
      <c r="CB75" s="198"/>
      <c r="CC75" s="198"/>
      <c r="CD75" s="198"/>
      <c r="CE75" s="198"/>
      <c r="CF75" s="198"/>
      <c r="CG75" s="198"/>
      <c r="CH75" s="198"/>
      <c r="CI75" s="198"/>
      <c r="CJ75" s="198"/>
      <c r="CK75" s="198"/>
      <c r="CL75" s="198"/>
      <c r="CM75" s="198"/>
      <c r="CN75" s="198"/>
      <c r="CO75" s="198"/>
      <c r="CP75" s="260"/>
      <c r="DK75" s="194"/>
      <c r="DL75" s="156" t="s">
        <v>117</v>
      </c>
      <c r="DM75" s="188">
        <f>'IS (2)'!BV6</f>
        <v>2004.3</v>
      </c>
      <c r="DN75" s="188">
        <f>CA6</f>
        <v>1973.3</v>
      </c>
      <c r="DO75" s="188">
        <f>CF6</f>
        <v>2189.1</v>
      </c>
      <c r="DP75" s="188">
        <f>CK6</f>
        <v>2355.6999999999998</v>
      </c>
      <c r="DQ75" s="188">
        <f>CZ101</f>
        <v>1648.9899999999998</v>
      </c>
      <c r="DR75" s="188">
        <f>DA101</f>
        <v>1731.4395</v>
      </c>
      <c r="DS75" s="188">
        <f>DB101</f>
        <v>1887.269055</v>
      </c>
      <c r="DT75" s="188">
        <f>DC101</f>
        <v>2057.1232699500001</v>
      </c>
      <c r="DU75" s="188">
        <f>DD101</f>
        <v>2262.8355969450004</v>
      </c>
      <c r="DV75" s="239"/>
    </row>
    <row r="76" spans="1:129">
      <c r="AM76" s="234"/>
      <c r="DK76" s="194"/>
      <c r="DL76" s="192" t="s">
        <v>571</v>
      </c>
      <c r="DM76" s="189">
        <f>DM75/BQ6-1</f>
        <v>7.6885880077369517E-2</v>
      </c>
      <c r="DN76" s="189">
        <f>DN75/DM75-1</f>
        <v>-1.5466746495035655E-2</v>
      </c>
      <c r="DO76" s="189">
        <f t="shared" ref="DO76:DU76" si="92">DO75/DN75-1</f>
        <v>0.10935995540465204</v>
      </c>
      <c r="DP76" s="189">
        <f t="shared" si="92"/>
        <v>7.6104335114887345E-2</v>
      </c>
      <c r="DQ76" s="189">
        <f t="shared" si="92"/>
        <v>-0.30000000000000004</v>
      </c>
      <c r="DR76" s="189">
        <f t="shared" si="92"/>
        <v>5.0000000000000044E-2</v>
      </c>
      <c r="DS76" s="189">
        <f t="shared" si="92"/>
        <v>9.000000000000008E-2</v>
      </c>
      <c r="DT76" s="189">
        <f t="shared" si="92"/>
        <v>9.000000000000008E-2</v>
      </c>
      <c r="DU76" s="189">
        <f t="shared" si="92"/>
        <v>0.10000000000000009</v>
      </c>
      <c r="DV76" s="239"/>
    </row>
    <row r="77" spans="1:129">
      <c r="CY77" s="178" t="s">
        <v>555</v>
      </c>
      <c r="CZ77" s="179">
        <v>26.91</v>
      </c>
      <c r="DK77" s="194"/>
      <c r="DV77" s="239"/>
    </row>
    <row r="78" spans="1:129">
      <c r="CQ78" s="162"/>
      <c r="CY78" s="171" t="s">
        <v>564</v>
      </c>
      <c r="CZ78" s="169">
        <f>DR54</f>
        <v>84.38</v>
      </c>
      <c r="DK78" s="194"/>
      <c r="DL78" s="156" t="s">
        <v>129</v>
      </c>
      <c r="DM78" s="190">
        <f>DO52</f>
        <v>455.9</v>
      </c>
      <c r="DN78" s="190">
        <f>DP52</f>
        <v>458.4</v>
      </c>
      <c r="DO78" s="190">
        <f>DQ52</f>
        <v>500.3</v>
      </c>
      <c r="DP78" s="190">
        <f>DR52</f>
        <v>586.1</v>
      </c>
      <c r="DQ78" s="156">
        <f>CZ106</f>
        <v>321.55304999999998</v>
      </c>
      <c r="DR78" s="156">
        <f>DA106</f>
        <v>346.28790000000004</v>
      </c>
      <c r="DS78" s="156">
        <f>DB106</f>
        <v>386.89015627499998</v>
      </c>
      <c r="DT78" s="156">
        <f>DC106</f>
        <v>431.99588668950003</v>
      </c>
      <c r="DU78" s="156">
        <f>DD106</f>
        <v>475.19547535845004</v>
      </c>
      <c r="DV78" s="239"/>
    </row>
    <row r="79" spans="1:129" ht="12.75" customHeight="1">
      <c r="CG79" s="162"/>
      <c r="CH79" s="162"/>
      <c r="CQ79" s="240"/>
      <c r="CY79" s="180" t="s">
        <v>565</v>
      </c>
      <c r="CZ79" s="181">
        <f>CZ77*CZ78</f>
        <v>2270.6657999999998</v>
      </c>
      <c r="DK79" s="194"/>
      <c r="DL79" s="192" t="s">
        <v>572</v>
      </c>
      <c r="DM79" s="189">
        <f>DM78/DM75</f>
        <v>0.22746095893828269</v>
      </c>
      <c r="DN79" s="189">
        <f t="shared" ref="DN79:DU79" si="93">DN78/DN75</f>
        <v>0.23230122130441391</v>
      </c>
      <c r="DO79" s="189">
        <f t="shared" si="93"/>
        <v>0.22854140971175371</v>
      </c>
      <c r="DP79" s="189">
        <f t="shared" si="93"/>
        <v>0.24880078108417883</v>
      </c>
      <c r="DQ79" s="189">
        <f t="shared" si="93"/>
        <v>0.19500000000000001</v>
      </c>
      <c r="DR79" s="189">
        <f t="shared" si="93"/>
        <v>0.20000000000000004</v>
      </c>
      <c r="DS79" s="189">
        <f t="shared" si="93"/>
        <v>0.20499999999999999</v>
      </c>
      <c r="DT79" s="189">
        <f t="shared" si="93"/>
        <v>0.21</v>
      </c>
      <c r="DU79" s="189">
        <f t="shared" si="93"/>
        <v>0.21</v>
      </c>
      <c r="DV79" s="239"/>
    </row>
    <row r="80" spans="1:129" ht="5.0999999999999996" customHeight="1">
      <c r="CY80" s="171" t="s">
        <v>566</v>
      </c>
      <c r="CZ80" s="169">
        <f>'BS (2)'!CL56</f>
        <v>1389.5</v>
      </c>
      <c r="DK80" s="195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241"/>
    </row>
    <row r="81" spans="103:108">
      <c r="CY81" s="171" t="s">
        <v>144</v>
      </c>
      <c r="CZ81" s="169">
        <f>-'BS (2)'!CL7</f>
        <v>-329.3</v>
      </c>
    </row>
    <row r="82" spans="103:108">
      <c r="CY82" s="180" t="s">
        <v>570</v>
      </c>
      <c r="CZ82" s="181">
        <f>SUM(CZ79:CZ81)</f>
        <v>3330.8657999999996</v>
      </c>
    </row>
    <row r="83" spans="103:108">
      <c r="CY83" s="171"/>
      <c r="CZ83" s="169"/>
    </row>
    <row r="84" spans="103:108">
      <c r="CY84" s="171" t="s">
        <v>567</v>
      </c>
      <c r="CZ84" s="182" t="s">
        <v>568</v>
      </c>
    </row>
    <row r="85" spans="103:108">
      <c r="CY85" s="168" t="s">
        <v>569</v>
      </c>
      <c r="CZ85" s="183">
        <v>8.27</v>
      </c>
    </row>
    <row r="89" spans="103:108">
      <c r="CY89" s="159" t="s">
        <v>117</v>
      </c>
      <c r="CZ89" s="160">
        <v>2020</v>
      </c>
      <c r="DA89" s="160">
        <f>CZ89+1</f>
        <v>2021</v>
      </c>
      <c r="DB89" s="160">
        <f>DA89+1</f>
        <v>2022</v>
      </c>
      <c r="DC89" s="160">
        <f>DB89+1</f>
        <v>2023</v>
      </c>
      <c r="DD89" s="160">
        <f>DC89+1</f>
        <v>2024</v>
      </c>
    </row>
    <row r="90" spans="103:108">
      <c r="CY90" s="156" t="s">
        <v>542</v>
      </c>
      <c r="CZ90" s="596">
        <v>-0.2</v>
      </c>
      <c r="DA90" s="596">
        <v>7.0000000000000007E-2</v>
      </c>
      <c r="DB90" s="596">
        <v>0.1</v>
      </c>
      <c r="DC90" s="596">
        <v>0.1</v>
      </c>
      <c r="DD90" s="596">
        <v>0.1</v>
      </c>
    </row>
    <row r="91" spans="103:108">
      <c r="CY91" s="156" t="s">
        <v>541</v>
      </c>
      <c r="CZ91" s="596">
        <v>-0.3</v>
      </c>
      <c r="DA91" s="596">
        <v>0.05</v>
      </c>
      <c r="DB91" s="596">
        <v>0.09</v>
      </c>
      <c r="DC91" s="596">
        <v>0.09</v>
      </c>
      <c r="DD91" s="596">
        <v>0.1</v>
      </c>
    </row>
    <row r="92" spans="103:108">
      <c r="CY92" s="158" t="s">
        <v>543</v>
      </c>
      <c r="CZ92" s="596">
        <v>-0.6</v>
      </c>
      <c r="DA92" s="596">
        <v>-0.1</v>
      </c>
      <c r="DB92" s="596">
        <v>0.05</v>
      </c>
      <c r="DC92" s="596">
        <v>0.09</v>
      </c>
      <c r="DD92" s="596">
        <v>0.09</v>
      </c>
    </row>
    <row r="94" spans="103:108">
      <c r="CY94" s="159" t="s">
        <v>129</v>
      </c>
    </row>
    <row r="95" spans="103:108">
      <c r="CY95" s="156" t="s">
        <v>542</v>
      </c>
      <c r="CZ95" s="597">
        <f>CP54</f>
        <v>0.19354008994734637</v>
      </c>
      <c r="DA95" s="597">
        <f t="shared" ref="DA95:DC95" si="94">CQ54</f>
        <v>0.20843320733165407</v>
      </c>
      <c r="DB95" s="597">
        <f t="shared" si="94"/>
        <v>0.20984112037928251</v>
      </c>
      <c r="DC95" s="597">
        <f t="shared" si="94"/>
        <v>0.21139542985054635</v>
      </c>
      <c r="DD95" s="596">
        <v>0.21</v>
      </c>
    </row>
    <row r="96" spans="103:108">
      <c r="CY96" s="156" t="s">
        <v>541</v>
      </c>
      <c r="CZ96" s="596">
        <v>0.19500000000000001</v>
      </c>
      <c r="DA96" s="596">
        <v>0.2</v>
      </c>
      <c r="DB96" s="596">
        <v>0.20499999999999999</v>
      </c>
      <c r="DC96" s="596">
        <v>0.21</v>
      </c>
      <c r="DD96" s="596">
        <v>0.21</v>
      </c>
    </row>
    <row r="97" spans="103:108">
      <c r="CY97" s="158" t="s">
        <v>543</v>
      </c>
      <c r="CZ97" s="596">
        <v>0.18</v>
      </c>
      <c r="DA97" s="596">
        <v>0.19</v>
      </c>
      <c r="DB97" s="596">
        <v>0.19</v>
      </c>
      <c r="DC97" s="596">
        <v>0.19500000000000001</v>
      </c>
      <c r="DD97" s="596">
        <v>0.2</v>
      </c>
    </row>
    <row r="99" spans="103:108">
      <c r="CY99" s="159" t="s">
        <v>117</v>
      </c>
      <c r="CZ99" s="160">
        <v>2020</v>
      </c>
      <c r="DA99" s="160">
        <f>CZ99+1</f>
        <v>2021</v>
      </c>
      <c r="DB99" s="160">
        <f>DA99+1</f>
        <v>2022</v>
      </c>
      <c r="DC99" s="160">
        <f>DB99+1</f>
        <v>2023</v>
      </c>
      <c r="DD99" s="160">
        <f>DC99+1</f>
        <v>2024</v>
      </c>
    </row>
    <row r="100" spans="103:108">
      <c r="CY100" s="156" t="s">
        <v>542</v>
      </c>
      <c r="CZ100" s="156">
        <f>CK$6*(1+CZ90)</f>
        <v>1884.56</v>
      </c>
      <c r="DA100" s="156">
        <f t="shared" ref="DA100:DD102" si="95">CZ100*(1+DA90)</f>
        <v>2016.4792</v>
      </c>
      <c r="DB100" s="156">
        <f t="shared" si="95"/>
        <v>2218.1271200000001</v>
      </c>
      <c r="DC100" s="156">
        <f t="shared" si="95"/>
        <v>2439.9398320000005</v>
      </c>
      <c r="DD100" s="156">
        <f t="shared" si="95"/>
        <v>2683.9338152000009</v>
      </c>
    </row>
    <row r="101" spans="103:108">
      <c r="CY101" s="156" t="s">
        <v>541</v>
      </c>
      <c r="CZ101" s="156">
        <f>CK$6*(1+CZ91)</f>
        <v>1648.9899999999998</v>
      </c>
      <c r="DA101" s="156">
        <f t="shared" si="95"/>
        <v>1731.4395</v>
      </c>
      <c r="DB101" s="156">
        <f t="shared" si="95"/>
        <v>1887.269055</v>
      </c>
      <c r="DC101" s="156">
        <f t="shared" si="95"/>
        <v>2057.1232699500001</v>
      </c>
      <c r="DD101" s="156">
        <f t="shared" si="95"/>
        <v>2262.8355969450004</v>
      </c>
    </row>
    <row r="102" spans="103:108">
      <c r="CY102" s="158" t="s">
        <v>543</v>
      </c>
      <c r="CZ102" s="156">
        <f>CK$6*(1+CZ92)</f>
        <v>942.28</v>
      </c>
      <c r="DA102" s="156">
        <f t="shared" si="95"/>
        <v>848.05200000000002</v>
      </c>
      <c r="DB102" s="156">
        <f t="shared" si="95"/>
        <v>890.45460000000003</v>
      </c>
      <c r="DC102" s="156">
        <f t="shared" si="95"/>
        <v>970.59551400000009</v>
      </c>
      <c r="DD102" s="156">
        <f t="shared" si="95"/>
        <v>1057.9491102600002</v>
      </c>
    </row>
    <row r="104" spans="103:108">
      <c r="CY104" s="159" t="s">
        <v>129</v>
      </c>
    </row>
    <row r="105" spans="103:108">
      <c r="CY105" s="156" t="s">
        <v>542</v>
      </c>
      <c r="CZ105" s="156">
        <f t="shared" ref="CZ105:DD107" si="96">CZ100*CZ95</f>
        <v>364.73791191117107</v>
      </c>
      <c r="DA105" s="156">
        <f t="shared" si="96"/>
        <v>420.30122717356795</v>
      </c>
      <c r="DB105" s="156">
        <f t="shared" si="96"/>
        <v>465.45428000447123</v>
      </c>
      <c r="DC105" s="156">
        <f t="shared" si="96"/>
        <v>515.79212959510994</v>
      </c>
      <c r="DD105" s="156">
        <f t="shared" si="96"/>
        <v>563.62610119200019</v>
      </c>
    </row>
    <row r="106" spans="103:108">
      <c r="CY106" s="156" t="s">
        <v>541</v>
      </c>
      <c r="CZ106" s="156">
        <f t="shared" si="96"/>
        <v>321.55304999999998</v>
      </c>
      <c r="DA106" s="156">
        <f t="shared" si="96"/>
        <v>346.28790000000004</v>
      </c>
      <c r="DB106" s="156">
        <f t="shared" si="96"/>
        <v>386.89015627499998</v>
      </c>
      <c r="DC106" s="156">
        <f t="shared" si="96"/>
        <v>431.99588668950003</v>
      </c>
      <c r="DD106" s="156">
        <f t="shared" si="96"/>
        <v>475.19547535845004</v>
      </c>
    </row>
    <row r="107" spans="103:108">
      <c r="CY107" s="158" t="s">
        <v>543</v>
      </c>
      <c r="CZ107" s="156">
        <f t="shared" si="96"/>
        <v>169.6104</v>
      </c>
      <c r="DA107" s="156">
        <f t="shared" si="96"/>
        <v>161.12988000000001</v>
      </c>
      <c r="DB107" s="156">
        <f t="shared" si="96"/>
        <v>169.186374</v>
      </c>
      <c r="DC107" s="156">
        <f t="shared" si="96"/>
        <v>189.26612523000003</v>
      </c>
      <c r="DD107" s="156">
        <f t="shared" si="96"/>
        <v>211.58982205200005</v>
      </c>
    </row>
    <row r="122" spans="102:112" ht="14.25">
      <c r="CX122" s="193"/>
      <c r="CY122" s="237"/>
      <c r="CZ122" s="598" t="s">
        <v>545</v>
      </c>
      <c r="DA122" s="599"/>
      <c r="DB122" s="599"/>
      <c r="DC122" s="599"/>
      <c r="DD122" s="599"/>
      <c r="DE122" s="237"/>
      <c r="DF122" s="237"/>
      <c r="DG122" s="598" t="s">
        <v>552</v>
      </c>
      <c r="DH122" s="238"/>
    </row>
    <row r="123" spans="102:112">
      <c r="CX123" s="194"/>
      <c r="CY123" s="172" t="s">
        <v>556</v>
      </c>
      <c r="CZ123" s="170" t="s">
        <v>558</v>
      </c>
      <c r="DA123" s="170"/>
      <c r="DB123" s="177" t="s">
        <v>559</v>
      </c>
      <c r="DC123" s="170"/>
      <c r="DD123" s="175" t="s">
        <v>544</v>
      </c>
      <c r="DG123" s="177" t="s">
        <v>557</v>
      </c>
      <c r="DH123" s="239"/>
    </row>
    <row r="124" spans="102:112">
      <c r="CX124" s="194"/>
      <c r="CZ124" s="166"/>
      <c r="DA124" s="166"/>
      <c r="DB124" s="166"/>
      <c r="DC124" s="166"/>
      <c r="DD124" s="166"/>
      <c r="DE124" s="166"/>
      <c r="DF124" s="166"/>
      <c r="DG124" s="166"/>
      <c r="DH124" s="239"/>
    </row>
    <row r="125" spans="102:112">
      <c r="CX125" s="194"/>
      <c r="CY125" s="170" t="s">
        <v>117</v>
      </c>
      <c r="CZ125" s="176">
        <f>DD102</f>
        <v>1057.9491102600002</v>
      </c>
      <c r="DA125" s="176"/>
      <c r="DB125" s="176">
        <f>DD101</f>
        <v>2262.8355969450004</v>
      </c>
      <c r="DC125" s="176"/>
      <c r="DD125" s="176">
        <f>DD100</f>
        <v>2683.9338152000009</v>
      </c>
      <c r="DE125" s="176"/>
      <c r="DF125" s="176"/>
      <c r="DG125" s="176">
        <f>CS6</f>
        <v>2125.01199873</v>
      </c>
      <c r="DH125" s="239"/>
    </row>
    <row r="126" spans="102:112">
      <c r="CX126" s="194"/>
      <c r="CY126" s="170" t="s">
        <v>129</v>
      </c>
      <c r="CZ126" s="175">
        <f>DD107</f>
        <v>211.58982205200005</v>
      </c>
      <c r="DA126" s="175"/>
      <c r="DB126" s="175">
        <f>DD106</f>
        <v>475.19547535845004</v>
      </c>
      <c r="DC126" s="175"/>
      <c r="DD126" s="175">
        <f>DD105</f>
        <v>563.62610119200019</v>
      </c>
      <c r="DE126" s="175"/>
      <c r="DF126" s="175"/>
      <c r="DG126" s="175">
        <f>CS48</f>
        <v>449.21782490909698</v>
      </c>
      <c r="DH126" s="239"/>
    </row>
    <row r="127" spans="102:112">
      <c r="CX127" s="194"/>
      <c r="CY127" s="156" t="s">
        <v>546</v>
      </c>
      <c r="CZ127" s="174">
        <v>9</v>
      </c>
      <c r="DA127" s="174"/>
      <c r="DB127" s="174">
        <v>12</v>
      </c>
      <c r="DC127" s="174"/>
      <c r="DD127" s="174">
        <v>14</v>
      </c>
      <c r="DE127" s="174"/>
      <c r="DF127" s="174"/>
      <c r="DG127" s="174">
        <v>11</v>
      </c>
      <c r="DH127" s="239"/>
    </row>
    <row r="128" spans="102:112">
      <c r="CX128" s="194"/>
      <c r="CY128" s="170" t="s">
        <v>549</v>
      </c>
      <c r="CZ128" s="173">
        <f>CZ126*CZ127</f>
        <v>1904.3083984680004</v>
      </c>
      <c r="DA128" s="173"/>
      <c r="DB128" s="173">
        <f>DB126*DB127</f>
        <v>5702.3457043014005</v>
      </c>
      <c r="DC128" s="173"/>
      <c r="DD128" s="173">
        <f>DD126*DD127</f>
        <v>7890.7654166880029</v>
      </c>
      <c r="DE128" s="173"/>
      <c r="DF128" s="173"/>
      <c r="DG128" s="173">
        <f>DG126*DG127</f>
        <v>4941.3960740000666</v>
      </c>
      <c r="DH128" s="239"/>
    </row>
    <row r="129" spans="102:112">
      <c r="CX129" s="194"/>
      <c r="CY129" s="156" t="s">
        <v>548</v>
      </c>
      <c r="CZ129" s="166">
        <v>907</v>
      </c>
      <c r="DA129" s="166"/>
      <c r="DB129" s="166">
        <v>907</v>
      </c>
      <c r="DC129" s="166"/>
      <c r="DD129" s="166">
        <v>907</v>
      </c>
      <c r="DE129" s="166"/>
      <c r="DF129" s="166"/>
      <c r="DG129" s="166">
        <f>'BS (2)'!CS57</f>
        <v>667.98937500000011</v>
      </c>
      <c r="DH129" s="239"/>
    </row>
    <row r="130" spans="102:112">
      <c r="CX130" s="194"/>
      <c r="CY130" s="156" t="s">
        <v>146</v>
      </c>
      <c r="CZ130" s="166">
        <f>CZ128-CZ129</f>
        <v>997.30839846800041</v>
      </c>
      <c r="DA130" s="166"/>
      <c r="DB130" s="166">
        <f>DB128-DB129</f>
        <v>4795.3457043014005</v>
      </c>
      <c r="DC130" s="166"/>
      <c r="DD130" s="166">
        <f>DD128-DD129</f>
        <v>6983.7654166880029</v>
      </c>
      <c r="DE130" s="166"/>
      <c r="DF130" s="166"/>
      <c r="DG130" s="166">
        <f>DG128-DG129</f>
        <v>4273.4066990000665</v>
      </c>
      <c r="DH130" s="239"/>
    </row>
    <row r="131" spans="102:112">
      <c r="CX131" s="249"/>
      <c r="CY131" s="156" t="s">
        <v>551</v>
      </c>
      <c r="CZ131" s="166">
        <v>73</v>
      </c>
      <c r="DA131" s="166"/>
      <c r="DB131" s="166">
        <v>73</v>
      </c>
      <c r="DC131" s="166"/>
      <c r="DD131" s="166">
        <v>73</v>
      </c>
      <c r="DE131" s="166"/>
      <c r="DF131" s="166"/>
      <c r="DG131" s="166">
        <v>73</v>
      </c>
      <c r="DH131" s="257"/>
    </row>
    <row r="132" spans="102:112">
      <c r="CX132" s="249"/>
      <c r="CY132" s="254" t="s">
        <v>539</v>
      </c>
      <c r="CZ132" s="255">
        <f>CZ130/CZ131</f>
        <v>13.661758883123293</v>
      </c>
      <c r="DA132" s="255"/>
      <c r="DB132" s="255">
        <f>DB130/DB131</f>
        <v>65.689667182210968</v>
      </c>
      <c r="DC132" s="255"/>
      <c r="DD132" s="255">
        <f>DD130/DD131</f>
        <v>95.668019406684977</v>
      </c>
      <c r="DE132" s="255"/>
      <c r="DF132" s="255"/>
      <c r="DG132" s="256">
        <f>DG130/DG131</f>
        <v>58.539817794521461</v>
      </c>
      <c r="DH132" s="257"/>
    </row>
    <row r="133" spans="102:112">
      <c r="CX133" s="249"/>
      <c r="CY133" s="172" t="s">
        <v>553</v>
      </c>
      <c r="CZ133" s="184">
        <f>CZ132/$CZ$136-1</f>
        <v>-0.49400893025469284</v>
      </c>
      <c r="DA133" s="185"/>
      <c r="DB133" s="184">
        <f>DB132/$CZ$136-1</f>
        <v>1.4329506363781839</v>
      </c>
      <c r="DC133" s="185"/>
      <c r="DD133" s="184">
        <f>DD132/$CZ$136-1</f>
        <v>2.5432599780253695</v>
      </c>
      <c r="DE133" s="185"/>
      <c r="DF133" s="185"/>
      <c r="DG133" s="184">
        <f>DG132/$CZ$136-1</f>
        <v>1.1681413997970913</v>
      </c>
      <c r="DH133" s="257"/>
    </row>
    <row r="134" spans="102:112">
      <c r="CX134" s="194"/>
      <c r="CY134" s="172" t="s">
        <v>540</v>
      </c>
      <c r="CZ134" s="184">
        <f>(CZ132/$CZ$136)^(1/5)-1</f>
        <v>-0.12737315267138161</v>
      </c>
      <c r="DA134" s="185"/>
      <c r="DB134" s="184">
        <f>(DB132/$CZ$136)^(1/5)-1</f>
        <v>0.19461141274110227</v>
      </c>
      <c r="DC134" s="185"/>
      <c r="DD134" s="184">
        <f>(DD132/$CZ$136)^(1/5)-1</f>
        <v>0.28789543480038171</v>
      </c>
      <c r="DE134" s="185"/>
      <c r="DF134" s="185"/>
      <c r="DG134" s="184">
        <f>(DG132/$CZ$136)^(1/5)-1</f>
        <v>0.16739417091118192</v>
      </c>
      <c r="DH134" s="239"/>
    </row>
    <row r="135" spans="102:112" ht="5.0999999999999996" customHeight="1">
      <c r="CX135" s="194"/>
      <c r="CZ135" s="166"/>
      <c r="DA135" s="166"/>
      <c r="DB135" s="166"/>
      <c r="DC135" s="166"/>
      <c r="DD135" s="166"/>
      <c r="DE135" s="166"/>
      <c r="DF135" s="166"/>
      <c r="DG135" s="166"/>
      <c r="DH135" s="239"/>
    </row>
    <row r="136" spans="102:112">
      <c r="CX136" s="194"/>
      <c r="CY136" s="170" t="s">
        <v>555</v>
      </c>
      <c r="CZ136" s="354">
        <v>27</v>
      </c>
      <c r="DH136" s="239"/>
    </row>
    <row r="137" spans="102:112" ht="5.0999999999999996" customHeight="1">
      <c r="CX137" s="195"/>
      <c r="CY137" s="196"/>
      <c r="CZ137" s="600"/>
      <c r="DA137" s="600"/>
      <c r="DB137" s="600"/>
      <c r="DC137" s="600"/>
      <c r="DD137" s="600"/>
      <c r="DE137" s="600"/>
      <c r="DF137" s="600"/>
      <c r="DG137" s="600"/>
      <c r="DH137" s="241"/>
    </row>
    <row r="139" spans="102:112">
      <c r="DB139" s="156">
        <f>CZ136*1.1^5</f>
        <v>43.483770000000014</v>
      </c>
    </row>
    <row r="140" spans="102:112">
      <c r="DB140" s="189">
        <f>DB139/CZ136-1</f>
        <v>0.61051000000000055</v>
      </c>
    </row>
    <row r="141" spans="102:112">
      <c r="DB141" s="189">
        <f>(DB139/CZ136)^(1/5)-1</f>
        <v>0.10000000000000009</v>
      </c>
    </row>
    <row r="143" spans="102:112">
      <c r="DB143" s="156">
        <f>DB139*DB131</f>
        <v>3174.3152100000011</v>
      </c>
    </row>
    <row r="144" spans="102:112">
      <c r="DB144" s="156">
        <f>DB143+DB129</f>
        <v>4081.3152100000011</v>
      </c>
    </row>
    <row r="145" spans="106:106">
      <c r="DB145" s="156">
        <f>DB144/10</f>
        <v>408.13152100000013</v>
      </c>
    </row>
  </sheetData>
  <printOptions horizontalCentered="1" verticalCentered="1"/>
  <pageMargins left="0.8" right="0.3" top="0.7" bottom="0.7" header="0.5" footer="0.5"/>
  <pageSetup scale="12" orientation="landscape" r:id="rId1"/>
  <headerFooter alignWithMargins="0"/>
  <customProperties>
    <customPr name="Qube.Worksheet.Visibility" r:id="rId2"/>
  </customProperties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C489-9AE7-0141-9944-1647AD51CEF6}">
  <sheetPr>
    <pageSetUpPr fitToPage="1"/>
  </sheetPr>
  <dimension ref="A1:DH114"/>
  <sheetViews>
    <sheetView showGridLines="0" zoomScaleNormal="100" workbookViewId="0">
      <pane xSplit="9" ySplit="4" topLeftCell="BB5" activePane="bottomRight" state="frozen"/>
      <selection activeCell="CT39" sqref="CT39:CT40"/>
      <selection pane="topRight" activeCell="CT39" sqref="CT39:CT40"/>
      <selection pane="bottomLeft" activeCell="CT39" sqref="CT39:CT40"/>
      <selection pane="bottomRight" activeCell="B30" sqref="B30"/>
    </sheetView>
  </sheetViews>
  <sheetFormatPr defaultColWidth="9.85546875" defaultRowHeight="12" outlineLevelCol="1"/>
  <cols>
    <col min="1" max="1" width="2.140625" style="197" customWidth="1"/>
    <col min="2" max="2" width="41.85546875" style="197" customWidth="1"/>
    <col min="3" max="9" width="9.85546875" style="197" hidden="1" customWidth="1"/>
    <col min="10" max="13" width="9.85546875" style="197" hidden="1" customWidth="1" outlineLevel="1"/>
    <col min="14" max="14" width="9.85546875" style="197" hidden="1" customWidth="1" collapsed="1"/>
    <col min="15" max="18" width="9.85546875" style="197" hidden="1" customWidth="1" outlineLevel="1"/>
    <col min="19" max="19" width="9.85546875" style="197" hidden="1" customWidth="1" collapsed="1"/>
    <col min="20" max="23" width="9.85546875" style="197" hidden="1" customWidth="1" outlineLevel="1"/>
    <col min="24" max="24" width="9.85546875" style="197" hidden="1" customWidth="1" collapsed="1"/>
    <col min="25" max="28" width="9.85546875" style="197" hidden="1" customWidth="1" outlineLevel="1"/>
    <col min="29" max="29" width="9.85546875" style="197" hidden="1" customWidth="1" collapsed="1"/>
    <col min="30" max="33" width="9.85546875" style="197" hidden="1" customWidth="1" outlineLevel="1"/>
    <col min="34" max="34" width="9.85546875" style="197" hidden="1" customWidth="1" collapsed="1"/>
    <col min="35" max="38" width="9.85546875" style="197" hidden="1" customWidth="1" outlineLevel="1"/>
    <col min="39" max="39" width="9.85546875" style="197" hidden="1" customWidth="1" collapsed="1"/>
    <col min="40" max="43" width="9.85546875" style="197" hidden="1" customWidth="1" outlineLevel="1"/>
    <col min="44" max="44" width="9.85546875" style="197" hidden="1" customWidth="1" collapsed="1"/>
    <col min="45" max="48" width="9.85546875" style="197" hidden="1" customWidth="1" outlineLevel="1"/>
    <col min="49" max="49" width="9.85546875" style="197" hidden="1" customWidth="1" collapsed="1"/>
    <col min="50" max="53" width="9.85546875" style="197" hidden="1" customWidth="1" outlineLevel="1"/>
    <col min="54" max="54" width="9.85546875" style="197" customWidth="1" collapsed="1"/>
    <col min="55" max="58" width="9.85546875" style="197" hidden="1" customWidth="1" outlineLevel="1"/>
    <col min="59" max="59" width="9.85546875" style="197" customWidth="1" collapsed="1"/>
    <col min="60" max="63" width="9.85546875" style="197" hidden="1" customWidth="1" outlineLevel="1"/>
    <col min="64" max="64" width="9.85546875" style="197" customWidth="1" collapsed="1"/>
    <col min="65" max="68" width="9.85546875" style="197" hidden="1" customWidth="1" outlineLevel="1"/>
    <col min="69" max="69" width="9.85546875" style="197" customWidth="1" collapsed="1"/>
    <col min="70" max="73" width="9.85546875" style="197" hidden="1" customWidth="1" outlineLevel="1"/>
    <col min="74" max="74" width="9.85546875" style="197" customWidth="1" collapsed="1"/>
    <col min="75" max="78" width="9.85546875" style="197" hidden="1" customWidth="1" outlineLevel="1"/>
    <col min="79" max="79" width="9.85546875" style="197" customWidth="1" collapsed="1"/>
    <col min="80" max="83" width="9.85546875" style="197" hidden="1" customWidth="1" outlineLevel="1"/>
    <col min="84" max="84" width="9.85546875" style="197" customWidth="1" collapsed="1"/>
    <col min="85" max="88" width="9.85546875" style="197" hidden="1" customWidth="1" outlineLevel="1"/>
    <col min="89" max="89" width="9.85546875" style="197" customWidth="1" collapsed="1"/>
    <col min="90" max="93" width="9.85546875" style="197" customWidth="1" outlineLevel="1"/>
    <col min="94" max="97" width="9.85546875" style="197" customWidth="1"/>
    <col min="98" max="102" width="9.85546875" style="156"/>
    <col min="103" max="103" width="10.7109375" style="156" bestFit="1" customWidth="1"/>
    <col min="104" max="16384" width="9.85546875" style="156"/>
  </cols>
  <sheetData>
    <row r="1" spans="2:112" ht="12.75" thickBot="1"/>
    <row r="2" spans="2:112" ht="6" customHeight="1">
      <c r="C2" s="199"/>
      <c r="D2" s="199"/>
      <c r="E2" s="199"/>
      <c r="F2" s="199"/>
      <c r="G2" s="199"/>
      <c r="H2" s="199"/>
      <c r="I2" s="199"/>
      <c r="N2" s="199"/>
      <c r="S2" s="199"/>
      <c r="X2" s="199"/>
      <c r="AC2" s="199"/>
      <c r="AH2" s="199"/>
      <c r="AM2" s="199"/>
      <c r="AR2" s="199"/>
      <c r="AW2" s="199"/>
      <c r="BB2" s="199"/>
      <c r="BG2" s="199"/>
      <c r="BL2" s="199"/>
      <c r="BQ2" s="199"/>
      <c r="BV2" s="199"/>
      <c r="CA2" s="199"/>
      <c r="CF2" s="199"/>
      <c r="CK2" s="199"/>
      <c r="CP2" s="199"/>
      <c r="CQ2" s="199"/>
      <c r="CR2" s="199"/>
      <c r="CS2" s="199"/>
    </row>
    <row r="3" spans="2:112" ht="15.75">
      <c r="B3" s="355" t="s">
        <v>263</v>
      </c>
      <c r="C3" s="200">
        <v>1997</v>
      </c>
      <c r="D3" s="200">
        <v>1998</v>
      </c>
      <c r="E3" s="200">
        <v>1999</v>
      </c>
      <c r="F3" s="200">
        <v>2000</v>
      </c>
      <c r="G3" s="200">
        <v>2001</v>
      </c>
      <c r="H3" s="200">
        <v>2002</v>
      </c>
      <c r="I3" s="200">
        <v>2003</v>
      </c>
      <c r="J3" s="356" t="s">
        <v>0</v>
      </c>
      <c r="K3" s="356" t="s">
        <v>1</v>
      </c>
      <c r="L3" s="356" t="s">
        <v>2</v>
      </c>
      <c r="M3" s="356" t="s">
        <v>3</v>
      </c>
      <c r="N3" s="200">
        <v>2004</v>
      </c>
      <c r="O3" s="356" t="s">
        <v>4</v>
      </c>
      <c r="P3" s="356" t="s">
        <v>5</v>
      </c>
      <c r="Q3" s="356" t="s">
        <v>6</v>
      </c>
      <c r="R3" s="356" t="s">
        <v>7</v>
      </c>
      <c r="S3" s="200">
        <v>2005</v>
      </c>
      <c r="T3" s="356" t="s">
        <v>8</v>
      </c>
      <c r="U3" s="356" t="s">
        <v>9</v>
      </c>
      <c r="V3" s="356" t="s">
        <v>10</v>
      </c>
      <c r="W3" s="356" t="s">
        <v>11</v>
      </c>
      <c r="X3" s="200">
        <v>2006</v>
      </c>
      <c r="Y3" s="356" t="s">
        <v>12</v>
      </c>
      <c r="Z3" s="356" t="s">
        <v>13</v>
      </c>
      <c r="AA3" s="356" t="s">
        <v>14</v>
      </c>
      <c r="AB3" s="356" t="s">
        <v>15</v>
      </c>
      <c r="AC3" s="200">
        <v>2007</v>
      </c>
      <c r="AD3" s="356" t="s">
        <v>16</v>
      </c>
      <c r="AE3" s="356" t="s">
        <v>17</v>
      </c>
      <c r="AF3" s="356" t="s">
        <v>18</v>
      </c>
      <c r="AG3" s="356" t="s">
        <v>19</v>
      </c>
      <c r="AH3" s="200">
        <v>2008</v>
      </c>
      <c r="AI3" s="356" t="s">
        <v>20</v>
      </c>
      <c r="AJ3" s="356" t="s">
        <v>21</v>
      </c>
      <c r="AK3" s="356" t="s">
        <v>22</v>
      </c>
      <c r="AL3" s="356" t="s">
        <v>23</v>
      </c>
      <c r="AM3" s="200">
        <v>2009</v>
      </c>
      <c r="AN3" s="356" t="s">
        <v>208</v>
      </c>
      <c r="AO3" s="356" t="s">
        <v>209</v>
      </c>
      <c r="AP3" s="356" t="s">
        <v>210</v>
      </c>
      <c r="AQ3" s="356" t="s">
        <v>211</v>
      </c>
      <c r="AR3" s="200">
        <v>2010</v>
      </c>
      <c r="AS3" s="356" t="s">
        <v>212</v>
      </c>
      <c r="AT3" s="356" t="s">
        <v>213</v>
      </c>
      <c r="AU3" s="356" t="s">
        <v>214</v>
      </c>
      <c r="AV3" s="356" t="s">
        <v>215</v>
      </c>
      <c r="AW3" s="200">
        <v>2011</v>
      </c>
      <c r="AX3" s="356" t="s">
        <v>282</v>
      </c>
      <c r="AY3" s="356" t="s">
        <v>283</v>
      </c>
      <c r="AZ3" s="356" t="s">
        <v>284</v>
      </c>
      <c r="BA3" s="356" t="s">
        <v>285</v>
      </c>
      <c r="BB3" s="200">
        <v>2012</v>
      </c>
      <c r="BC3" s="201" t="s">
        <v>308</v>
      </c>
      <c r="BD3" s="201" t="s">
        <v>309</v>
      </c>
      <c r="BE3" s="201" t="s">
        <v>310</v>
      </c>
      <c r="BF3" s="201" t="s">
        <v>311</v>
      </c>
      <c r="BG3" s="200">
        <v>2013</v>
      </c>
      <c r="BH3" s="201" t="s">
        <v>312</v>
      </c>
      <c r="BI3" s="201" t="s">
        <v>313</v>
      </c>
      <c r="BJ3" s="201" t="s">
        <v>314</v>
      </c>
      <c r="BK3" s="201" t="s">
        <v>315</v>
      </c>
      <c r="BL3" s="200">
        <v>2014</v>
      </c>
      <c r="BM3" s="201" t="s">
        <v>382</v>
      </c>
      <c r="BN3" s="201" t="s">
        <v>383</v>
      </c>
      <c r="BO3" s="201" t="s">
        <v>384</v>
      </c>
      <c r="BP3" s="201" t="s">
        <v>385</v>
      </c>
      <c r="BQ3" s="200">
        <v>2015</v>
      </c>
      <c r="BR3" s="201" t="s">
        <v>386</v>
      </c>
      <c r="BS3" s="201" t="s">
        <v>387</v>
      </c>
      <c r="BT3" s="201" t="s">
        <v>388</v>
      </c>
      <c r="BU3" s="201" t="s">
        <v>389</v>
      </c>
      <c r="BV3" s="200">
        <v>2016</v>
      </c>
      <c r="BW3" s="201" t="s">
        <v>390</v>
      </c>
      <c r="BX3" s="201" t="s">
        <v>391</v>
      </c>
      <c r="BY3" s="201" t="s">
        <v>392</v>
      </c>
      <c r="BZ3" s="201" t="s">
        <v>393</v>
      </c>
      <c r="CA3" s="200">
        <v>2017</v>
      </c>
      <c r="CB3" s="201" t="s">
        <v>445</v>
      </c>
      <c r="CC3" s="201" t="s">
        <v>446</v>
      </c>
      <c r="CD3" s="201" t="s">
        <v>447</v>
      </c>
      <c r="CE3" s="201" t="s">
        <v>448</v>
      </c>
      <c r="CF3" s="200">
        <v>2018</v>
      </c>
      <c r="CG3" s="201" t="s">
        <v>459</v>
      </c>
      <c r="CH3" s="201" t="s">
        <v>460</v>
      </c>
      <c r="CI3" s="201" t="s">
        <v>461</v>
      </c>
      <c r="CJ3" s="201" t="s">
        <v>462</v>
      </c>
      <c r="CK3" s="200">
        <v>2019</v>
      </c>
      <c r="CL3" s="201" t="s">
        <v>466</v>
      </c>
      <c r="CM3" s="201" t="s">
        <v>470</v>
      </c>
      <c r="CN3" s="201" t="s">
        <v>471</v>
      </c>
      <c r="CO3" s="201" t="s">
        <v>472</v>
      </c>
      <c r="CP3" s="200" t="s">
        <v>457</v>
      </c>
      <c r="CQ3" s="200" t="s">
        <v>463</v>
      </c>
      <c r="CR3" s="200" t="s">
        <v>464</v>
      </c>
      <c r="CS3" s="200" t="s">
        <v>465</v>
      </c>
    </row>
    <row r="4" spans="2:112" ht="12.75">
      <c r="B4" s="357" t="s">
        <v>111</v>
      </c>
      <c r="C4" s="358">
        <v>35795</v>
      </c>
      <c r="D4" s="358">
        <v>36160</v>
      </c>
      <c r="E4" s="358">
        <v>36525</v>
      </c>
      <c r="F4" s="358">
        <v>36891</v>
      </c>
      <c r="G4" s="358">
        <v>37256</v>
      </c>
      <c r="H4" s="358">
        <v>37621</v>
      </c>
      <c r="I4" s="358">
        <v>37986</v>
      </c>
      <c r="J4" s="359">
        <v>38077</v>
      </c>
      <c r="K4" s="359">
        <v>38168</v>
      </c>
      <c r="L4" s="359">
        <v>38260</v>
      </c>
      <c r="M4" s="359">
        <v>38352</v>
      </c>
      <c r="N4" s="358">
        <v>38352</v>
      </c>
      <c r="O4" s="359">
        <v>38442</v>
      </c>
      <c r="P4" s="359">
        <v>38533</v>
      </c>
      <c r="Q4" s="359">
        <v>38625</v>
      </c>
      <c r="R4" s="359">
        <v>38717</v>
      </c>
      <c r="S4" s="358">
        <v>38717</v>
      </c>
      <c r="T4" s="359">
        <v>38807</v>
      </c>
      <c r="U4" s="359">
        <v>38898</v>
      </c>
      <c r="V4" s="359">
        <v>38990</v>
      </c>
      <c r="W4" s="359">
        <v>39082</v>
      </c>
      <c r="X4" s="358">
        <v>39082</v>
      </c>
      <c r="Y4" s="359">
        <v>39172</v>
      </c>
      <c r="Z4" s="359">
        <v>39263</v>
      </c>
      <c r="AA4" s="359">
        <v>39355</v>
      </c>
      <c r="AB4" s="359">
        <v>39447</v>
      </c>
      <c r="AC4" s="358">
        <v>39447</v>
      </c>
      <c r="AD4" s="359">
        <v>39538</v>
      </c>
      <c r="AE4" s="359">
        <v>39629</v>
      </c>
      <c r="AF4" s="359">
        <v>39721</v>
      </c>
      <c r="AG4" s="359">
        <v>39813</v>
      </c>
      <c r="AH4" s="358">
        <v>39813</v>
      </c>
      <c r="AI4" s="359">
        <v>39903</v>
      </c>
      <c r="AJ4" s="359">
        <v>39994</v>
      </c>
      <c r="AK4" s="359">
        <v>40086</v>
      </c>
      <c r="AL4" s="359">
        <v>40178</v>
      </c>
      <c r="AM4" s="358">
        <v>40178</v>
      </c>
      <c r="AN4" s="359">
        <v>40268</v>
      </c>
      <c r="AO4" s="359">
        <v>40359</v>
      </c>
      <c r="AP4" s="359">
        <v>40451</v>
      </c>
      <c r="AQ4" s="359">
        <v>40543</v>
      </c>
      <c r="AR4" s="358">
        <v>40543</v>
      </c>
      <c r="AS4" s="359">
        <v>40633</v>
      </c>
      <c r="AT4" s="359">
        <v>40724</v>
      </c>
      <c r="AU4" s="359">
        <v>40816</v>
      </c>
      <c r="AV4" s="359">
        <v>40908</v>
      </c>
      <c r="AW4" s="358">
        <v>40908</v>
      </c>
      <c r="AX4" s="359">
        <v>40999</v>
      </c>
      <c r="AY4" s="359">
        <v>41090</v>
      </c>
      <c r="AZ4" s="359">
        <v>41182</v>
      </c>
      <c r="BA4" s="359">
        <v>41274</v>
      </c>
      <c r="BB4" s="358">
        <v>41274</v>
      </c>
      <c r="BC4" s="202">
        <v>41364</v>
      </c>
      <c r="BD4" s="202">
        <v>41455</v>
      </c>
      <c r="BE4" s="202">
        <v>41547</v>
      </c>
      <c r="BF4" s="203">
        <v>41639</v>
      </c>
      <c r="BG4" s="358">
        <v>41639</v>
      </c>
      <c r="BH4" s="202">
        <v>41729</v>
      </c>
      <c r="BI4" s="202">
        <v>41820</v>
      </c>
      <c r="BJ4" s="202">
        <v>41912</v>
      </c>
      <c r="BK4" s="203">
        <v>42004</v>
      </c>
      <c r="BL4" s="204">
        <v>42004</v>
      </c>
      <c r="BM4" s="202">
        <v>42094</v>
      </c>
      <c r="BN4" s="202">
        <v>42185</v>
      </c>
      <c r="BO4" s="202">
        <v>42277</v>
      </c>
      <c r="BP4" s="203">
        <v>42369</v>
      </c>
      <c r="BQ4" s="204">
        <v>42369</v>
      </c>
      <c r="BR4" s="202">
        <v>42460</v>
      </c>
      <c r="BS4" s="202">
        <v>42551</v>
      </c>
      <c r="BT4" s="202">
        <v>42643</v>
      </c>
      <c r="BU4" s="203">
        <v>42735</v>
      </c>
      <c r="BV4" s="358">
        <v>42735</v>
      </c>
      <c r="BW4" s="202">
        <v>42825</v>
      </c>
      <c r="BX4" s="202">
        <v>42916</v>
      </c>
      <c r="BY4" s="202">
        <v>43008</v>
      </c>
      <c r="BZ4" s="203">
        <v>43100</v>
      </c>
      <c r="CA4" s="204">
        <v>43100</v>
      </c>
      <c r="CB4" s="202">
        <v>43190</v>
      </c>
      <c r="CC4" s="202">
        <v>43281</v>
      </c>
      <c r="CD4" s="202">
        <v>43373</v>
      </c>
      <c r="CE4" s="203">
        <v>43465</v>
      </c>
      <c r="CF4" s="204">
        <v>43465</v>
      </c>
      <c r="CG4" s="202">
        <v>43554</v>
      </c>
      <c r="CH4" s="202">
        <v>43646</v>
      </c>
      <c r="CI4" s="202">
        <v>43738</v>
      </c>
      <c r="CJ4" s="203">
        <v>43830</v>
      </c>
      <c r="CK4" s="204">
        <v>43830</v>
      </c>
      <c r="CL4" s="202">
        <v>43920</v>
      </c>
      <c r="CM4" s="202">
        <v>44012</v>
      </c>
      <c r="CN4" s="202">
        <v>44104</v>
      </c>
      <c r="CO4" s="203">
        <v>44196</v>
      </c>
      <c r="CP4" s="204">
        <v>44196</v>
      </c>
      <c r="CQ4" s="204">
        <v>44561</v>
      </c>
      <c r="CR4" s="204">
        <v>44926</v>
      </c>
      <c r="CS4" s="204">
        <v>45291</v>
      </c>
    </row>
    <row r="5" spans="2:112" ht="14.25" customHeight="1">
      <c r="C5" s="205"/>
      <c r="D5" s="205"/>
      <c r="E5" s="205"/>
      <c r="F5" s="205"/>
      <c r="G5" s="205"/>
      <c r="H5" s="205"/>
      <c r="I5" s="205"/>
      <c r="N5" s="205"/>
      <c r="S5" s="205"/>
      <c r="X5" s="205"/>
      <c r="AC5" s="205"/>
      <c r="AH5" s="205"/>
      <c r="AM5" s="205"/>
      <c r="AR5" s="205"/>
      <c r="AW5" s="205"/>
      <c r="BB5" s="205"/>
      <c r="BG5" s="205"/>
      <c r="BL5" s="205"/>
      <c r="BQ5" s="205"/>
      <c r="BV5" s="205"/>
      <c r="CA5" s="205"/>
      <c r="CF5" s="205"/>
      <c r="CK5" s="205"/>
      <c r="CP5" s="205"/>
      <c r="CQ5" s="205"/>
      <c r="CR5" s="205"/>
      <c r="CS5" s="205"/>
    </row>
    <row r="6" spans="2:112" ht="14.25" customHeight="1">
      <c r="B6" s="360" t="s">
        <v>34</v>
      </c>
      <c r="C6" s="205"/>
      <c r="D6" s="205"/>
      <c r="E6" s="205"/>
      <c r="F6" s="205"/>
      <c r="G6" s="205"/>
      <c r="H6" s="205"/>
      <c r="I6" s="205"/>
      <c r="N6" s="205"/>
      <c r="S6" s="205"/>
      <c r="X6" s="205"/>
      <c r="AC6" s="205"/>
      <c r="AH6" s="205"/>
      <c r="AM6" s="205"/>
      <c r="AR6" s="205"/>
      <c r="AW6" s="205"/>
      <c r="BB6" s="205"/>
      <c r="BG6" s="205"/>
      <c r="BL6" s="205"/>
      <c r="BQ6" s="205"/>
      <c r="BV6" s="205"/>
      <c r="CA6" s="205"/>
      <c r="CF6" s="205"/>
      <c r="CK6" s="205"/>
      <c r="CP6" s="205"/>
      <c r="CQ6" s="205"/>
      <c r="CR6" s="205"/>
      <c r="CS6" s="205"/>
    </row>
    <row r="7" spans="2:112" ht="12" customHeight="1">
      <c r="B7" s="361" t="s">
        <v>35</v>
      </c>
      <c r="C7" s="362">
        <f>'Data (2)'!C38</f>
        <v>9.0329999999999995</v>
      </c>
      <c r="D7" s="362">
        <f>'Data (2)'!D38</f>
        <v>7.5039999999999996</v>
      </c>
      <c r="E7" s="362">
        <f>'Data (2)'!E38</f>
        <v>0.2</v>
      </c>
      <c r="F7" s="362">
        <f>'Data (2)'!F38</f>
        <v>5.0999999999999996</v>
      </c>
      <c r="G7" s="362">
        <f>'Data (2)'!G38</f>
        <v>11.6</v>
      </c>
      <c r="H7" s="362">
        <f>'Data (2)'!H38</f>
        <v>8.1999999999999993</v>
      </c>
      <c r="I7" s="362">
        <f>'Data (2)'!I38</f>
        <v>41.7</v>
      </c>
      <c r="J7" s="363">
        <f>'Data (2)'!J38</f>
        <v>24</v>
      </c>
      <c r="K7" s="363">
        <f>'Data (2)'!K38</f>
        <v>45.1</v>
      </c>
      <c r="L7" s="363">
        <f>'Data (2)'!L38</f>
        <v>51.5</v>
      </c>
      <c r="M7" s="363">
        <f>'Data (2)'!M38</f>
        <v>57.2</v>
      </c>
      <c r="N7" s="362">
        <f>M7</f>
        <v>57.2</v>
      </c>
      <c r="O7" s="363">
        <f>'Data (2)'!O38</f>
        <v>26.2</v>
      </c>
      <c r="P7" s="363">
        <f>'Data (2)'!P38</f>
        <v>18.5</v>
      </c>
      <c r="Q7" s="363">
        <f>'Data (2)'!Q38</f>
        <v>12.3</v>
      </c>
      <c r="R7" s="363">
        <f>'Data (2)'!R38</f>
        <v>21</v>
      </c>
      <c r="S7" s="362">
        <f>R7</f>
        <v>21</v>
      </c>
      <c r="T7" s="363">
        <f>'Data (2)'!T38</f>
        <v>23.9</v>
      </c>
      <c r="U7" s="363">
        <f>'Data (2)'!U38</f>
        <v>8.8000000000000007</v>
      </c>
      <c r="V7" s="363">
        <f>'Data (2)'!V38</f>
        <v>13</v>
      </c>
      <c r="W7" s="363">
        <f>'Data (2)'!W38</f>
        <v>25.7</v>
      </c>
      <c r="X7" s="362">
        <f>W7</f>
        <v>25.7</v>
      </c>
      <c r="Y7" s="363">
        <f>'Data (2)'!Y38</f>
        <v>33.5</v>
      </c>
      <c r="Z7" s="363">
        <f>'Data (2)'!Z38</f>
        <v>36</v>
      </c>
      <c r="AA7" s="363">
        <f>'Data (2)'!AA38</f>
        <v>31.4</v>
      </c>
      <c r="AB7" s="363">
        <f>'Data (2)'!AB38</f>
        <v>28.1</v>
      </c>
      <c r="AC7" s="362">
        <f>AB7</f>
        <v>28.1</v>
      </c>
      <c r="AD7" s="363">
        <f>'Data (2)'!AD38</f>
        <v>26.4</v>
      </c>
      <c r="AE7" s="363">
        <f>'Data (2)'!AE38</f>
        <v>19.3</v>
      </c>
      <c r="AF7" s="363">
        <f>'Data (2)'!AF38</f>
        <v>48.7</v>
      </c>
      <c r="AG7" s="363">
        <f>'Data (2)'!AG38</f>
        <v>50.9</v>
      </c>
      <c r="AH7" s="362">
        <f>AG7</f>
        <v>50.9</v>
      </c>
      <c r="AI7" s="363">
        <f>'Data (2)'!AI38</f>
        <v>27</v>
      </c>
      <c r="AJ7" s="363">
        <f>'Data (2)'!AJ38</f>
        <v>72.599999999999994</v>
      </c>
      <c r="AK7" s="363">
        <f>'Data (2)'!AK38</f>
        <v>94.7</v>
      </c>
      <c r="AL7" s="363">
        <f>'Data (2)'!AL38</f>
        <v>110.1</v>
      </c>
      <c r="AM7" s="362">
        <f>AL7</f>
        <v>110.1</v>
      </c>
      <c r="AN7" s="363">
        <f>'Data (2)'!AN38</f>
        <v>65.7</v>
      </c>
      <c r="AO7" s="363">
        <f>'Data (2)'!AO38</f>
        <v>84</v>
      </c>
      <c r="AP7" s="363">
        <f>'Data (2)'!AP38</f>
        <v>78.5</v>
      </c>
      <c r="AQ7" s="363">
        <f>'Data (2)'!AQ38</f>
        <v>117.2</v>
      </c>
      <c r="AR7" s="362">
        <f>AQ7</f>
        <v>117.2</v>
      </c>
      <c r="AS7" s="363">
        <f>'Data (2)'!AS38</f>
        <v>50.6</v>
      </c>
      <c r="AT7" s="363">
        <f>'Data (2)'!AT38</f>
        <v>55.9</v>
      </c>
      <c r="AU7" s="363">
        <f>'Data (2)'!AU38</f>
        <v>48.4</v>
      </c>
      <c r="AV7" s="363">
        <f>'Data (2)'!AV38</f>
        <v>49.5</v>
      </c>
      <c r="AW7" s="362">
        <f>AV7</f>
        <v>49.5</v>
      </c>
      <c r="AX7" s="363">
        <f>'Data (2)'!AX38</f>
        <v>48.7</v>
      </c>
      <c r="AY7" s="363">
        <f>'Data (2)'!AY38</f>
        <v>32.6</v>
      </c>
      <c r="AZ7" s="363">
        <f>'Data (2)'!AZ38</f>
        <v>43.2</v>
      </c>
      <c r="BA7" s="363">
        <f>'Data (2)'!BA38</f>
        <v>32.6</v>
      </c>
      <c r="BB7" s="362">
        <f>BA7</f>
        <v>32.6</v>
      </c>
      <c r="BC7" s="363">
        <f>'Data (2)'!BC38</f>
        <v>18.3</v>
      </c>
      <c r="BD7" s="363">
        <f>'Data (2)'!BD38</f>
        <v>56.7</v>
      </c>
      <c r="BE7" s="363">
        <f>'Data (2)'!BE38</f>
        <v>59.7</v>
      </c>
      <c r="BF7" s="363">
        <f>'Data (2)'!BF38</f>
        <v>65.5</v>
      </c>
      <c r="BG7" s="362">
        <f>BF7</f>
        <v>65.5</v>
      </c>
      <c r="BH7" s="363">
        <f>'Data (2)'!BH38</f>
        <v>50</v>
      </c>
      <c r="BI7" s="363">
        <f>'Data (2)'!BI38</f>
        <v>43.8</v>
      </c>
      <c r="BJ7" s="363">
        <f>'Data (2)'!BJ38</f>
        <v>37.700000000000003</v>
      </c>
      <c r="BK7" s="363">
        <f>'Data (2)'!BK38</f>
        <v>70.900000000000006</v>
      </c>
      <c r="BL7" s="362">
        <f>BK7</f>
        <v>70.900000000000006</v>
      </c>
      <c r="BM7" s="363">
        <f>'Data (2)'!BM38</f>
        <v>22.7</v>
      </c>
      <c r="BN7" s="363">
        <f>'Data (2)'!BN38</f>
        <v>35.299999999999997</v>
      </c>
      <c r="BO7" s="363">
        <f>'Data (2)'!BO38</f>
        <v>43.2</v>
      </c>
      <c r="BP7" s="363">
        <f>'Data (2)'!BP38</f>
        <v>51.8</v>
      </c>
      <c r="BQ7" s="362">
        <f>BP7</f>
        <v>51.8</v>
      </c>
      <c r="BR7" s="363">
        <f>'Data (2)'!BR38</f>
        <v>24.2</v>
      </c>
      <c r="BS7" s="363">
        <f>'Data (2)'!BS38</f>
        <v>38.9</v>
      </c>
      <c r="BT7" s="363">
        <f>'Data (2)'!BT38</f>
        <v>45.7</v>
      </c>
      <c r="BU7" s="363">
        <f>'Data (2)'!BU38</f>
        <v>35.200000000000003</v>
      </c>
      <c r="BV7" s="362">
        <f>BU7</f>
        <v>35.200000000000003</v>
      </c>
      <c r="BW7" s="363">
        <f>'Data (2)'!BW38</f>
        <v>82.1</v>
      </c>
      <c r="BX7" s="363">
        <f>'Data (2)'!BX38</f>
        <v>45.5</v>
      </c>
      <c r="BY7" s="363">
        <f>'Data (2)'!BY38</f>
        <v>119.1</v>
      </c>
      <c r="BZ7" s="363">
        <f>'Data (2)'!BZ38</f>
        <v>60.1</v>
      </c>
      <c r="CA7" s="362">
        <f>BZ7</f>
        <v>60.1</v>
      </c>
      <c r="CB7" s="363">
        <f>'Data (2)'!CB38</f>
        <v>49.8</v>
      </c>
      <c r="CC7" s="363">
        <f>'Data (2)'!CC38</f>
        <v>39.1</v>
      </c>
      <c r="CD7" s="363">
        <f>'Data (2)'!CD38</f>
        <v>47.2</v>
      </c>
      <c r="CE7" s="363">
        <f>'Data (2)'!CE38</f>
        <v>32.700000000000003</v>
      </c>
      <c r="CF7" s="362">
        <f>CE7</f>
        <v>32.700000000000003</v>
      </c>
      <c r="CG7" s="363">
        <f>'Data (2)'!CG38</f>
        <v>43.7</v>
      </c>
      <c r="CH7" s="363">
        <f>'Data (2)'!CH38</f>
        <v>55.4</v>
      </c>
      <c r="CI7" s="363">
        <f>'Data (2)'!CI38</f>
        <v>47</v>
      </c>
      <c r="CJ7" s="363">
        <f>'Data (2)'!CJ38</f>
        <v>64.400000000000006</v>
      </c>
      <c r="CK7" s="362">
        <f>CJ7</f>
        <v>64.400000000000006</v>
      </c>
      <c r="CL7" s="363">
        <f>'Data (2)'!CL38</f>
        <v>329.3</v>
      </c>
      <c r="CM7" s="364">
        <f>CL7+'Cash Flow'!CM49</f>
        <v>295.5</v>
      </c>
      <c r="CN7" s="364">
        <f>CM7+'Cash Flow'!CN49</f>
        <v>311.7</v>
      </c>
      <c r="CO7" s="364">
        <f>CN7+'Cash Flow'!CO49</f>
        <v>397.9</v>
      </c>
      <c r="CP7" s="362">
        <f>CO7</f>
        <v>397.9</v>
      </c>
      <c r="CQ7" s="365">
        <f>CP7+'Cash Flow'!CQ49</f>
        <v>252.96999999999997</v>
      </c>
      <c r="CR7" s="365">
        <f>CQ7+'Cash Flow'!CR49</f>
        <v>227.74499999999995</v>
      </c>
      <c r="CS7" s="365">
        <f>CR7+'Cash Flow'!CS49</f>
        <v>246.51062499999995</v>
      </c>
    </row>
    <row r="8" spans="2:112" ht="5.0999999999999996" customHeight="1">
      <c r="B8" s="361" t="s">
        <v>36</v>
      </c>
      <c r="C8" s="205">
        <f>'Data (2)'!C39</f>
        <v>181.19200000000001</v>
      </c>
      <c r="D8" s="205">
        <f>'Data (2)'!D39</f>
        <v>188.36799999999999</v>
      </c>
      <c r="E8" s="205">
        <f>'Data (2)'!E39</f>
        <v>158.6</v>
      </c>
      <c r="F8" s="205">
        <f>'Data (2)'!F39</f>
        <v>150.30000000000001</v>
      </c>
      <c r="G8" s="205">
        <f>'Data (2)'!G39</f>
        <v>140.5</v>
      </c>
      <c r="H8" s="205">
        <f>'Data (2)'!H39</f>
        <v>117.3</v>
      </c>
      <c r="I8" s="205">
        <f>'Data (2)'!I39</f>
        <v>126.2</v>
      </c>
      <c r="J8" s="197">
        <f>'Data (2)'!J39</f>
        <v>144.80000000000001</v>
      </c>
      <c r="K8" s="197">
        <f>'Data (2)'!K39</f>
        <v>156.6</v>
      </c>
      <c r="L8" s="197">
        <f>'Data (2)'!L39</f>
        <v>146.1</v>
      </c>
      <c r="M8" s="197">
        <f>'Data (2)'!M39</f>
        <v>153.5</v>
      </c>
      <c r="N8" s="205">
        <f>M8</f>
        <v>153.5</v>
      </c>
      <c r="O8" s="197">
        <f>'Data (2)'!O39</f>
        <v>169.8</v>
      </c>
      <c r="P8" s="197">
        <f>'Data (2)'!P39</f>
        <v>176.4</v>
      </c>
      <c r="Q8" s="197">
        <f>'Data (2)'!Q39</f>
        <v>161.80000000000001</v>
      </c>
      <c r="R8" s="197">
        <f>'Data (2)'!R39</f>
        <v>155.9</v>
      </c>
      <c r="S8" s="205">
        <f>R8</f>
        <v>155.9</v>
      </c>
      <c r="T8" s="197">
        <f>'Data (2)'!T39</f>
        <v>194.3</v>
      </c>
      <c r="U8" s="197">
        <f>'Data (2)'!U39</f>
        <v>196.1</v>
      </c>
      <c r="V8" s="197">
        <f>'Data (2)'!V39</f>
        <v>187.8</v>
      </c>
      <c r="W8" s="197">
        <f>'Data (2)'!W39</f>
        <v>181.5</v>
      </c>
      <c r="X8" s="205">
        <f>W8</f>
        <v>181.5</v>
      </c>
      <c r="Y8" s="197">
        <f>'Data (2)'!Y39</f>
        <v>202.3</v>
      </c>
      <c r="Z8" s="197">
        <f>'Data (2)'!Z39</f>
        <v>192</v>
      </c>
      <c r="AA8" s="197">
        <f>'Data (2)'!AA39</f>
        <v>185</v>
      </c>
      <c r="AB8" s="197">
        <f>'Data (2)'!AB39</f>
        <v>192.8</v>
      </c>
      <c r="AC8" s="205">
        <f>AB8</f>
        <v>192.8</v>
      </c>
      <c r="AD8" s="197">
        <f>'Data (2)'!AD39</f>
        <v>237.7</v>
      </c>
      <c r="AE8" s="197">
        <f>'Data (2)'!AE39</f>
        <v>245.4</v>
      </c>
      <c r="AF8" s="197">
        <f>'Data (2)'!AF39</f>
        <v>208.7</v>
      </c>
      <c r="AG8" s="197">
        <f>'Data (2)'!AG39</f>
        <v>189.4</v>
      </c>
      <c r="AH8" s="205">
        <f>AG8</f>
        <v>189.4</v>
      </c>
      <c r="AI8" s="197">
        <f>'Data (2)'!AI39</f>
        <v>217.8</v>
      </c>
      <c r="AJ8" s="197">
        <f>'Data (2)'!AJ39</f>
        <v>173.5</v>
      </c>
      <c r="AK8" s="197">
        <f>'Data (2)'!AK39</f>
        <v>153.80000000000001</v>
      </c>
      <c r="AL8" s="197">
        <f>'Data (2)'!AL39</f>
        <v>158.4</v>
      </c>
      <c r="AM8" s="205">
        <f>AL8</f>
        <v>158.4</v>
      </c>
      <c r="AN8" s="197">
        <f>'Data (2)'!AN39</f>
        <v>168.6</v>
      </c>
      <c r="AO8" s="197">
        <f>'Data (2)'!AO39</f>
        <v>195.1</v>
      </c>
      <c r="AP8" s="197">
        <f>'Data (2)'!AP39</f>
        <v>182.9</v>
      </c>
      <c r="AQ8" s="197">
        <f>'Data (2)'!AQ39</f>
        <v>173.9</v>
      </c>
      <c r="AR8" s="205">
        <f>AQ8</f>
        <v>173.9</v>
      </c>
      <c r="AS8" s="197">
        <f>'Data (2)'!AS39</f>
        <v>210</v>
      </c>
      <c r="AT8" s="197">
        <f>'Data (2)'!AT39</f>
        <v>207.8</v>
      </c>
      <c r="AU8" s="197">
        <f>'Data (2)'!AU39</f>
        <v>208.5</v>
      </c>
      <c r="AV8" s="197">
        <f>'Data (2)'!AV39</f>
        <v>199.3</v>
      </c>
      <c r="AW8" s="205">
        <f>AV8</f>
        <v>199.3</v>
      </c>
      <c r="AX8" s="197">
        <f>'Data (2)'!AX39</f>
        <v>251</v>
      </c>
      <c r="AY8" s="197">
        <f>'Data (2)'!AY39</f>
        <v>250.4</v>
      </c>
      <c r="AZ8" s="197">
        <f>'Data (2)'!AZ39</f>
        <v>242.2</v>
      </c>
      <c r="BA8" s="197">
        <f>'Data (2)'!BA39</f>
        <v>229</v>
      </c>
      <c r="BB8" s="205">
        <f>BA8</f>
        <v>229</v>
      </c>
      <c r="BC8" s="197">
        <f>'Data (2)'!BC39</f>
        <v>269.10000000000002</v>
      </c>
      <c r="BD8" s="197">
        <f>'Data (2)'!BD39</f>
        <v>246.1</v>
      </c>
      <c r="BE8" s="197">
        <f>'Data (2)'!BE39</f>
        <v>236.2</v>
      </c>
      <c r="BF8" s="197">
        <f>'Data (2)'!BF39</f>
        <v>232.4</v>
      </c>
      <c r="BG8" s="205">
        <f>BF8</f>
        <v>232.4</v>
      </c>
      <c r="BH8" s="197">
        <f>'Data (2)'!BH39</f>
        <v>280.89999999999998</v>
      </c>
      <c r="BI8" s="197">
        <f>'Data (2)'!BI39</f>
        <v>281.5</v>
      </c>
      <c r="BJ8" s="197">
        <f>'Data (2)'!BJ39</f>
        <v>255.6</v>
      </c>
      <c r="BK8" s="197">
        <f>'Data (2)'!BK39</f>
        <v>233.5</v>
      </c>
      <c r="BL8" s="205">
        <f>BK8</f>
        <v>233.5</v>
      </c>
      <c r="BM8" s="197">
        <f>'Data (2)'!BM39</f>
        <v>289.8</v>
      </c>
      <c r="BN8" s="197">
        <f>'Data (2)'!BN39</f>
        <v>283.7</v>
      </c>
      <c r="BO8" s="197">
        <f>'Data (2)'!BO39</f>
        <v>257.60000000000002</v>
      </c>
      <c r="BP8" s="197">
        <f>'Data (2)'!BP39</f>
        <v>234</v>
      </c>
      <c r="BQ8" s="205">
        <f>BP8</f>
        <v>234</v>
      </c>
      <c r="BR8" s="197">
        <f>'Data (2)'!BR39</f>
        <v>310.10000000000002</v>
      </c>
      <c r="BS8" s="197">
        <f>'Data (2)'!BS39</f>
        <v>290.3</v>
      </c>
      <c r="BT8" s="197">
        <f>'Data (2)'!BT39</f>
        <v>254.4</v>
      </c>
      <c r="BU8" s="197">
        <f>'Data (2)'!BU39</f>
        <v>245.6</v>
      </c>
      <c r="BV8" s="205">
        <f>BU8</f>
        <v>245.6</v>
      </c>
      <c r="BW8" s="197">
        <f>'Data (2)'!BW39</f>
        <v>267.39999999999998</v>
      </c>
      <c r="BX8" s="197">
        <f>'Data (2)'!BX39</f>
        <v>253.3</v>
      </c>
      <c r="BY8" s="197">
        <f>'Data (2)'!BY39</f>
        <v>245</v>
      </c>
      <c r="BZ8" s="197">
        <f>'Data (2)'!BZ39</f>
        <v>248.7</v>
      </c>
      <c r="CA8" s="205">
        <f>BZ8</f>
        <v>248.7</v>
      </c>
      <c r="CB8" s="197">
        <f>'Data (2)'!CB39</f>
        <v>295.60000000000002</v>
      </c>
      <c r="CC8" s="197">
        <f>'Data (2)'!CC39</f>
        <v>287.2</v>
      </c>
      <c r="CD8" s="197">
        <f>'Data (2)'!CD39</f>
        <v>270.3</v>
      </c>
      <c r="CE8" s="197">
        <f>'Data (2)'!CE39</f>
        <v>260.89999999999998</v>
      </c>
      <c r="CF8" s="205">
        <f>CE8</f>
        <v>260.89999999999998</v>
      </c>
      <c r="CG8" s="197">
        <f>'Data (2)'!CG39</f>
        <v>324.3</v>
      </c>
      <c r="CH8" s="197">
        <f>'Data (2)'!CH39</f>
        <v>313.3</v>
      </c>
      <c r="CI8" s="197">
        <f>'Data (2)'!CI39</f>
        <v>288.89999999999998</v>
      </c>
      <c r="CJ8" s="197">
        <f>'Data (2)'!CJ39</f>
        <v>227.6</v>
      </c>
      <c r="CK8" s="205">
        <f>CJ8</f>
        <v>227.6</v>
      </c>
      <c r="CL8" s="197">
        <f>'Data (2)'!CL39</f>
        <v>266.7</v>
      </c>
      <c r="CM8" s="213">
        <f>CM69/90*'IS (2)'!CM6</f>
        <v>157.22335555555557</v>
      </c>
      <c r="CN8" s="213">
        <f>CN69/90*'IS (2)'!CN6</f>
        <v>181.59955000000002</v>
      </c>
      <c r="CO8" s="213">
        <f>CO69/90*'IS (2)'!CO6</f>
        <v>210.69074666666668</v>
      </c>
      <c r="CP8" s="205">
        <f>CO8</f>
        <v>210.69074666666668</v>
      </c>
      <c r="CQ8" s="214">
        <f>CQ69/365*'IS (2)'!CQ6</f>
        <v>226.70785052054794</v>
      </c>
      <c r="CR8" s="214">
        <f>CR69/365*'IS (2)'!CR6</f>
        <v>247.43330173534244</v>
      </c>
      <c r="CS8" s="214">
        <f>CS69/365*'IS (2)'!CS6</f>
        <v>273.63168202824659</v>
      </c>
    </row>
    <row r="9" spans="2:112" ht="12" customHeight="1">
      <c r="B9" s="361" t="s">
        <v>37</v>
      </c>
      <c r="C9" s="205">
        <f>'Data (2)'!C40</f>
        <v>165.321</v>
      </c>
      <c r="D9" s="205">
        <f>'Data (2)'!D40</f>
        <v>213.19900000000001</v>
      </c>
      <c r="E9" s="205">
        <f>'Data (2)'!E40</f>
        <v>153.69999999999999</v>
      </c>
      <c r="F9" s="205">
        <f>'Data (2)'!F40</f>
        <v>155.4</v>
      </c>
      <c r="G9" s="205">
        <f>'Data (2)'!G40</f>
        <v>131.69999999999999</v>
      </c>
      <c r="H9" s="205">
        <f>'Data (2)'!H40</f>
        <v>113.6</v>
      </c>
      <c r="I9" s="205">
        <f>'Data (2)'!I40</f>
        <v>120.5</v>
      </c>
      <c r="J9" s="197">
        <f>'Data (2)'!J40</f>
        <v>130.4</v>
      </c>
      <c r="K9" s="197">
        <f>'Data (2)'!K40</f>
        <v>134.19999999999999</v>
      </c>
      <c r="L9" s="197">
        <f>'Data (2)'!L40</f>
        <v>144.9</v>
      </c>
      <c r="M9" s="197">
        <f>'Data (2)'!M40</f>
        <v>144.19999999999999</v>
      </c>
      <c r="N9" s="205">
        <f>M9</f>
        <v>144.19999999999999</v>
      </c>
      <c r="O9" s="197">
        <f>'Data (2)'!O40</f>
        <v>160.1</v>
      </c>
      <c r="P9" s="197">
        <f>'Data (2)'!P40</f>
        <v>154.6</v>
      </c>
      <c r="Q9" s="197">
        <f>'Data (2)'!Q40</f>
        <v>160.5</v>
      </c>
      <c r="R9" s="197">
        <f>'Data (2)'!R40</f>
        <v>150.4</v>
      </c>
      <c r="S9" s="205">
        <f>R9</f>
        <v>150.4</v>
      </c>
      <c r="T9" s="197">
        <f>'Data (2)'!T40</f>
        <v>156.30000000000001</v>
      </c>
      <c r="U9" s="197">
        <f>'Data (2)'!U40</f>
        <v>160.6</v>
      </c>
      <c r="V9" s="197">
        <f>'Data (2)'!V40</f>
        <v>166.6</v>
      </c>
      <c r="W9" s="197">
        <f>'Data (2)'!W40</f>
        <v>171.5</v>
      </c>
      <c r="X9" s="205">
        <f>W9</f>
        <v>171.5</v>
      </c>
      <c r="Y9" s="197">
        <f>'Data (2)'!Y40</f>
        <v>189.5</v>
      </c>
      <c r="Z9" s="197">
        <f>'Data (2)'!Z40</f>
        <v>166.7</v>
      </c>
      <c r="AA9" s="197">
        <f>'Data (2)'!AA40</f>
        <v>179</v>
      </c>
      <c r="AB9" s="197">
        <f>'Data (2)'!AB40</f>
        <v>179.4</v>
      </c>
      <c r="AC9" s="205">
        <f>AB9</f>
        <v>179.4</v>
      </c>
      <c r="AD9" s="197">
        <f>'Data (2)'!AD40</f>
        <v>202.4</v>
      </c>
      <c r="AE9" s="197">
        <f>'Data (2)'!AE40</f>
        <v>207.7</v>
      </c>
      <c r="AF9" s="197">
        <f>'Data (2)'!AF40</f>
        <v>200.6</v>
      </c>
      <c r="AG9" s="197">
        <f>'Data (2)'!AG40</f>
        <v>195.3</v>
      </c>
      <c r="AH9" s="205">
        <f>AG9</f>
        <v>195.3</v>
      </c>
      <c r="AI9" s="197">
        <f>'Data (2)'!AI40</f>
        <v>185.3</v>
      </c>
      <c r="AJ9" s="197">
        <f>'Data (2)'!AJ40</f>
        <v>171.4</v>
      </c>
      <c r="AK9" s="197">
        <f>'Data (2)'!AK40</f>
        <v>158</v>
      </c>
      <c r="AL9" s="197">
        <f>'Data (2)'!AL40</f>
        <v>157.19999999999999</v>
      </c>
      <c r="AM9" s="205">
        <f>AL9</f>
        <v>157.19999999999999</v>
      </c>
      <c r="AN9" s="197">
        <f>'Data (2)'!AN40</f>
        <v>167</v>
      </c>
      <c r="AO9" s="197">
        <f>'Data (2)'!AO40</f>
        <v>175.4</v>
      </c>
      <c r="AP9" s="197">
        <f>'Data (2)'!AP40</f>
        <v>197.5</v>
      </c>
      <c r="AQ9" s="197">
        <f>'Data (2)'!AQ40</f>
        <v>169.9</v>
      </c>
      <c r="AR9" s="205">
        <f>AQ9</f>
        <v>169.9</v>
      </c>
      <c r="AS9" s="197">
        <f>'Data (2)'!AS40</f>
        <v>198.7</v>
      </c>
      <c r="AT9" s="197">
        <f>'Data (2)'!AT40</f>
        <v>207.9</v>
      </c>
      <c r="AU9" s="197">
        <f>'Data (2)'!AU40</f>
        <v>213.3</v>
      </c>
      <c r="AV9" s="197">
        <f>'Data (2)'!AV40</f>
        <v>215.7</v>
      </c>
      <c r="AW9" s="205">
        <f>AV9</f>
        <v>215.7</v>
      </c>
      <c r="AX9" s="197">
        <f>'Data (2)'!AX40</f>
        <v>232</v>
      </c>
      <c r="AY9" s="197">
        <f>'Data (2)'!AY40</f>
        <v>242.2</v>
      </c>
      <c r="AZ9" s="197">
        <f>'Data (2)'!AZ40</f>
        <v>235.7</v>
      </c>
      <c r="BA9" s="197">
        <f>'Data (2)'!BA40</f>
        <v>232.8</v>
      </c>
      <c r="BB9" s="205">
        <f>BA9</f>
        <v>232.8</v>
      </c>
      <c r="BC9" s="197">
        <f>'Data (2)'!BC40</f>
        <v>245.9</v>
      </c>
      <c r="BD9" s="197">
        <f>'Data (2)'!BD40</f>
        <v>251.7</v>
      </c>
      <c r="BE9" s="197">
        <f>'Data (2)'!BE40</f>
        <v>260.3</v>
      </c>
      <c r="BF9" s="197">
        <f>'Data (2)'!BF40</f>
        <v>265.3</v>
      </c>
      <c r="BG9" s="205">
        <f>BF9</f>
        <v>265.3</v>
      </c>
      <c r="BH9" s="197">
        <f>'Data (2)'!BH40</f>
        <v>283.89999999999998</v>
      </c>
      <c r="BI9" s="197">
        <f>'Data (2)'!BI40</f>
        <v>288.39999999999998</v>
      </c>
      <c r="BJ9" s="197">
        <f>'Data (2)'!BJ40</f>
        <v>300.7</v>
      </c>
      <c r="BK9" s="197">
        <f>'Data (2)'!BK40</f>
        <v>290.10000000000002</v>
      </c>
      <c r="BL9" s="205">
        <f>BK9</f>
        <v>290.10000000000002</v>
      </c>
      <c r="BM9" s="197">
        <f>'Data (2)'!BM40</f>
        <v>314.39999999999998</v>
      </c>
      <c r="BN9" s="197">
        <f>'Data (2)'!BN40</f>
        <v>326.8</v>
      </c>
      <c r="BO9" s="197">
        <f>'Data (2)'!BO40</f>
        <v>326.2</v>
      </c>
      <c r="BP9" s="197">
        <f>'Data (2)'!BP40</f>
        <v>307.2</v>
      </c>
      <c r="BQ9" s="205">
        <f>BP9</f>
        <v>307.2</v>
      </c>
      <c r="BR9" s="197">
        <f>'Data (2)'!BR40</f>
        <v>333.1</v>
      </c>
      <c r="BS9" s="197">
        <f>'Data (2)'!BS40</f>
        <v>331.5</v>
      </c>
      <c r="BT9" s="197">
        <f>'Data (2)'!BT40</f>
        <v>315.10000000000002</v>
      </c>
      <c r="BU9" s="197">
        <f>'Data (2)'!BU40</f>
        <v>291</v>
      </c>
      <c r="BV9" s="205">
        <f>BU9</f>
        <v>291</v>
      </c>
      <c r="BW9" s="197">
        <f>'Data (2)'!BW40</f>
        <v>303.60000000000002</v>
      </c>
      <c r="BX9" s="197">
        <f>'Data (2)'!BX40</f>
        <v>313</v>
      </c>
      <c r="BY9" s="197">
        <f>'Data (2)'!BY40</f>
        <v>313.39999999999998</v>
      </c>
      <c r="BZ9" s="197">
        <f>'Data (2)'!BZ40</f>
        <v>314</v>
      </c>
      <c r="CA9" s="205">
        <f>BZ9</f>
        <v>314</v>
      </c>
      <c r="CB9" s="197">
        <f>'Data (2)'!CB40</f>
        <v>300.8</v>
      </c>
      <c r="CC9" s="197">
        <f>'Data (2)'!CC40</f>
        <v>305.39999999999998</v>
      </c>
      <c r="CD9" s="197">
        <f>'Data (2)'!CD40</f>
        <v>308.7</v>
      </c>
      <c r="CE9" s="197">
        <f>'Data (2)'!CE40</f>
        <v>297.8</v>
      </c>
      <c r="CF9" s="205">
        <f>CE9</f>
        <v>297.8</v>
      </c>
      <c r="CG9" s="197">
        <f>'Data (2)'!CG40</f>
        <v>334.5</v>
      </c>
      <c r="CH9" s="197">
        <f>'Data (2)'!CH40</f>
        <v>339.3</v>
      </c>
      <c r="CI9" s="197">
        <f>'Data (2)'!CI40</f>
        <v>352.2</v>
      </c>
      <c r="CJ9" s="197">
        <f>'Data (2)'!CJ40</f>
        <v>333.1</v>
      </c>
      <c r="CK9" s="205">
        <f>CJ9</f>
        <v>333.1</v>
      </c>
      <c r="CL9" s="197">
        <f>'Data (2)'!CL40</f>
        <v>354.4</v>
      </c>
      <c r="CM9" s="213">
        <f>-CM72/90*'IS (2)'!CM7</f>
        <v>160.38232073846157</v>
      </c>
      <c r="CN9" s="213">
        <f>-CN72/90*'IS (2)'!CN7</f>
        <v>191.54696178333333</v>
      </c>
      <c r="CO9" s="213">
        <f>-CO72/90*'IS (2)'!CO7</f>
        <v>212.56854157168456</v>
      </c>
      <c r="CP9" s="205">
        <f>CO9</f>
        <v>212.56854157168456</v>
      </c>
      <c r="CQ9" s="214">
        <f>-CQ72/365*'IS (2)'!CQ7</f>
        <v>226.41501688783336</v>
      </c>
      <c r="CR9" s="214">
        <f>-CR72/365*'IS (2)'!CR7</f>
        <v>243.46780397451133</v>
      </c>
      <c r="CS9" s="214">
        <f>-CS72/365*'IS (2)'!CS7</f>
        <v>265.21547965967721</v>
      </c>
      <c r="DH9" s="158"/>
    </row>
    <row r="10" spans="2:112" ht="12" customHeight="1">
      <c r="B10" s="361" t="s">
        <v>38</v>
      </c>
      <c r="C10" s="205">
        <f>'Data (2)'!C41</f>
        <v>31.504000000000001</v>
      </c>
      <c r="D10" s="205">
        <f>'Data (2)'!D41</f>
        <v>29.954999999999998</v>
      </c>
      <c r="E10" s="205">
        <f>'Data (2)'!E41</f>
        <v>15.299999999999999</v>
      </c>
      <c r="F10" s="205">
        <f>'Data (2)'!F41</f>
        <v>15.2</v>
      </c>
      <c r="G10" s="205">
        <f>'Data (2)'!G41</f>
        <v>4.4000000000000004</v>
      </c>
      <c r="H10" s="205">
        <f>'Data (2)'!H41</f>
        <v>9.1999999999999993</v>
      </c>
      <c r="I10" s="205">
        <f>'Data (2)'!I41</f>
        <v>16.2</v>
      </c>
      <c r="J10" s="197">
        <f>'Data (2)'!J41</f>
        <v>18.5</v>
      </c>
      <c r="K10" s="197">
        <f>'Data (2)'!K41</f>
        <v>16</v>
      </c>
      <c r="L10" s="197">
        <f>'Data (2)'!L41</f>
        <v>18</v>
      </c>
      <c r="M10" s="197">
        <f>'Data (2)'!M41</f>
        <v>18.399999999999999</v>
      </c>
      <c r="N10" s="205">
        <f>M10</f>
        <v>18.399999999999999</v>
      </c>
      <c r="O10" s="197">
        <f>'Data (2)'!O41</f>
        <v>12.8</v>
      </c>
      <c r="P10" s="197">
        <f>'Data (2)'!P41</f>
        <v>13.7</v>
      </c>
      <c r="Q10" s="197">
        <f>'Data (2)'!Q41</f>
        <v>15.7</v>
      </c>
      <c r="R10" s="197">
        <f>'Data (2)'!R41</f>
        <v>43</v>
      </c>
      <c r="S10" s="205">
        <f>R10</f>
        <v>43</v>
      </c>
      <c r="T10" s="197">
        <f>'Data (2)'!T41</f>
        <v>35.200000000000003</v>
      </c>
      <c r="U10" s="197">
        <f>'Data (2)'!U41</f>
        <v>35.1</v>
      </c>
      <c r="V10" s="197">
        <f>'Data (2)'!V41</f>
        <v>34.700000000000003</v>
      </c>
      <c r="W10" s="197">
        <f>'Data (2)'!W41</f>
        <v>10.5</v>
      </c>
      <c r="X10" s="205">
        <f>W10</f>
        <v>10.5</v>
      </c>
      <c r="Y10" s="197">
        <f>'Data (2)'!Y41</f>
        <v>29.5</v>
      </c>
      <c r="Z10" s="197">
        <f>'Data (2)'!Z41</f>
        <v>32.1</v>
      </c>
      <c r="AA10" s="197">
        <f>'Data (2)'!AA41</f>
        <v>39.1</v>
      </c>
      <c r="AB10" s="197">
        <f>'Data (2)'!AB41</f>
        <v>34.700000000000003</v>
      </c>
      <c r="AC10" s="205">
        <f>AB10</f>
        <v>34.700000000000003</v>
      </c>
      <c r="AD10" s="197">
        <f>'Data (2)'!AD41</f>
        <v>27.2</v>
      </c>
      <c r="AE10" s="197">
        <f>'Data (2)'!AE41</f>
        <v>47.7</v>
      </c>
      <c r="AF10" s="197">
        <f>'Data (2)'!AF41</f>
        <v>41.2</v>
      </c>
      <c r="AG10" s="197">
        <f>'Data (2)'!AG41</f>
        <v>45.1</v>
      </c>
      <c r="AH10" s="205">
        <f>AG10</f>
        <v>45.1</v>
      </c>
      <c r="AI10" s="197">
        <f>'Data (2)'!AI41</f>
        <v>39.299999999999997</v>
      </c>
      <c r="AJ10" s="197">
        <f>'Data (2)'!AJ41</f>
        <v>38.4</v>
      </c>
      <c r="AK10" s="197">
        <f>'Data (2)'!AK41</f>
        <v>42.7</v>
      </c>
      <c r="AL10" s="197">
        <f>'Data (2)'!AL41</f>
        <v>35.4</v>
      </c>
      <c r="AM10" s="205">
        <f>AL10</f>
        <v>35.4</v>
      </c>
      <c r="AN10" s="197">
        <f>'Data (2)'!AN41</f>
        <v>36</v>
      </c>
      <c r="AO10" s="197">
        <f>'Data (2)'!AO41</f>
        <v>34.200000000000003</v>
      </c>
      <c r="AP10" s="197">
        <f>'Data (2)'!AP41</f>
        <v>40.9</v>
      </c>
      <c r="AQ10" s="197">
        <f>'Data (2)'!AQ41</f>
        <v>36.700000000000003</v>
      </c>
      <c r="AR10" s="205">
        <f>AQ10</f>
        <v>36.700000000000003</v>
      </c>
      <c r="AS10" s="197">
        <f>'Data (2)'!AS41</f>
        <v>44.2</v>
      </c>
      <c r="AT10" s="197">
        <f>'Data (2)'!AT41</f>
        <v>50.8</v>
      </c>
      <c r="AU10" s="197">
        <f>'Data (2)'!AU41</f>
        <v>59.8</v>
      </c>
      <c r="AV10" s="197">
        <f>'Data (2)'!AV41</f>
        <v>59.8</v>
      </c>
      <c r="AW10" s="205">
        <f>AV10</f>
        <v>59.8</v>
      </c>
      <c r="AX10" s="197">
        <f>'Data (2)'!AX41</f>
        <v>53.1</v>
      </c>
      <c r="AY10" s="197">
        <f>'Data (2)'!AY41</f>
        <v>66.400000000000006</v>
      </c>
      <c r="AZ10" s="197">
        <f>'Data (2)'!AZ41</f>
        <v>63.1</v>
      </c>
      <c r="BA10" s="197">
        <f>'Data (2)'!BA41</f>
        <v>81.3</v>
      </c>
      <c r="BB10" s="205">
        <f>BA10</f>
        <v>81.3</v>
      </c>
      <c r="BC10" s="197">
        <f>'Data (2)'!BC41</f>
        <v>65.8</v>
      </c>
      <c r="BD10" s="197">
        <f>'Data (2)'!BD41</f>
        <v>71.8</v>
      </c>
      <c r="BE10" s="197">
        <f>'Data (2)'!BE41</f>
        <v>96.9</v>
      </c>
      <c r="BF10" s="197">
        <f>'Data (2)'!BF41</f>
        <v>93.2</v>
      </c>
      <c r="BG10" s="205">
        <f>BF10</f>
        <v>93.2</v>
      </c>
      <c r="BH10" s="197">
        <f>'Data (2)'!BH41</f>
        <v>86.9</v>
      </c>
      <c r="BI10" s="197">
        <f>'Data (2)'!BI41</f>
        <v>80.099999999999994</v>
      </c>
      <c r="BJ10" s="197">
        <f>'Data (2)'!BJ41</f>
        <v>74.5</v>
      </c>
      <c r="BK10" s="197">
        <f>'Data (2)'!BK41</f>
        <v>87.2</v>
      </c>
      <c r="BL10" s="205">
        <f>BK10</f>
        <v>87.2</v>
      </c>
      <c r="BM10" s="197">
        <f>'Data (2)'!BM41</f>
        <v>84.3</v>
      </c>
      <c r="BN10" s="197">
        <f>'Data (2)'!BN41</f>
        <v>106.2</v>
      </c>
      <c r="BO10" s="197">
        <f>'Data (2)'!BO41</f>
        <v>100.5</v>
      </c>
      <c r="BP10" s="197">
        <f>'Data (2)'!BP41</f>
        <v>40.799999999999997</v>
      </c>
      <c r="BQ10" s="205">
        <f>BP10</f>
        <v>40.799999999999997</v>
      </c>
      <c r="BR10" s="197">
        <f>'Data (2)'!BR41</f>
        <v>24.5</v>
      </c>
      <c r="BS10" s="197">
        <f>'Data (2)'!BS41</f>
        <v>23.9</v>
      </c>
      <c r="BT10" s="197">
        <f>'Data (2)'!BT41</f>
        <v>25.9</v>
      </c>
      <c r="BU10" s="197">
        <f>'Data (2)'!BU41</f>
        <v>35.200000000000003</v>
      </c>
      <c r="BV10" s="205">
        <f>BU10</f>
        <v>35.200000000000003</v>
      </c>
      <c r="BW10" s="197">
        <f>'Data (2)'!BW41</f>
        <v>33.700000000000003</v>
      </c>
      <c r="BX10" s="197">
        <f>'Data (2)'!BX41</f>
        <v>36.6</v>
      </c>
      <c r="BY10" s="197">
        <f>'Data (2)'!BY41</f>
        <v>30</v>
      </c>
      <c r="BZ10" s="197">
        <f>'Data (2)'!BZ41</f>
        <v>33.9</v>
      </c>
      <c r="CA10" s="205">
        <f>BZ10</f>
        <v>33.9</v>
      </c>
      <c r="CB10" s="197">
        <f>'Data (2)'!CB41</f>
        <v>69.7</v>
      </c>
      <c r="CC10" s="197">
        <f>'Data (2)'!CC41</f>
        <v>76.099999999999994</v>
      </c>
      <c r="CD10" s="197">
        <f>'Data (2)'!CD41</f>
        <v>72.800000000000011</v>
      </c>
      <c r="CE10" s="197">
        <f>'Data (2)'!CE41</f>
        <v>84.4</v>
      </c>
      <c r="CF10" s="205">
        <f>CE10</f>
        <v>84.4</v>
      </c>
      <c r="CG10" s="197">
        <f>'Data (2)'!CG41</f>
        <v>79.800000000000011</v>
      </c>
      <c r="CH10" s="197">
        <f>'Data (2)'!CH41</f>
        <v>90.1</v>
      </c>
      <c r="CI10" s="197">
        <f>'Data (2)'!CI41</f>
        <v>83.5</v>
      </c>
      <c r="CJ10" s="197">
        <f>'Data (2)'!CJ41</f>
        <v>79.800000000000011</v>
      </c>
      <c r="CK10" s="205">
        <f>CJ10</f>
        <v>79.800000000000011</v>
      </c>
      <c r="CL10" s="197">
        <f>'Data (2)'!CL41</f>
        <v>89.9</v>
      </c>
      <c r="CM10" s="222">
        <f>(CL10)+0</f>
        <v>89.9</v>
      </c>
      <c r="CN10" s="222">
        <f>(CM10)+0</f>
        <v>89.9</v>
      </c>
      <c r="CO10" s="222">
        <f>(CN10)+0</f>
        <v>89.9</v>
      </c>
      <c r="CP10" s="205">
        <f>CO10</f>
        <v>89.9</v>
      </c>
      <c r="CQ10" s="223">
        <f>(CP10)+0</f>
        <v>89.9</v>
      </c>
      <c r="CR10" s="223">
        <f>(CQ10)+0</f>
        <v>89.9</v>
      </c>
      <c r="CS10" s="223">
        <f>(CR10)+0</f>
        <v>89.9</v>
      </c>
    </row>
    <row r="11" spans="2:112" ht="5.0999999999999996" customHeight="1">
      <c r="B11" s="361" t="s">
        <v>96</v>
      </c>
      <c r="C11" s="366">
        <f>'Data (2)'!C42</f>
        <v>0</v>
      </c>
      <c r="D11" s="366">
        <f>'Data (2)'!D42</f>
        <v>0</v>
      </c>
      <c r="E11" s="366">
        <f>'Data (2)'!E42</f>
        <v>0</v>
      </c>
      <c r="F11" s="366">
        <f>'Data (2)'!F42</f>
        <v>0</v>
      </c>
      <c r="G11" s="366">
        <f>'Data (2)'!G42</f>
        <v>0</v>
      </c>
      <c r="H11" s="366">
        <f>'Data (2)'!H42</f>
        <v>0</v>
      </c>
      <c r="I11" s="366">
        <f>'Data (2)'!I42</f>
        <v>0</v>
      </c>
      <c r="J11" s="211">
        <f>'Data (2)'!J42</f>
        <v>0</v>
      </c>
      <c r="K11" s="211">
        <f>'Data (2)'!K42</f>
        <v>0</v>
      </c>
      <c r="L11" s="211">
        <f>'Data (2)'!L42</f>
        <v>0</v>
      </c>
      <c r="M11" s="211">
        <f>'Data (2)'!M42</f>
        <v>0</v>
      </c>
      <c r="N11" s="366">
        <f>M11</f>
        <v>0</v>
      </c>
      <c r="O11" s="211">
        <f>'Data (2)'!O42</f>
        <v>0</v>
      </c>
      <c r="P11" s="211">
        <f>'Data (2)'!P42</f>
        <v>0</v>
      </c>
      <c r="Q11" s="211">
        <f>'Data (2)'!Q42</f>
        <v>0</v>
      </c>
      <c r="R11" s="211">
        <f>'Data (2)'!R42</f>
        <v>0</v>
      </c>
      <c r="S11" s="366">
        <f>R11</f>
        <v>0</v>
      </c>
      <c r="T11" s="211">
        <f>'Data (2)'!T42</f>
        <v>0</v>
      </c>
      <c r="U11" s="211">
        <f>'Data (2)'!U42</f>
        <v>0</v>
      </c>
      <c r="V11" s="211">
        <f>'Data (2)'!V42</f>
        <v>0</v>
      </c>
      <c r="W11" s="211">
        <f>'Data (2)'!W42</f>
        <v>36.6</v>
      </c>
      <c r="X11" s="366">
        <f>W11</f>
        <v>36.6</v>
      </c>
      <c r="Y11" s="211">
        <f>'Data (2)'!Y42</f>
        <v>0</v>
      </c>
      <c r="Z11" s="211">
        <f>'Data (2)'!Z42</f>
        <v>39.700000000000003</v>
      </c>
      <c r="AA11" s="211">
        <f>'Data (2)'!AA42</f>
        <v>0</v>
      </c>
      <c r="AB11" s="211">
        <f>'Data (2)'!AB42</f>
        <v>0</v>
      </c>
      <c r="AC11" s="366">
        <f>AB11</f>
        <v>0</v>
      </c>
      <c r="AD11" s="211">
        <f>'Data (2)'!AD42</f>
        <v>0</v>
      </c>
      <c r="AE11" s="211">
        <f>'Data (2)'!AE42</f>
        <v>0</v>
      </c>
      <c r="AF11" s="211">
        <f>'Data (2)'!AF42</f>
        <v>0</v>
      </c>
      <c r="AG11" s="211">
        <f>'Data (2)'!AG42</f>
        <v>0</v>
      </c>
      <c r="AH11" s="366">
        <f>AG11</f>
        <v>0</v>
      </c>
      <c r="AI11" s="211">
        <f>'Data (2)'!AI42</f>
        <v>0</v>
      </c>
      <c r="AJ11" s="211">
        <f>'Data (2)'!AJ42</f>
        <v>0</v>
      </c>
      <c r="AK11" s="211">
        <f>'Data (2)'!AK42</f>
        <v>0</v>
      </c>
      <c r="AL11" s="211">
        <f>'Data (2)'!AL42</f>
        <v>0</v>
      </c>
      <c r="AM11" s="366">
        <f>AL11</f>
        <v>0</v>
      </c>
      <c r="AN11" s="211">
        <f>'Data (2)'!AN42</f>
        <v>0</v>
      </c>
      <c r="AO11" s="211">
        <f>'Data (2)'!AO42</f>
        <v>0</v>
      </c>
      <c r="AP11" s="211">
        <f>'Data (2)'!AP42</f>
        <v>0</v>
      </c>
      <c r="AQ11" s="211">
        <f>'Data (2)'!AQ42</f>
        <v>0</v>
      </c>
      <c r="AR11" s="366">
        <f>AQ11</f>
        <v>0</v>
      </c>
      <c r="AS11" s="211">
        <f>'Data (2)'!AS42</f>
        <v>0</v>
      </c>
      <c r="AT11" s="211">
        <f>'Data (2)'!AT42</f>
        <v>0</v>
      </c>
      <c r="AU11" s="211">
        <f>'Data (2)'!AU42</f>
        <v>0</v>
      </c>
      <c r="AV11" s="211">
        <f>'Data (2)'!AV42</f>
        <v>0</v>
      </c>
      <c r="AW11" s="366">
        <f>AV11</f>
        <v>0</v>
      </c>
      <c r="AX11" s="211">
        <f>'Data (2)'!AX42</f>
        <v>0</v>
      </c>
      <c r="AY11" s="211">
        <f>'Data (2)'!AY42</f>
        <v>0</v>
      </c>
      <c r="AZ11" s="211">
        <f>'Data (2)'!AZ42</f>
        <v>0</v>
      </c>
      <c r="BA11" s="211">
        <f>'Data (2)'!BA42</f>
        <v>0</v>
      </c>
      <c r="BB11" s="366">
        <f>BA11</f>
        <v>0</v>
      </c>
      <c r="BC11" s="211">
        <f>'Data (2)'!BC42</f>
        <v>0</v>
      </c>
      <c r="BD11" s="211">
        <f>'Data (2)'!BD42</f>
        <v>0</v>
      </c>
      <c r="BE11" s="211">
        <f>'Data (2)'!BE42</f>
        <v>0</v>
      </c>
      <c r="BF11" s="211">
        <f>'Data (2)'!BF42</f>
        <v>0</v>
      </c>
      <c r="BG11" s="366">
        <f>BF11</f>
        <v>0</v>
      </c>
      <c r="BH11" s="211">
        <f>'Data (2)'!BH42</f>
        <v>0</v>
      </c>
      <c r="BI11" s="211">
        <f>'Data (2)'!BI42</f>
        <v>0</v>
      </c>
      <c r="BJ11" s="211">
        <f>'Data (2)'!BJ42</f>
        <v>0</v>
      </c>
      <c r="BK11" s="211">
        <f>'Data (2)'!BK42</f>
        <v>0</v>
      </c>
      <c r="BL11" s="366">
        <f>BK11</f>
        <v>0</v>
      </c>
      <c r="BM11" s="211">
        <f>'Data (2)'!BM42</f>
        <v>0</v>
      </c>
      <c r="BN11" s="211">
        <f>'Data (2)'!BN42</f>
        <v>0</v>
      </c>
      <c r="BO11" s="211">
        <f>'Data (2)'!BO42</f>
        <v>0</v>
      </c>
      <c r="BP11" s="211">
        <f>'Data (2)'!BP42</f>
        <v>0</v>
      </c>
      <c r="BQ11" s="366">
        <f>BP11</f>
        <v>0</v>
      </c>
      <c r="BR11" s="211">
        <f>'Data (2)'!BR42</f>
        <v>0</v>
      </c>
      <c r="BS11" s="211">
        <f>'Data (2)'!BS42</f>
        <v>0</v>
      </c>
      <c r="BT11" s="211">
        <f>'Data (2)'!BT42</f>
        <v>0</v>
      </c>
      <c r="BU11" s="211">
        <f>'Data (2)'!BU42</f>
        <v>0</v>
      </c>
      <c r="BV11" s="366">
        <f>BU11</f>
        <v>0</v>
      </c>
      <c r="BW11" s="211">
        <f>'Data (2)'!BW42</f>
        <v>0</v>
      </c>
      <c r="BX11" s="211">
        <f>'Data (2)'!BX42</f>
        <v>0</v>
      </c>
      <c r="BY11" s="211">
        <f>'Data (2)'!BY42</f>
        <v>0</v>
      </c>
      <c r="BZ11" s="211">
        <f>'Data (2)'!BZ42</f>
        <v>0</v>
      </c>
      <c r="CA11" s="366">
        <f>BZ11</f>
        <v>0</v>
      </c>
      <c r="CB11" s="211">
        <f>'Data (2)'!CB42</f>
        <v>0</v>
      </c>
      <c r="CC11" s="211">
        <f>'Data (2)'!CC42</f>
        <v>0</v>
      </c>
      <c r="CD11" s="211">
        <f>'Data (2)'!CD42</f>
        <v>0</v>
      </c>
      <c r="CE11" s="211">
        <f>'Data (2)'!CE42</f>
        <v>0</v>
      </c>
      <c r="CF11" s="366">
        <f>CE11</f>
        <v>0</v>
      </c>
      <c r="CG11" s="211">
        <f>'Data (2)'!CG42</f>
        <v>0</v>
      </c>
      <c r="CH11" s="211">
        <f>'Data (2)'!CH42</f>
        <v>0</v>
      </c>
      <c r="CI11" s="211">
        <f>'Data (2)'!CI42</f>
        <v>0</v>
      </c>
      <c r="CJ11" s="211">
        <f>'Data (2)'!CJ42</f>
        <v>0</v>
      </c>
      <c r="CK11" s="366">
        <f>CJ11</f>
        <v>0</v>
      </c>
      <c r="CL11" s="211">
        <f>'Data (2)'!CL42</f>
        <v>0</v>
      </c>
      <c r="CM11" s="211">
        <f>CL11</f>
        <v>0</v>
      </c>
      <c r="CN11" s="211">
        <f>CM11</f>
        <v>0</v>
      </c>
      <c r="CO11" s="211">
        <f>CN11</f>
        <v>0</v>
      </c>
      <c r="CP11" s="366">
        <f>CO11</f>
        <v>0</v>
      </c>
      <c r="CQ11" s="366">
        <f>CP11</f>
        <v>0</v>
      </c>
      <c r="CR11" s="366">
        <f>CQ11</f>
        <v>0</v>
      </c>
      <c r="CS11" s="366">
        <f>CR11</f>
        <v>0</v>
      </c>
    </row>
    <row r="12" spans="2:112" ht="12" customHeight="1">
      <c r="B12" s="367" t="s">
        <v>39</v>
      </c>
      <c r="C12" s="212">
        <f t="shared" ref="C12:AH12" si="0">SUM(C7:C11)</f>
        <v>387.05</v>
      </c>
      <c r="D12" s="212">
        <f t="shared" si="0"/>
        <v>439.02600000000001</v>
      </c>
      <c r="E12" s="212">
        <f t="shared" si="0"/>
        <v>327.8</v>
      </c>
      <c r="F12" s="212">
        <f t="shared" si="0"/>
        <v>326</v>
      </c>
      <c r="G12" s="212">
        <f t="shared" si="0"/>
        <v>288.19999999999993</v>
      </c>
      <c r="H12" s="212">
        <f t="shared" si="0"/>
        <v>248.29999999999998</v>
      </c>
      <c r="I12" s="212">
        <f t="shared" si="0"/>
        <v>304.59999999999997</v>
      </c>
      <c r="J12" s="206">
        <f t="shared" si="0"/>
        <v>317.70000000000005</v>
      </c>
      <c r="K12" s="206">
        <f t="shared" si="0"/>
        <v>351.9</v>
      </c>
      <c r="L12" s="206">
        <f t="shared" si="0"/>
        <v>360.5</v>
      </c>
      <c r="M12" s="206">
        <f t="shared" si="0"/>
        <v>373.29999999999995</v>
      </c>
      <c r="N12" s="212">
        <f t="shared" si="0"/>
        <v>373.29999999999995</v>
      </c>
      <c r="O12" s="206">
        <f t="shared" si="0"/>
        <v>368.90000000000003</v>
      </c>
      <c r="P12" s="206">
        <f t="shared" si="0"/>
        <v>363.2</v>
      </c>
      <c r="Q12" s="206">
        <f t="shared" si="0"/>
        <v>350.3</v>
      </c>
      <c r="R12" s="206">
        <f t="shared" si="0"/>
        <v>370.3</v>
      </c>
      <c r="S12" s="212">
        <f t="shared" si="0"/>
        <v>370.3</v>
      </c>
      <c r="T12" s="206">
        <f t="shared" si="0"/>
        <v>409.7</v>
      </c>
      <c r="U12" s="206">
        <f t="shared" si="0"/>
        <v>400.6</v>
      </c>
      <c r="V12" s="206">
        <f t="shared" si="0"/>
        <v>402.09999999999997</v>
      </c>
      <c r="W12" s="206">
        <f t="shared" si="0"/>
        <v>425.8</v>
      </c>
      <c r="X12" s="212">
        <f t="shared" si="0"/>
        <v>425.8</v>
      </c>
      <c r="Y12" s="206">
        <f t="shared" si="0"/>
        <v>454.8</v>
      </c>
      <c r="Z12" s="206">
        <f t="shared" si="0"/>
        <v>466.5</v>
      </c>
      <c r="AA12" s="206">
        <f t="shared" si="0"/>
        <v>434.5</v>
      </c>
      <c r="AB12" s="206">
        <f t="shared" si="0"/>
        <v>435</v>
      </c>
      <c r="AC12" s="212">
        <f t="shared" si="0"/>
        <v>435</v>
      </c>
      <c r="AD12" s="206">
        <f t="shared" si="0"/>
        <v>493.7</v>
      </c>
      <c r="AE12" s="206">
        <f t="shared" si="0"/>
        <v>520.1</v>
      </c>
      <c r="AF12" s="206">
        <f t="shared" si="0"/>
        <v>499.2</v>
      </c>
      <c r="AG12" s="206">
        <f t="shared" si="0"/>
        <v>480.70000000000005</v>
      </c>
      <c r="AH12" s="212">
        <f t="shared" si="0"/>
        <v>480.70000000000005</v>
      </c>
      <c r="AI12" s="206">
        <f t="shared" ref="AI12:BN12" si="1">SUM(AI7:AI11)</f>
        <v>469.40000000000003</v>
      </c>
      <c r="AJ12" s="206">
        <f t="shared" si="1"/>
        <v>455.9</v>
      </c>
      <c r="AK12" s="206">
        <f t="shared" si="1"/>
        <v>449.2</v>
      </c>
      <c r="AL12" s="206">
        <f t="shared" si="1"/>
        <v>461.09999999999997</v>
      </c>
      <c r="AM12" s="212">
        <f t="shared" si="1"/>
        <v>461.09999999999997</v>
      </c>
      <c r="AN12" s="206">
        <f t="shared" si="1"/>
        <v>437.3</v>
      </c>
      <c r="AO12" s="206">
        <f t="shared" si="1"/>
        <v>488.7</v>
      </c>
      <c r="AP12" s="206">
        <f t="shared" si="1"/>
        <v>499.79999999999995</v>
      </c>
      <c r="AQ12" s="206">
        <f t="shared" si="1"/>
        <v>497.7</v>
      </c>
      <c r="AR12" s="212">
        <f t="shared" si="1"/>
        <v>497.7</v>
      </c>
      <c r="AS12" s="206">
        <f t="shared" si="1"/>
        <v>503.5</v>
      </c>
      <c r="AT12" s="206">
        <f t="shared" si="1"/>
        <v>522.4</v>
      </c>
      <c r="AU12" s="206">
        <f t="shared" si="1"/>
        <v>530</v>
      </c>
      <c r="AV12" s="206">
        <f t="shared" si="1"/>
        <v>524.29999999999995</v>
      </c>
      <c r="AW12" s="212">
        <f t="shared" si="1"/>
        <v>524.29999999999995</v>
      </c>
      <c r="AX12" s="206">
        <f t="shared" si="1"/>
        <v>584.80000000000007</v>
      </c>
      <c r="AY12" s="206">
        <f t="shared" si="1"/>
        <v>591.6</v>
      </c>
      <c r="AZ12" s="206">
        <f t="shared" si="1"/>
        <v>584.19999999999993</v>
      </c>
      <c r="BA12" s="206">
        <f t="shared" si="1"/>
        <v>575.70000000000005</v>
      </c>
      <c r="BB12" s="212">
        <f t="shared" si="1"/>
        <v>575.70000000000005</v>
      </c>
      <c r="BC12" s="206">
        <f t="shared" si="1"/>
        <v>599.1</v>
      </c>
      <c r="BD12" s="206">
        <f t="shared" si="1"/>
        <v>626.29999999999995</v>
      </c>
      <c r="BE12" s="206">
        <f t="shared" si="1"/>
        <v>653.1</v>
      </c>
      <c r="BF12" s="206">
        <f t="shared" si="1"/>
        <v>656.40000000000009</v>
      </c>
      <c r="BG12" s="212">
        <f t="shared" si="1"/>
        <v>656.40000000000009</v>
      </c>
      <c r="BH12" s="206">
        <f t="shared" si="1"/>
        <v>701.69999999999993</v>
      </c>
      <c r="BI12" s="206">
        <f t="shared" si="1"/>
        <v>693.80000000000007</v>
      </c>
      <c r="BJ12" s="206">
        <f t="shared" si="1"/>
        <v>668.5</v>
      </c>
      <c r="BK12" s="206">
        <f t="shared" si="1"/>
        <v>681.7</v>
      </c>
      <c r="BL12" s="212">
        <f t="shared" si="1"/>
        <v>681.7</v>
      </c>
      <c r="BM12" s="206">
        <f t="shared" si="1"/>
        <v>711.19999999999993</v>
      </c>
      <c r="BN12" s="206">
        <f t="shared" si="1"/>
        <v>752</v>
      </c>
      <c r="BO12" s="206">
        <f t="shared" ref="BO12:CS12" si="2">SUM(BO7:BO11)</f>
        <v>727.5</v>
      </c>
      <c r="BP12" s="206">
        <f t="shared" si="2"/>
        <v>633.79999999999995</v>
      </c>
      <c r="BQ12" s="212">
        <f t="shared" si="2"/>
        <v>633.79999999999995</v>
      </c>
      <c r="BR12" s="206">
        <f t="shared" si="2"/>
        <v>691.90000000000009</v>
      </c>
      <c r="BS12" s="206">
        <f t="shared" si="2"/>
        <v>684.6</v>
      </c>
      <c r="BT12" s="206">
        <f t="shared" si="2"/>
        <v>641.1</v>
      </c>
      <c r="BU12" s="206">
        <f t="shared" si="2"/>
        <v>607</v>
      </c>
      <c r="BV12" s="212">
        <f t="shared" si="2"/>
        <v>607</v>
      </c>
      <c r="BW12" s="206">
        <f t="shared" si="2"/>
        <v>686.80000000000007</v>
      </c>
      <c r="BX12" s="206">
        <f t="shared" si="2"/>
        <v>648.4</v>
      </c>
      <c r="BY12" s="206">
        <f t="shared" si="2"/>
        <v>707.5</v>
      </c>
      <c r="BZ12" s="206">
        <f t="shared" si="2"/>
        <v>656.69999999999993</v>
      </c>
      <c r="CA12" s="212">
        <f t="shared" si="2"/>
        <v>656.69999999999993</v>
      </c>
      <c r="CB12" s="206">
        <f t="shared" si="2"/>
        <v>715.90000000000009</v>
      </c>
      <c r="CC12" s="206">
        <f t="shared" si="2"/>
        <v>707.80000000000007</v>
      </c>
      <c r="CD12" s="206">
        <f t="shared" si="2"/>
        <v>699</v>
      </c>
      <c r="CE12" s="206">
        <f t="shared" si="2"/>
        <v>675.8</v>
      </c>
      <c r="CF12" s="212">
        <f t="shared" si="2"/>
        <v>675.8</v>
      </c>
      <c r="CG12" s="206">
        <f t="shared" si="2"/>
        <v>782.3</v>
      </c>
      <c r="CH12" s="206">
        <f t="shared" si="2"/>
        <v>798.1</v>
      </c>
      <c r="CI12" s="206">
        <f t="shared" si="2"/>
        <v>771.59999999999991</v>
      </c>
      <c r="CJ12" s="206">
        <f t="shared" si="2"/>
        <v>704.90000000000009</v>
      </c>
      <c r="CK12" s="212">
        <f t="shared" si="2"/>
        <v>704.90000000000009</v>
      </c>
      <c r="CL12" s="206">
        <f t="shared" si="2"/>
        <v>1040.3</v>
      </c>
      <c r="CM12" s="206">
        <f t="shared" si="2"/>
        <v>703.00567629401712</v>
      </c>
      <c r="CN12" s="206">
        <f t="shared" si="2"/>
        <v>774.74651178333329</v>
      </c>
      <c r="CO12" s="206">
        <f t="shared" si="2"/>
        <v>911.0592882383512</v>
      </c>
      <c r="CP12" s="212">
        <f t="shared" si="2"/>
        <v>911.0592882383512</v>
      </c>
      <c r="CQ12" s="212">
        <f t="shared" si="2"/>
        <v>795.99286740838124</v>
      </c>
      <c r="CR12" s="212">
        <f t="shared" si="2"/>
        <v>808.54610570985369</v>
      </c>
      <c r="CS12" s="212">
        <f t="shared" si="2"/>
        <v>875.25778668792361</v>
      </c>
    </row>
    <row r="13" spans="2:112" ht="12" customHeight="1">
      <c r="B13" s="361" t="s">
        <v>41</v>
      </c>
      <c r="C13" s="205">
        <f>'Data (2)'!C44</f>
        <v>331.47699999999998</v>
      </c>
      <c r="D13" s="205">
        <f>'Data (2)'!D44</f>
        <v>432.57299999999998</v>
      </c>
      <c r="E13" s="205">
        <f>'Data (2)'!E44</f>
        <v>392.1</v>
      </c>
      <c r="F13" s="205">
        <f>'Data (2)'!F44</f>
        <v>359.7</v>
      </c>
      <c r="G13" s="205">
        <f>'Data (2)'!G44</f>
        <v>329.2</v>
      </c>
      <c r="H13" s="205">
        <f>'Data (2)'!H44</f>
        <v>309.39999999999998</v>
      </c>
      <c r="I13" s="205">
        <f>'Data (2)'!I44</f>
        <v>293.89999999999998</v>
      </c>
      <c r="J13" s="197">
        <f>'Data (2)'!J44</f>
        <v>282.10000000000002</v>
      </c>
      <c r="K13" s="197">
        <f>'Data (2)'!K44</f>
        <v>273.3</v>
      </c>
      <c r="L13" s="197">
        <f>'Data (2)'!L44</f>
        <v>272</v>
      </c>
      <c r="M13" s="197">
        <f>'Data (2)'!M44</f>
        <v>286.60000000000002</v>
      </c>
      <c r="N13" s="205">
        <f t="shared" ref="N13:N18" si="3">M13</f>
        <v>286.60000000000002</v>
      </c>
      <c r="O13" s="197">
        <f>'Data (2)'!O44</f>
        <v>273</v>
      </c>
      <c r="P13" s="197">
        <f>'Data (2)'!P44</f>
        <v>264.10000000000002</v>
      </c>
      <c r="Q13" s="197">
        <f>'Data (2)'!Q44</f>
        <v>267.7</v>
      </c>
      <c r="R13" s="197">
        <f>'Data (2)'!R44</f>
        <v>285.2</v>
      </c>
      <c r="S13" s="205">
        <f t="shared" ref="S13:S18" si="4">R13</f>
        <v>285.2</v>
      </c>
      <c r="T13" s="197">
        <f>'Data (2)'!T44</f>
        <v>297.39999999999998</v>
      </c>
      <c r="U13" s="197">
        <f>'Data (2)'!U44</f>
        <v>316.2</v>
      </c>
      <c r="V13" s="197">
        <f>'Data (2)'!V44</f>
        <v>340.6</v>
      </c>
      <c r="W13" s="197">
        <f>'Data (2)'!W44</f>
        <v>370.4</v>
      </c>
      <c r="X13" s="205">
        <f t="shared" ref="X13:X18" si="5">W13</f>
        <v>370.4</v>
      </c>
      <c r="Y13" s="197">
        <f>'Data (2)'!Y44</f>
        <v>376.8</v>
      </c>
      <c r="Z13" s="197">
        <f>'Data (2)'!Z44</f>
        <v>378.8</v>
      </c>
      <c r="AA13" s="197">
        <f>'Data (2)'!AA44</f>
        <v>399.8</v>
      </c>
      <c r="AB13" s="197">
        <f>'Data (2)'!AB44</f>
        <v>443.1</v>
      </c>
      <c r="AC13" s="205">
        <f t="shared" ref="AC13:AC18" si="6">AB13</f>
        <v>443.1</v>
      </c>
      <c r="AD13" s="197">
        <f>'Data (2)'!AD44</f>
        <v>486.6</v>
      </c>
      <c r="AE13" s="197">
        <f>'Data (2)'!AE44</f>
        <v>517.6</v>
      </c>
      <c r="AF13" s="197">
        <f>'Data (2)'!AF44</f>
        <v>522.6</v>
      </c>
      <c r="AG13" s="197">
        <f>'Data (2)'!AG44</f>
        <v>552.29999999999995</v>
      </c>
      <c r="AH13" s="205">
        <f t="shared" ref="AH13:AH18" si="7">AG13</f>
        <v>552.29999999999995</v>
      </c>
      <c r="AI13" s="197">
        <f>'Data (2)'!AI44</f>
        <v>562.6</v>
      </c>
      <c r="AJ13" s="197">
        <f>'Data (2)'!AJ44</f>
        <v>584.70000000000005</v>
      </c>
      <c r="AK13" s="197">
        <f>'Data (2)'!AK44</f>
        <v>597.29999999999995</v>
      </c>
      <c r="AL13" s="197">
        <f>'Data (2)'!AL44</f>
        <v>602.1</v>
      </c>
      <c r="AM13" s="205">
        <f t="shared" ref="AM13:AM18" si="8">AL13</f>
        <v>602.1</v>
      </c>
      <c r="AN13" s="197">
        <f>'Data (2)'!AN44</f>
        <v>586.6</v>
      </c>
      <c r="AO13" s="197">
        <f>'Data (2)'!AO44</f>
        <v>568.5</v>
      </c>
      <c r="AP13" s="197">
        <f>'Data (2)'!AP44</f>
        <v>579.9</v>
      </c>
      <c r="AQ13" s="197">
        <f>'Data (2)'!AQ44</f>
        <v>598.29999999999995</v>
      </c>
      <c r="AR13" s="205">
        <f t="shared" ref="AR13:AR18" si="9">AQ13</f>
        <v>598.29999999999995</v>
      </c>
      <c r="AS13" s="197">
        <f>'Data (2)'!AS44</f>
        <v>618.79999999999995</v>
      </c>
      <c r="AT13" s="197">
        <f>'Data (2)'!AT44</f>
        <v>637.4</v>
      </c>
      <c r="AU13" s="197">
        <f>'Data (2)'!AU44</f>
        <v>664</v>
      </c>
      <c r="AV13" s="197">
        <f>'Data (2)'!AV44</f>
        <v>722.1</v>
      </c>
      <c r="AW13" s="205">
        <f t="shared" ref="AW13:AW18" si="10">AV13</f>
        <v>722.1</v>
      </c>
      <c r="AX13" s="197">
        <f>'Data (2)'!AX44</f>
        <v>760.39999999999986</v>
      </c>
      <c r="AY13" s="197">
        <f>'Data (2)'!AY44</f>
        <v>808.5</v>
      </c>
      <c r="AZ13" s="197">
        <f>'Data (2)'!AZ44</f>
        <v>858.2</v>
      </c>
      <c r="BA13" s="197">
        <f>'Data (2)'!BA44</f>
        <v>914.4</v>
      </c>
      <c r="BB13" s="205">
        <f t="shared" ref="BB13:BB18" si="11">BA13</f>
        <v>914.4</v>
      </c>
      <c r="BC13" s="197">
        <f>'Data (2)'!BC44</f>
        <v>930.9</v>
      </c>
      <c r="BD13" s="197">
        <f>'Data (2)'!BD44</f>
        <v>960.8</v>
      </c>
      <c r="BE13" s="197">
        <f>'Data (2)'!BE44</f>
        <v>995.3</v>
      </c>
      <c r="BF13" s="197">
        <f>'Data (2)'!BF44</f>
        <v>1067.4000000000001</v>
      </c>
      <c r="BG13" s="205">
        <f t="shared" ref="BG13:BG18" si="12">BF13</f>
        <v>1067.4000000000001</v>
      </c>
      <c r="BH13" s="197">
        <f>'Data (2)'!BH44</f>
        <v>1091.3</v>
      </c>
      <c r="BI13" s="197">
        <f>'Data (2)'!BI44</f>
        <v>1139.8999999999999</v>
      </c>
      <c r="BJ13" s="197">
        <f>'Data (2)'!BJ44</f>
        <v>1177.8</v>
      </c>
      <c r="BK13" s="197">
        <f>'Data (2)'!BK44</f>
        <v>1238.2</v>
      </c>
      <c r="BL13" s="205">
        <f t="shared" ref="BL13:BL18" si="13">BK13</f>
        <v>1238.2</v>
      </c>
      <c r="BM13" s="197">
        <f>'Data (2)'!BM44</f>
        <v>1261.2</v>
      </c>
      <c r="BN13" s="197">
        <f>'Data (2)'!BN44</f>
        <v>1327.7</v>
      </c>
      <c r="BO13" s="197">
        <f>'Data (2)'!BO44</f>
        <v>1393.2</v>
      </c>
      <c r="BP13" s="197">
        <f>'Data (2)'!BP44</f>
        <v>1425.6</v>
      </c>
      <c r="BQ13" s="205">
        <f t="shared" ref="BQ13:BQ18" si="14">BP13</f>
        <v>1425.6</v>
      </c>
      <c r="BR13" s="197">
        <f>'Data (2)'!BR44</f>
        <v>1491.7</v>
      </c>
      <c r="BS13" s="197">
        <f>'Data (2)'!BS44</f>
        <v>1522.9</v>
      </c>
      <c r="BT13" s="197">
        <f>'Data (2)'!BT44</f>
        <v>1589.7</v>
      </c>
      <c r="BU13" s="197">
        <f>'Data (2)'!BU44</f>
        <v>1625.6</v>
      </c>
      <c r="BV13" s="205">
        <f t="shared" ref="BV13:BV18" si="15">BU13</f>
        <v>1625.6</v>
      </c>
      <c r="BW13" s="197">
        <f>'Data (2)'!BW44</f>
        <v>1700.7</v>
      </c>
      <c r="BX13" s="197">
        <f>'Data (2)'!BX44</f>
        <v>1785.5</v>
      </c>
      <c r="BY13" s="197">
        <f>'Data (2)'!BY44</f>
        <v>1825.5000000000002</v>
      </c>
      <c r="BZ13" s="197">
        <f>'Data (2)'!BZ44</f>
        <v>1866.3</v>
      </c>
      <c r="CA13" s="205">
        <f t="shared" ref="CA13:CA18" si="16">BZ13</f>
        <v>1866.3</v>
      </c>
      <c r="CB13" s="197">
        <f>'Data (2)'!CB44</f>
        <v>1902.1</v>
      </c>
      <c r="CC13" s="197">
        <f>'Data (2)'!CC44</f>
        <v>1879.6</v>
      </c>
      <c r="CD13" s="197">
        <f>'Data (2)'!CD44</f>
        <v>1894.2000000000003</v>
      </c>
      <c r="CE13" s="197">
        <f>'Data (2)'!CE44</f>
        <v>1876.5</v>
      </c>
      <c r="CF13" s="205">
        <f t="shared" ref="CF13:CF18" si="17">CE13</f>
        <v>1876.5</v>
      </c>
      <c r="CG13" s="197">
        <f>'Data (2)'!CG44</f>
        <v>1902.7</v>
      </c>
      <c r="CH13" s="197">
        <f>'Data (2)'!CH44</f>
        <v>1921.9</v>
      </c>
      <c r="CI13" s="197">
        <f>'Data (2)'!CI44</f>
        <v>1923.7</v>
      </c>
      <c r="CJ13" s="197">
        <f>'Data (2)'!CJ44</f>
        <v>1942.8</v>
      </c>
      <c r="CK13" s="205">
        <f t="shared" ref="CK13:CK18" si="18">CJ13</f>
        <v>1942.8</v>
      </c>
      <c r="CL13" s="197">
        <f>'Data (2)'!CL44</f>
        <v>1915.5</v>
      </c>
      <c r="CM13" s="213">
        <f>CL13-'Cash Flow'!CM27-'Cash Flow'!CM10</f>
        <v>1889.5</v>
      </c>
      <c r="CN13" s="213">
        <f>CM13-'Cash Flow'!CN27-'Cash Flow'!CN10</f>
        <v>1862.5</v>
      </c>
      <c r="CO13" s="213">
        <f>CN13-'Cash Flow'!CO27-'Cash Flow'!CO10</f>
        <v>1838.5</v>
      </c>
      <c r="CP13" s="205">
        <f t="shared" ref="CP13:CP18" si="19">CO13</f>
        <v>1838.5</v>
      </c>
      <c r="CQ13" s="214">
        <f>CP13-'Cash Flow'!CQ27-'Cash Flow'!CQ10</f>
        <v>1783.5</v>
      </c>
      <c r="CR13" s="214">
        <f>CQ13-'Cash Flow'!CR27-'Cash Flow'!CR10</f>
        <v>1743.5</v>
      </c>
      <c r="CS13" s="214">
        <f>CR13-'Cash Flow'!CS27-'Cash Flow'!CS10</f>
        <v>1738.5</v>
      </c>
    </row>
    <row r="14" spans="2:112" ht="12" customHeight="1">
      <c r="B14" s="361" t="s">
        <v>42</v>
      </c>
      <c r="C14" s="205">
        <f>'Data (2)'!C45</f>
        <v>93.058999999999997</v>
      </c>
      <c r="D14" s="205">
        <f>'Data (2)'!D45</f>
        <v>425.40499999999997</v>
      </c>
      <c r="E14" s="205">
        <f>'Data (2)'!E45</f>
        <v>411.2</v>
      </c>
      <c r="F14" s="205">
        <f>'Data (2)'!F45</f>
        <v>391.7</v>
      </c>
      <c r="G14" s="205">
        <f>'Data (2)'!G45</f>
        <v>72.400000000000006</v>
      </c>
      <c r="H14" s="205">
        <f>'Data (2)'!H45</f>
        <v>74.400000000000006</v>
      </c>
      <c r="I14" s="205">
        <f>'Data (2)'!I45</f>
        <v>76.900000000000006</v>
      </c>
      <c r="J14" s="197">
        <f>'Data (2)'!J45</f>
        <v>76.400000000000006</v>
      </c>
      <c r="K14" s="197">
        <f>'Data (2)'!K45</f>
        <v>76.3</v>
      </c>
      <c r="L14" s="197">
        <f>'Data (2)'!L45</f>
        <v>76.7</v>
      </c>
      <c r="M14" s="197">
        <f>'Data (2)'!M45</f>
        <v>78.3</v>
      </c>
      <c r="N14" s="205">
        <f t="shared" si="3"/>
        <v>78.3</v>
      </c>
      <c r="O14" s="197">
        <f>'Data (2)'!O45</f>
        <v>76.599999999999994</v>
      </c>
      <c r="P14" s="197">
        <f>'Data (2)'!P45</f>
        <v>75.7</v>
      </c>
      <c r="Q14" s="197">
        <f>'Data (2)'!Q45</f>
        <v>75.5</v>
      </c>
      <c r="R14" s="197">
        <f>'Data (2)'!R45</f>
        <v>74.7</v>
      </c>
      <c r="S14" s="205">
        <f t="shared" si="4"/>
        <v>74.7</v>
      </c>
      <c r="T14" s="197">
        <f>'Data (2)'!T45</f>
        <v>74.8</v>
      </c>
      <c r="U14" s="197">
        <f>'Data (2)'!U45</f>
        <v>75.3</v>
      </c>
      <c r="V14" s="197">
        <f>'Data (2)'!V45</f>
        <v>75.7</v>
      </c>
      <c r="W14" s="197">
        <f>'Data (2)'!W45</f>
        <v>75.900000000000006</v>
      </c>
      <c r="X14" s="205">
        <f t="shared" si="5"/>
        <v>75.900000000000006</v>
      </c>
      <c r="Y14" s="197">
        <f>'Data (2)'!Y45</f>
        <v>76</v>
      </c>
      <c r="Z14" s="197">
        <f>'Data (2)'!Z45</f>
        <v>58.9</v>
      </c>
      <c r="AA14" s="197">
        <f>'Data (2)'!AA45</f>
        <v>59.3</v>
      </c>
      <c r="AB14" s="197">
        <f>'Data (2)'!AB45</f>
        <v>56.8</v>
      </c>
      <c r="AC14" s="205">
        <f t="shared" si="6"/>
        <v>56.8</v>
      </c>
      <c r="AD14" s="197">
        <f>'Data (2)'!AD45</f>
        <v>57.1</v>
      </c>
      <c r="AE14" s="197">
        <f>'Data (2)'!AE45</f>
        <v>57.1</v>
      </c>
      <c r="AF14" s="197">
        <f>'Data (2)'!AF45</f>
        <v>55.9</v>
      </c>
      <c r="AG14" s="197">
        <f>'Data (2)'!AG45</f>
        <v>56</v>
      </c>
      <c r="AH14" s="205">
        <f t="shared" si="7"/>
        <v>56</v>
      </c>
      <c r="AI14" s="197">
        <f>'Data (2)'!AI45</f>
        <v>55.7</v>
      </c>
      <c r="AJ14" s="197">
        <f>'Data (2)'!AJ45</f>
        <v>56.9</v>
      </c>
      <c r="AK14" s="197">
        <f>'Data (2)'!AK45</f>
        <v>56.9</v>
      </c>
      <c r="AL14" s="197">
        <f>'Data (2)'!AL45</f>
        <v>56.7</v>
      </c>
      <c r="AM14" s="205">
        <f t="shared" si="8"/>
        <v>56.7</v>
      </c>
      <c r="AN14" s="197">
        <f>'Data (2)'!AN45</f>
        <v>56.1</v>
      </c>
      <c r="AO14" s="197">
        <f>'Data (2)'!AO45</f>
        <v>55.7</v>
      </c>
      <c r="AP14" s="197">
        <f>'Data (2)'!AP45</f>
        <v>56.5</v>
      </c>
      <c r="AQ14" s="197">
        <f>'Data (2)'!AQ45</f>
        <v>56.2</v>
      </c>
      <c r="AR14" s="205">
        <f t="shared" si="9"/>
        <v>56.2</v>
      </c>
      <c r="AS14" s="197">
        <f>'Data (2)'!AS45</f>
        <v>56.7</v>
      </c>
      <c r="AT14" s="197">
        <f>'Data (2)'!AT45</f>
        <v>56.8</v>
      </c>
      <c r="AU14" s="197">
        <f>'Data (2)'!AU45</f>
        <v>57.7</v>
      </c>
      <c r="AV14" s="197">
        <f>'Data (2)'!AV45</f>
        <v>57.4</v>
      </c>
      <c r="AW14" s="205">
        <f t="shared" si="10"/>
        <v>57.4</v>
      </c>
      <c r="AX14" s="197">
        <f>'Data (2)'!AX45</f>
        <v>57.7</v>
      </c>
      <c r="AY14" s="197">
        <f>'Data (2)'!AY45</f>
        <v>57.4</v>
      </c>
      <c r="AZ14" s="197">
        <f>'Data (2)'!AZ45</f>
        <v>57.7</v>
      </c>
      <c r="BA14" s="197">
        <f>'Data (2)'!BA45</f>
        <v>57.8</v>
      </c>
      <c r="BB14" s="205">
        <f t="shared" si="11"/>
        <v>57.8</v>
      </c>
      <c r="BC14" s="197">
        <f>'Data (2)'!BC45</f>
        <v>57.2</v>
      </c>
      <c r="BD14" s="197">
        <f>'Data (2)'!BD45</f>
        <v>57.4</v>
      </c>
      <c r="BE14" s="197">
        <f>'Data (2)'!BE45</f>
        <v>60.9</v>
      </c>
      <c r="BF14" s="197">
        <f>'Data (2)'!BF45</f>
        <v>61</v>
      </c>
      <c r="BG14" s="205">
        <f t="shared" si="12"/>
        <v>61</v>
      </c>
      <c r="BH14" s="197">
        <f>'Data (2)'!BH45</f>
        <v>61.1</v>
      </c>
      <c r="BI14" s="197">
        <f>'Data (2)'!BI45</f>
        <v>61.1</v>
      </c>
      <c r="BJ14" s="197">
        <f>'Data (2)'!BJ45</f>
        <v>60.4</v>
      </c>
      <c r="BK14" s="197">
        <f>'Data (2)'!BK45</f>
        <v>59.8</v>
      </c>
      <c r="BL14" s="205">
        <f t="shared" si="13"/>
        <v>59.8</v>
      </c>
      <c r="BM14" s="197">
        <f>'Data (2)'!BM45</f>
        <v>59.1</v>
      </c>
      <c r="BN14" s="197">
        <f>'Data (2)'!BN45</f>
        <v>59.5</v>
      </c>
      <c r="BO14" s="197">
        <f>'Data (2)'!BO45</f>
        <v>59.2</v>
      </c>
      <c r="BP14" s="197">
        <f>'Data (2)'!BP45</f>
        <v>58.9</v>
      </c>
      <c r="BQ14" s="205">
        <f t="shared" si="14"/>
        <v>58.9</v>
      </c>
      <c r="BR14" s="197">
        <f>'Data (2)'!BR45</f>
        <v>76.5</v>
      </c>
      <c r="BS14" s="197">
        <f>'Data (2)'!BS45</f>
        <v>74.8</v>
      </c>
      <c r="BT14" s="197">
        <f>'Data (2)'!BT45</f>
        <v>73.900000000000006</v>
      </c>
      <c r="BU14" s="197">
        <f>'Data (2)'!BU45</f>
        <v>72.2</v>
      </c>
      <c r="BV14" s="205">
        <f t="shared" si="15"/>
        <v>72.2</v>
      </c>
      <c r="BW14" s="197">
        <f>'Data (2)'!BW45</f>
        <v>72.599999999999994</v>
      </c>
      <c r="BX14" s="197">
        <f>'Data (2)'!BX45</f>
        <v>73.5</v>
      </c>
      <c r="BY14" s="197">
        <f>'Data (2)'!BY45</f>
        <v>74</v>
      </c>
      <c r="BZ14" s="197">
        <f>'Data (2)'!BZ45</f>
        <v>148.69999999999999</v>
      </c>
      <c r="CA14" s="205">
        <f t="shared" si="16"/>
        <v>148.69999999999999</v>
      </c>
      <c r="CB14" s="197">
        <f>'Data (2)'!CB45</f>
        <v>150.19999999999999</v>
      </c>
      <c r="CC14" s="197">
        <f>'Data (2)'!CC45</f>
        <v>145.30000000000001</v>
      </c>
      <c r="CD14" s="197">
        <f>'Data (2)'!CD45</f>
        <v>144.6</v>
      </c>
      <c r="CE14" s="197">
        <f>'Data (2)'!CE45</f>
        <v>142.30000000000001</v>
      </c>
      <c r="CF14" s="205">
        <f t="shared" si="17"/>
        <v>142.30000000000001</v>
      </c>
      <c r="CG14" s="197">
        <f>'Data (2)'!CG45</f>
        <v>286.2</v>
      </c>
      <c r="CH14" s="197">
        <f>'Data (2)'!CH45</f>
        <v>283.60000000000002</v>
      </c>
      <c r="CI14" s="197">
        <f>'Data (2)'!CI45</f>
        <v>279.39999999999998</v>
      </c>
      <c r="CJ14" s="197">
        <f>'Data (2)'!CJ45</f>
        <v>280.39999999999998</v>
      </c>
      <c r="CK14" s="205">
        <f t="shared" si="18"/>
        <v>280.39999999999998</v>
      </c>
      <c r="CL14" s="197">
        <f>'Data (2)'!CL45</f>
        <v>276.60000000000002</v>
      </c>
      <c r="CM14" s="222">
        <f t="shared" ref="CM14:CO17" si="20">CL14</f>
        <v>276.60000000000002</v>
      </c>
      <c r="CN14" s="222">
        <f t="shared" si="20"/>
        <v>276.60000000000002</v>
      </c>
      <c r="CO14" s="222">
        <f t="shared" si="20"/>
        <v>276.60000000000002</v>
      </c>
      <c r="CP14" s="205">
        <f t="shared" si="19"/>
        <v>276.60000000000002</v>
      </c>
      <c r="CQ14" s="223">
        <f t="shared" ref="CQ14:CS17" si="21">CP14</f>
        <v>276.60000000000002</v>
      </c>
      <c r="CR14" s="223">
        <f t="shared" si="21"/>
        <v>276.60000000000002</v>
      </c>
      <c r="CS14" s="223">
        <f t="shared" si="21"/>
        <v>276.60000000000002</v>
      </c>
    </row>
    <row r="15" spans="2:112" ht="5.0999999999999996" customHeight="1">
      <c r="B15" s="361" t="s">
        <v>43</v>
      </c>
      <c r="C15" s="205">
        <f>'Data (2)'!C46</f>
        <v>0</v>
      </c>
      <c r="D15" s="205">
        <f>'Data (2)'!D46</f>
        <v>107.157</v>
      </c>
      <c r="E15" s="205">
        <f>'Data (2)'!E46</f>
        <v>130.80000000000001</v>
      </c>
      <c r="F15" s="205">
        <f>'Data (2)'!F46</f>
        <v>134</v>
      </c>
      <c r="G15" s="205">
        <f>'Data (2)'!G46</f>
        <v>56.9</v>
      </c>
      <c r="H15" s="205">
        <f>'Data (2)'!H46</f>
        <v>34</v>
      </c>
      <c r="I15" s="205">
        <f>'Data (2)'!I46</f>
        <v>7.4</v>
      </c>
      <c r="J15" s="197">
        <f>'Data (2)'!J46</f>
        <v>7.7</v>
      </c>
      <c r="K15" s="197">
        <f>'Data (2)'!K46</f>
        <v>6.7</v>
      </c>
      <c r="L15" s="197">
        <f>'Data (2)'!L46</f>
        <v>6.7</v>
      </c>
      <c r="M15" s="197">
        <f>'Data (2)'!M46</f>
        <v>5.5</v>
      </c>
      <c r="N15" s="205">
        <f t="shared" si="3"/>
        <v>5.5</v>
      </c>
      <c r="O15" s="197">
        <f>'Data (2)'!O46</f>
        <v>14.1</v>
      </c>
      <c r="P15" s="197">
        <f>'Data (2)'!P46</f>
        <v>14</v>
      </c>
      <c r="Q15" s="197">
        <f>'Data (2)'!Q46</f>
        <v>14.3</v>
      </c>
      <c r="R15" s="197">
        <f>'Data (2)'!R46</f>
        <v>14.3</v>
      </c>
      <c r="S15" s="205">
        <f t="shared" si="4"/>
        <v>14.3</v>
      </c>
      <c r="T15" s="197">
        <f>'Data (2)'!T46</f>
        <v>14.7</v>
      </c>
      <c r="U15" s="197">
        <f>'Data (2)'!U46</f>
        <v>15.5</v>
      </c>
      <c r="V15" s="197">
        <f>'Data (2)'!V46</f>
        <v>16.5</v>
      </c>
      <c r="W15" s="197">
        <f>'Data (2)'!W46</f>
        <v>11.1</v>
      </c>
      <c r="X15" s="205">
        <f t="shared" si="5"/>
        <v>11.1</v>
      </c>
      <c r="Y15" s="197">
        <f>'Data (2)'!Y46</f>
        <v>14.2</v>
      </c>
      <c r="Z15" s="197">
        <f>'Data (2)'!Z46</f>
        <v>15.7</v>
      </c>
      <c r="AA15" s="197">
        <f>'Data (2)'!AA46</f>
        <v>16.600000000000001</v>
      </c>
      <c r="AB15" s="197">
        <f>'Data (2)'!AB46</f>
        <v>17.5</v>
      </c>
      <c r="AC15" s="205">
        <f t="shared" si="6"/>
        <v>17.5</v>
      </c>
      <c r="AD15" s="197">
        <f>'Data (2)'!AD46</f>
        <v>18.8</v>
      </c>
      <c r="AE15" s="197">
        <f>'Data (2)'!AE46</f>
        <v>20</v>
      </c>
      <c r="AF15" s="197">
        <f>'Data (2)'!AF46</f>
        <v>10.199999999999999</v>
      </c>
      <c r="AG15" s="197">
        <f>'Data (2)'!AG46</f>
        <v>10.6</v>
      </c>
      <c r="AH15" s="205">
        <f t="shared" si="7"/>
        <v>10.6</v>
      </c>
      <c r="AI15" s="197">
        <f>'Data (2)'!AI46</f>
        <v>10.6</v>
      </c>
      <c r="AJ15" s="197">
        <f>'Data (2)'!AJ46</f>
        <v>10.8</v>
      </c>
      <c r="AK15" s="197">
        <f>'Data (2)'!AK46</f>
        <v>17.2</v>
      </c>
      <c r="AL15" s="197">
        <f>'Data (2)'!AL46</f>
        <v>17.7</v>
      </c>
      <c r="AM15" s="205">
        <f t="shared" si="8"/>
        <v>17.7</v>
      </c>
      <c r="AN15" s="197">
        <f>'Data (2)'!AN46</f>
        <v>17.8</v>
      </c>
      <c r="AO15" s="197">
        <f>'Data (2)'!AO46</f>
        <v>19.100000000000001</v>
      </c>
      <c r="AP15" s="197">
        <f>'Data (2)'!AP46</f>
        <v>19.3</v>
      </c>
      <c r="AQ15" s="197">
        <f>'Data (2)'!AQ46</f>
        <v>19.899999999999999</v>
      </c>
      <c r="AR15" s="205">
        <f t="shared" si="9"/>
        <v>19.899999999999999</v>
      </c>
      <c r="AS15" s="197">
        <f>'Data (2)'!AS46</f>
        <v>20.7</v>
      </c>
      <c r="AT15" s="197">
        <f>'Data (2)'!AT46</f>
        <v>21.6</v>
      </c>
      <c r="AU15" s="197">
        <f>'Data (2)'!AU46</f>
        <v>21.9</v>
      </c>
      <c r="AV15" s="197">
        <f>'Data (2)'!AV46</f>
        <v>21.7</v>
      </c>
      <c r="AW15" s="205">
        <f t="shared" si="10"/>
        <v>21.7</v>
      </c>
      <c r="AX15" s="197">
        <f>'Data (2)'!AX46</f>
        <v>22.4</v>
      </c>
      <c r="AY15" s="197">
        <f>'Data (2)'!AY46</f>
        <v>22.8</v>
      </c>
      <c r="AZ15" s="197">
        <f>'Data (2)'!AZ46</f>
        <v>21.9</v>
      </c>
      <c r="BA15" s="197">
        <f>'Data (2)'!BA46</f>
        <v>22.6</v>
      </c>
      <c r="BB15" s="205">
        <f t="shared" si="11"/>
        <v>22.6</v>
      </c>
      <c r="BC15" s="197">
        <f>'Data (2)'!BC46</f>
        <v>22.6</v>
      </c>
      <c r="BD15" s="197">
        <f>'Data (2)'!BD46</f>
        <v>23.3</v>
      </c>
      <c r="BE15" s="197">
        <f>'Data (2)'!BE46</f>
        <v>22.3</v>
      </c>
      <c r="BF15" s="197">
        <f>'Data (2)'!BF46</f>
        <v>23.3</v>
      </c>
      <c r="BG15" s="205">
        <f t="shared" si="12"/>
        <v>23.3</v>
      </c>
      <c r="BH15" s="197">
        <f>'Data (2)'!BH46</f>
        <v>22.1</v>
      </c>
      <c r="BI15" s="197">
        <f>'Data (2)'!BI46</f>
        <v>23.2</v>
      </c>
      <c r="BJ15" s="197">
        <f>'Data (2)'!BJ46</f>
        <v>24.3</v>
      </c>
      <c r="BK15" s="197">
        <f>'Data (2)'!BK46</f>
        <v>34.200000000000003</v>
      </c>
      <c r="BL15" s="205">
        <f t="shared" si="13"/>
        <v>34.200000000000003</v>
      </c>
      <c r="BM15" s="197">
        <f>'Data (2)'!BM46</f>
        <v>32</v>
      </c>
      <c r="BN15" s="197">
        <f>'Data (2)'!BN46</f>
        <v>33.9</v>
      </c>
      <c r="BO15" s="197">
        <f>'Data (2)'!BO46</f>
        <v>33.1</v>
      </c>
      <c r="BP15" s="197">
        <f>'Data (2)'!BP46</f>
        <v>30.4</v>
      </c>
      <c r="BQ15" s="205">
        <f t="shared" si="14"/>
        <v>30.4</v>
      </c>
      <c r="BR15" s="197">
        <f>'Data (2)'!BR46</f>
        <v>20.9</v>
      </c>
      <c r="BS15" s="197">
        <f>'Data (2)'!BS46</f>
        <v>48.4</v>
      </c>
      <c r="BT15" s="197">
        <f>'Data (2)'!BT46</f>
        <v>48.3</v>
      </c>
      <c r="BU15" s="197">
        <f>'Data (2)'!BU46</f>
        <v>53.1</v>
      </c>
      <c r="BV15" s="205">
        <f t="shared" si="15"/>
        <v>53.1</v>
      </c>
      <c r="BW15" s="197">
        <f>'Data (2)'!BW46</f>
        <v>62.8</v>
      </c>
      <c r="BX15" s="197">
        <f>'Data (2)'!BX46</f>
        <v>63.9</v>
      </c>
      <c r="BY15" s="197">
        <f>'Data (2)'!BY46</f>
        <v>67.099999999999994</v>
      </c>
      <c r="BZ15" s="197">
        <f>'Data (2)'!BZ46</f>
        <v>47.7</v>
      </c>
      <c r="CA15" s="205">
        <f t="shared" si="16"/>
        <v>47.7</v>
      </c>
      <c r="CB15" s="197">
        <f>'Data (2)'!CB46</f>
        <v>51</v>
      </c>
      <c r="CC15" s="197">
        <f>'Data (2)'!CC46</f>
        <v>44.6</v>
      </c>
      <c r="CD15" s="197">
        <f>'Data (2)'!CD46</f>
        <v>45.9</v>
      </c>
      <c r="CE15" s="197">
        <f>'Data (2)'!CE46</f>
        <v>48.7</v>
      </c>
      <c r="CF15" s="205">
        <f t="shared" si="17"/>
        <v>48.7</v>
      </c>
      <c r="CG15" s="197">
        <f>'Data (2)'!CG46</f>
        <v>50.9</v>
      </c>
      <c r="CH15" s="197">
        <f>'Data (2)'!CH46</f>
        <v>51.8</v>
      </c>
      <c r="CI15" s="197">
        <f>'Data (2)'!CI46</f>
        <v>45.8</v>
      </c>
      <c r="CJ15" s="197">
        <f>'Data (2)'!CJ46</f>
        <v>46.5</v>
      </c>
      <c r="CK15" s="205">
        <f t="shared" si="18"/>
        <v>46.5</v>
      </c>
      <c r="CL15" s="197">
        <f>'Data (2)'!CL46</f>
        <v>47.9</v>
      </c>
      <c r="CM15" s="222">
        <f t="shared" si="20"/>
        <v>47.9</v>
      </c>
      <c r="CN15" s="222">
        <f t="shared" si="20"/>
        <v>47.9</v>
      </c>
      <c r="CO15" s="222">
        <f t="shared" si="20"/>
        <v>47.9</v>
      </c>
      <c r="CP15" s="205">
        <f t="shared" si="19"/>
        <v>47.9</v>
      </c>
      <c r="CQ15" s="223">
        <f t="shared" si="21"/>
        <v>47.9</v>
      </c>
      <c r="CR15" s="223">
        <f t="shared" si="21"/>
        <v>47.9</v>
      </c>
      <c r="CS15" s="223">
        <f t="shared" si="21"/>
        <v>47.9</v>
      </c>
    </row>
    <row r="16" spans="2:112" ht="12" customHeight="1">
      <c r="B16" s="361" t="s">
        <v>44</v>
      </c>
      <c r="C16" s="205">
        <f>'Data (2)'!C47</f>
        <v>0</v>
      </c>
      <c r="D16" s="205">
        <f>'Data (2)'!D47</f>
        <v>0</v>
      </c>
      <c r="E16" s="205">
        <f>'Data (2)'!E47</f>
        <v>0</v>
      </c>
      <c r="F16" s="205">
        <f>'Data (2)'!F47</f>
        <v>0</v>
      </c>
      <c r="G16" s="205">
        <f>'Data (2)'!G47</f>
        <v>42.7</v>
      </c>
      <c r="H16" s="205">
        <f>'Data (2)'!H47</f>
        <v>42</v>
      </c>
      <c r="I16" s="205">
        <f>'Data (2)'!I47</f>
        <v>39.9</v>
      </c>
      <c r="J16" s="197">
        <f>'Data (2)'!J47</f>
        <v>39.200000000000003</v>
      </c>
      <c r="K16" s="197">
        <f>'Data (2)'!K47</f>
        <v>35.799999999999997</v>
      </c>
      <c r="L16" s="197">
        <f>'Data (2)'!L47</f>
        <v>34.700000000000003</v>
      </c>
      <c r="M16" s="197">
        <f>'Data (2)'!M47</f>
        <v>33.1</v>
      </c>
      <c r="N16" s="205">
        <f t="shared" si="3"/>
        <v>33.1</v>
      </c>
      <c r="O16" s="197">
        <f>'Data (2)'!O47</f>
        <v>33.700000000000003</v>
      </c>
      <c r="P16" s="197">
        <f>'Data (2)'!P47</f>
        <v>36.299999999999997</v>
      </c>
      <c r="Q16" s="197">
        <f>'Data (2)'!Q47</f>
        <v>34.9</v>
      </c>
      <c r="R16" s="197">
        <f>'Data (2)'!R47</f>
        <v>107.8</v>
      </c>
      <c r="S16" s="205">
        <f t="shared" si="4"/>
        <v>107.8</v>
      </c>
      <c r="T16" s="197">
        <f>'Data (2)'!T47</f>
        <v>111.6</v>
      </c>
      <c r="U16" s="197">
        <f>'Data (2)'!U47</f>
        <v>111.2</v>
      </c>
      <c r="V16" s="197">
        <f>'Data (2)'!V47</f>
        <v>110.2</v>
      </c>
      <c r="W16" s="197">
        <f>'Data (2)'!W47</f>
        <v>101.5</v>
      </c>
      <c r="X16" s="205">
        <f t="shared" si="5"/>
        <v>101.5</v>
      </c>
      <c r="Y16" s="197">
        <f>'Data (2)'!Y47</f>
        <v>103.1</v>
      </c>
      <c r="Z16" s="197">
        <f>'Data (2)'!Z47</f>
        <v>96.4</v>
      </c>
      <c r="AA16" s="197">
        <f>'Data (2)'!AA47</f>
        <v>94.1</v>
      </c>
      <c r="AB16" s="197">
        <f>'Data (2)'!AB47</f>
        <v>88.7</v>
      </c>
      <c r="AC16" s="205">
        <f t="shared" si="6"/>
        <v>88.7</v>
      </c>
      <c r="AD16" s="197">
        <f>'Data (2)'!AD47</f>
        <v>87.9</v>
      </c>
      <c r="AE16" s="197">
        <f>'Data (2)'!AE47</f>
        <v>83</v>
      </c>
      <c r="AF16" s="197">
        <f>'Data (2)'!AF47</f>
        <v>75.5</v>
      </c>
      <c r="AG16" s="197">
        <f>'Data (2)'!AG47</f>
        <v>88.3</v>
      </c>
      <c r="AH16" s="205">
        <f t="shared" si="7"/>
        <v>88.3</v>
      </c>
      <c r="AI16" s="197">
        <f>'Data (2)'!AI47</f>
        <v>81.5</v>
      </c>
      <c r="AJ16" s="197">
        <f>'Data (2)'!AJ47</f>
        <v>80</v>
      </c>
      <c r="AK16" s="197">
        <f>'Data (2)'!AK47</f>
        <v>80.3</v>
      </c>
      <c r="AL16" s="197">
        <f>'Data (2)'!AL47</f>
        <v>85.6</v>
      </c>
      <c r="AM16" s="205">
        <f t="shared" si="8"/>
        <v>85.6</v>
      </c>
      <c r="AN16" s="197">
        <f>'Data (2)'!AN47</f>
        <v>86.1</v>
      </c>
      <c r="AO16" s="197">
        <f>'Data (2)'!AO47</f>
        <v>78.599999999999994</v>
      </c>
      <c r="AP16" s="197">
        <f>'Data (2)'!AP47</f>
        <v>73.099999999999994</v>
      </c>
      <c r="AQ16" s="197">
        <f>'Data (2)'!AQ47</f>
        <v>63.6</v>
      </c>
      <c r="AR16" s="205">
        <f t="shared" si="9"/>
        <v>63.6</v>
      </c>
      <c r="AS16" s="197">
        <f>'Data (2)'!AS47</f>
        <v>55.1</v>
      </c>
      <c r="AT16" s="197">
        <f>'Data (2)'!AT47</f>
        <v>62.9</v>
      </c>
      <c r="AU16" s="197">
        <f>'Data (2)'!AU47</f>
        <v>29.9</v>
      </c>
      <c r="AV16" s="197">
        <f>'Data (2)'!AV47</f>
        <v>33</v>
      </c>
      <c r="AW16" s="205">
        <f t="shared" si="10"/>
        <v>33</v>
      </c>
      <c r="AX16" s="197">
        <f>'Data (2)'!AX47</f>
        <v>26.1</v>
      </c>
      <c r="AY16" s="197">
        <f>'Data (2)'!AY47</f>
        <v>22.1</v>
      </c>
      <c r="AZ16" s="197">
        <f>'Data (2)'!AZ47</f>
        <v>28</v>
      </c>
      <c r="BA16" s="197">
        <f>'Data (2)'!BA47</f>
        <v>15.4</v>
      </c>
      <c r="BB16" s="205">
        <f t="shared" si="11"/>
        <v>15.4</v>
      </c>
      <c r="BC16" s="197">
        <f>'Data (2)'!BC47</f>
        <v>14.4</v>
      </c>
      <c r="BD16" s="197">
        <f>'Data (2)'!BD47</f>
        <v>13.9</v>
      </c>
      <c r="BE16" s="197">
        <f>'Data (2)'!BE47</f>
        <v>14</v>
      </c>
      <c r="BF16" s="197">
        <f>'Data (2)'!BF47</f>
        <v>10.3</v>
      </c>
      <c r="BG16" s="205">
        <f t="shared" si="12"/>
        <v>10.3</v>
      </c>
      <c r="BH16" s="197">
        <f>'Data (2)'!BH47</f>
        <v>10</v>
      </c>
      <c r="BI16" s="197">
        <f>'Data (2)'!BI47</f>
        <v>0</v>
      </c>
      <c r="BJ16" s="197">
        <f>'Data (2)'!BJ47</f>
        <v>0</v>
      </c>
      <c r="BK16" s="197">
        <f>'Data (2)'!BK47</f>
        <v>0</v>
      </c>
      <c r="BL16" s="205">
        <f t="shared" si="13"/>
        <v>0</v>
      </c>
      <c r="BM16" s="197">
        <f>'Data (2)'!BM47</f>
        <v>0</v>
      </c>
      <c r="BN16" s="197">
        <f>'Data (2)'!BN47</f>
        <v>0</v>
      </c>
      <c r="BO16" s="197">
        <f>'Data (2)'!BO47</f>
        <v>0</v>
      </c>
      <c r="BP16" s="197">
        <f>'Data (2)'!BP47</f>
        <v>0</v>
      </c>
      <c r="BQ16" s="205">
        <f t="shared" si="14"/>
        <v>0</v>
      </c>
      <c r="BR16" s="197">
        <f>'Data (2)'!BR47</f>
        <v>0</v>
      </c>
      <c r="BS16" s="197">
        <f>'Data (2)'!BS47</f>
        <v>0</v>
      </c>
      <c r="BT16" s="197">
        <f>'Data (2)'!BT47</f>
        <v>0</v>
      </c>
      <c r="BU16" s="197">
        <f>'Data (2)'!BU47</f>
        <v>0</v>
      </c>
      <c r="BV16" s="205">
        <f t="shared" si="15"/>
        <v>0</v>
      </c>
      <c r="BW16" s="197">
        <f>'Data (2)'!BW47</f>
        <v>0</v>
      </c>
      <c r="BX16" s="197">
        <f>'Data (2)'!BX47</f>
        <v>0</v>
      </c>
      <c r="BY16" s="197">
        <f>'Data (2)'!BY47</f>
        <v>0</v>
      </c>
      <c r="BZ16" s="197">
        <f>'Data (2)'!BZ47</f>
        <v>0</v>
      </c>
      <c r="CA16" s="205">
        <f t="shared" si="16"/>
        <v>0</v>
      </c>
      <c r="CB16" s="197">
        <f>'Data (2)'!CB47</f>
        <v>0</v>
      </c>
      <c r="CC16" s="197">
        <f>'Data (2)'!CC47</f>
        <v>0</v>
      </c>
      <c r="CD16" s="197">
        <f>'Data (2)'!CD47</f>
        <v>0</v>
      </c>
      <c r="CE16" s="197">
        <f>'Data (2)'!CE47</f>
        <v>0</v>
      </c>
      <c r="CF16" s="205">
        <f t="shared" si="17"/>
        <v>0</v>
      </c>
      <c r="CG16" s="197">
        <f>'Data (2)'!CG47</f>
        <v>0</v>
      </c>
      <c r="CH16" s="197">
        <f>'Data (2)'!CH47</f>
        <v>0</v>
      </c>
      <c r="CI16" s="197">
        <f>'Data (2)'!CI47</f>
        <v>0</v>
      </c>
      <c r="CJ16" s="197">
        <f>'Data (2)'!CJ47</f>
        <v>0</v>
      </c>
      <c r="CK16" s="205">
        <f t="shared" si="18"/>
        <v>0</v>
      </c>
      <c r="CL16" s="197">
        <f>'Data (2)'!CL47</f>
        <v>0</v>
      </c>
      <c r="CM16" s="222">
        <f t="shared" si="20"/>
        <v>0</v>
      </c>
      <c r="CN16" s="222">
        <f t="shared" si="20"/>
        <v>0</v>
      </c>
      <c r="CO16" s="222">
        <f t="shared" si="20"/>
        <v>0</v>
      </c>
      <c r="CP16" s="205">
        <f t="shared" si="19"/>
        <v>0</v>
      </c>
      <c r="CQ16" s="223">
        <f t="shared" si="21"/>
        <v>0</v>
      </c>
      <c r="CR16" s="223">
        <f t="shared" si="21"/>
        <v>0</v>
      </c>
      <c r="CS16" s="223">
        <f t="shared" si="21"/>
        <v>0</v>
      </c>
    </row>
    <row r="17" spans="2:99" ht="12" customHeight="1">
      <c r="B17" s="361" t="s">
        <v>45</v>
      </c>
      <c r="C17" s="205">
        <f>'Data (2)'!C48</f>
        <v>0</v>
      </c>
      <c r="D17" s="205">
        <f>'Data (2)'!D48</f>
        <v>0</v>
      </c>
      <c r="E17" s="205">
        <f>'Data (2)'!E48</f>
        <v>0</v>
      </c>
      <c r="F17" s="205">
        <f>'Data (2)'!F48</f>
        <v>0</v>
      </c>
      <c r="G17" s="205">
        <f>'Data (2)'!G48</f>
        <v>0</v>
      </c>
      <c r="H17" s="205">
        <f>'Data (2)'!H48</f>
        <v>0</v>
      </c>
      <c r="I17" s="205">
        <f>'Data (2)'!I48</f>
        <v>0</v>
      </c>
      <c r="J17" s="197">
        <f>'Data (2)'!J48</f>
        <v>0</v>
      </c>
      <c r="K17" s="197">
        <f>'Data (2)'!K48</f>
        <v>0</v>
      </c>
      <c r="L17" s="197">
        <f>'Data (2)'!L48</f>
        <v>0</v>
      </c>
      <c r="M17" s="197">
        <f>'Data (2)'!M48</f>
        <v>0</v>
      </c>
      <c r="N17" s="205">
        <f t="shared" si="3"/>
        <v>0</v>
      </c>
      <c r="O17" s="197">
        <f>'Data (2)'!O48</f>
        <v>0</v>
      </c>
      <c r="P17" s="197">
        <f>'Data (2)'!P48</f>
        <v>0</v>
      </c>
      <c r="Q17" s="197">
        <f>'Data (2)'!Q48</f>
        <v>0</v>
      </c>
      <c r="R17" s="197">
        <f>'Data (2)'!R48</f>
        <v>28.3</v>
      </c>
      <c r="S17" s="205">
        <f t="shared" si="4"/>
        <v>28.3</v>
      </c>
      <c r="T17" s="197">
        <f>'Data (2)'!T48</f>
        <v>31</v>
      </c>
      <c r="U17" s="197">
        <f>'Data (2)'!U48</f>
        <v>32.700000000000003</v>
      </c>
      <c r="V17" s="197">
        <f>'Data (2)'!V48</f>
        <v>30.6</v>
      </c>
      <c r="W17" s="197">
        <f>'Data (2)'!W48</f>
        <v>28.200000000000003</v>
      </c>
      <c r="X17" s="205">
        <f t="shared" si="5"/>
        <v>28.200000000000003</v>
      </c>
      <c r="Y17" s="197">
        <f>'Data (2)'!Y48</f>
        <v>20.8</v>
      </c>
      <c r="Z17" s="197">
        <f>'Data (2)'!Z48</f>
        <v>17.100000000000001</v>
      </c>
      <c r="AA17" s="197">
        <f>'Data (2)'!AA48</f>
        <v>16</v>
      </c>
      <c r="AB17" s="197">
        <f>'Data (2)'!AB48</f>
        <v>19.399999999999999</v>
      </c>
      <c r="AC17" s="205">
        <f t="shared" si="6"/>
        <v>19.399999999999999</v>
      </c>
      <c r="AD17" s="197">
        <f>'Data (2)'!AD48</f>
        <v>19.600000000000001</v>
      </c>
      <c r="AE17" s="197">
        <f>'Data (2)'!AE48</f>
        <v>20</v>
      </c>
      <c r="AF17" s="197">
        <f>'Data (2)'!AF48</f>
        <v>25.3</v>
      </c>
      <c r="AG17" s="197">
        <f>'Data (2)'!AG48</f>
        <v>22.4</v>
      </c>
      <c r="AH17" s="205">
        <f t="shared" si="7"/>
        <v>22.4</v>
      </c>
      <c r="AI17" s="197">
        <f>'Data (2)'!AI48</f>
        <v>20</v>
      </c>
      <c r="AJ17" s="197">
        <f>'Data (2)'!AJ48</f>
        <v>26.5</v>
      </c>
      <c r="AK17" s="197">
        <f>'Data (2)'!AK48</f>
        <v>24</v>
      </c>
      <c r="AL17" s="197">
        <f>'Data (2)'!AL48</f>
        <v>23.4</v>
      </c>
      <c r="AM17" s="205">
        <f t="shared" si="8"/>
        <v>23.4</v>
      </c>
      <c r="AN17" s="197">
        <f>'Data (2)'!AN48</f>
        <v>22.2</v>
      </c>
      <c r="AO17" s="197">
        <f>'Data (2)'!AO48</f>
        <v>23.6</v>
      </c>
      <c r="AP17" s="197">
        <f>'Data (2)'!AP48</f>
        <v>22.4</v>
      </c>
      <c r="AQ17" s="197">
        <f>'Data (2)'!AQ48</f>
        <v>22.4</v>
      </c>
      <c r="AR17" s="205">
        <f t="shared" si="9"/>
        <v>22.4</v>
      </c>
      <c r="AS17" s="197">
        <f>'Data (2)'!AS48</f>
        <v>22.1</v>
      </c>
      <c r="AT17" s="197">
        <f>'Data (2)'!AT48</f>
        <v>18.3</v>
      </c>
      <c r="AU17" s="197">
        <f>'Data (2)'!AU48</f>
        <v>17.600000000000001</v>
      </c>
      <c r="AV17" s="197">
        <f>'Data (2)'!AV48</f>
        <v>17.600000000000001</v>
      </c>
      <c r="AW17" s="205">
        <f t="shared" si="10"/>
        <v>17.600000000000001</v>
      </c>
      <c r="AX17" s="197">
        <f>'Data (2)'!AX48</f>
        <v>15.6</v>
      </c>
      <c r="AY17" s="197">
        <f>'Data (2)'!AY48</f>
        <v>14.9</v>
      </c>
      <c r="AZ17" s="197">
        <f>'Data (2)'!AZ48</f>
        <v>16.899999999999999</v>
      </c>
      <c r="BA17" s="197">
        <f>'Data (2)'!BA48</f>
        <v>17.2</v>
      </c>
      <c r="BB17" s="205">
        <f t="shared" si="11"/>
        <v>17.2</v>
      </c>
      <c r="BC17" s="197">
        <f>'Data (2)'!BC48</f>
        <v>13.8</v>
      </c>
      <c r="BD17" s="197">
        <f>'Data (2)'!BD48</f>
        <v>13.3</v>
      </c>
      <c r="BE17" s="197">
        <f>'Data (2)'!BE48</f>
        <v>15.8</v>
      </c>
      <c r="BF17" s="197">
        <f>'Data (2)'!BF48</f>
        <v>17.7</v>
      </c>
      <c r="BG17" s="205">
        <f t="shared" si="12"/>
        <v>17.7</v>
      </c>
      <c r="BH17" s="197">
        <f>'Data (2)'!BH48</f>
        <v>18.5</v>
      </c>
      <c r="BI17" s="197">
        <f>'Data (2)'!BI48</f>
        <v>29.4</v>
      </c>
      <c r="BJ17" s="197">
        <f>'Data (2)'!BJ48</f>
        <v>28.8</v>
      </c>
      <c r="BK17" s="197">
        <f>'Data (2)'!BK48</f>
        <v>22.5</v>
      </c>
      <c r="BL17" s="205">
        <f t="shared" si="13"/>
        <v>22.5</v>
      </c>
      <c r="BM17" s="197">
        <f>'Data (2)'!BM48</f>
        <v>23.7</v>
      </c>
      <c r="BN17" s="197">
        <f>'Data (2)'!BN48</f>
        <v>27</v>
      </c>
      <c r="BO17" s="197">
        <f>'Data (2)'!BO48</f>
        <v>27.7</v>
      </c>
      <c r="BP17" s="197">
        <f>'Data (2)'!BP48</f>
        <v>38.700000000000003</v>
      </c>
      <c r="BQ17" s="205">
        <f t="shared" si="14"/>
        <v>38.700000000000003</v>
      </c>
      <c r="BR17" s="197">
        <f>'Data (2)'!BR48</f>
        <v>40.6</v>
      </c>
      <c r="BS17" s="197">
        <f>'Data (2)'!BS48</f>
        <v>38.9</v>
      </c>
      <c r="BT17" s="197">
        <f>'Data (2)'!BT48</f>
        <v>37.6</v>
      </c>
      <c r="BU17" s="197">
        <f>'Data (2)'!BU48</f>
        <v>42.7</v>
      </c>
      <c r="BV17" s="205">
        <f t="shared" si="15"/>
        <v>42.7</v>
      </c>
      <c r="BW17" s="197">
        <f>'Data (2)'!BW48</f>
        <v>52.6</v>
      </c>
      <c r="BX17" s="197">
        <f>'Data (2)'!BX48</f>
        <v>56</v>
      </c>
      <c r="BY17" s="197">
        <f>'Data (2)'!BY48</f>
        <v>63.1</v>
      </c>
      <c r="BZ17" s="197">
        <f>'Data (2)'!BZ48</f>
        <v>61.5</v>
      </c>
      <c r="CA17" s="205">
        <f t="shared" si="16"/>
        <v>61.5</v>
      </c>
      <c r="CB17" s="197">
        <f>'Data (2)'!CB48</f>
        <v>65.5</v>
      </c>
      <c r="CC17" s="197">
        <f>'Data (2)'!CC48</f>
        <v>58.8</v>
      </c>
      <c r="CD17" s="197">
        <f>'Data (2)'!CD48</f>
        <v>62.8</v>
      </c>
      <c r="CE17" s="197">
        <f>'Data (2)'!CE48</f>
        <v>80.8</v>
      </c>
      <c r="CF17" s="205">
        <f t="shared" si="17"/>
        <v>80.8</v>
      </c>
      <c r="CG17" s="197">
        <f>'Data (2)'!CG48</f>
        <v>143.9</v>
      </c>
      <c r="CH17" s="197">
        <f>'Data (2)'!CH48</f>
        <v>139.69999999999999</v>
      </c>
      <c r="CI17" s="197">
        <f>'Data (2)'!CI48</f>
        <v>134.69999999999999</v>
      </c>
      <c r="CJ17" s="197">
        <f>'Data (2)'!CJ48</f>
        <v>154</v>
      </c>
      <c r="CK17" s="205">
        <f t="shared" si="18"/>
        <v>154</v>
      </c>
      <c r="CL17" s="197">
        <f>'Data (2)'!CL48</f>
        <v>153</v>
      </c>
      <c r="CM17" s="222">
        <f t="shared" si="20"/>
        <v>153</v>
      </c>
      <c r="CN17" s="222">
        <f t="shared" si="20"/>
        <v>153</v>
      </c>
      <c r="CO17" s="222">
        <f t="shared" si="20"/>
        <v>153</v>
      </c>
      <c r="CP17" s="205">
        <f t="shared" si="19"/>
        <v>153</v>
      </c>
      <c r="CQ17" s="223">
        <f t="shared" si="21"/>
        <v>153</v>
      </c>
      <c r="CR17" s="223">
        <f t="shared" si="21"/>
        <v>153</v>
      </c>
      <c r="CS17" s="223">
        <f t="shared" si="21"/>
        <v>153</v>
      </c>
    </row>
    <row r="18" spans="2:99" ht="12" customHeight="1">
      <c r="B18" s="361" t="s">
        <v>96</v>
      </c>
      <c r="C18" s="205">
        <f>'Data (2)'!C49</f>
        <v>0</v>
      </c>
      <c r="D18" s="205">
        <f>'Data (2)'!D49</f>
        <v>0</v>
      </c>
      <c r="E18" s="205">
        <f>'Data (2)'!E49</f>
        <v>0</v>
      </c>
      <c r="F18" s="205">
        <f>'Data (2)'!F49</f>
        <v>0</v>
      </c>
      <c r="G18" s="205">
        <f>'Data (2)'!G49</f>
        <v>0</v>
      </c>
      <c r="H18" s="205">
        <f>'Data (2)'!H49</f>
        <v>0</v>
      </c>
      <c r="I18" s="205">
        <f>'Data (2)'!I49</f>
        <v>0</v>
      </c>
      <c r="J18" s="197">
        <f>'Data (2)'!J49</f>
        <v>0</v>
      </c>
      <c r="K18" s="197">
        <f>'Data (2)'!K49</f>
        <v>0</v>
      </c>
      <c r="L18" s="197">
        <f>'Data (2)'!L49</f>
        <v>0</v>
      </c>
      <c r="M18" s="197">
        <f>'Data (2)'!M49</f>
        <v>0</v>
      </c>
      <c r="N18" s="205">
        <f t="shared" si="3"/>
        <v>0</v>
      </c>
      <c r="O18" s="197">
        <f>'Data (2)'!O49</f>
        <v>0</v>
      </c>
      <c r="P18" s="197">
        <f>'Data (2)'!P49</f>
        <v>0</v>
      </c>
      <c r="Q18" s="197">
        <f>'Data (2)'!Q49</f>
        <v>0</v>
      </c>
      <c r="R18" s="197">
        <f>'Data (2)'!R49</f>
        <v>0</v>
      </c>
      <c r="S18" s="205">
        <f t="shared" si="4"/>
        <v>0</v>
      </c>
      <c r="T18" s="197">
        <f>'Data (2)'!T49</f>
        <v>0</v>
      </c>
      <c r="U18" s="197">
        <f>'Data (2)'!U49</f>
        <v>0</v>
      </c>
      <c r="V18" s="197">
        <f>'Data (2)'!V49</f>
        <v>0</v>
      </c>
      <c r="W18" s="197">
        <f>'Data (2)'!W49</f>
        <v>0</v>
      </c>
      <c r="X18" s="205">
        <f t="shared" si="5"/>
        <v>0</v>
      </c>
      <c r="Y18" s="197">
        <f>'Data (2)'!Y49</f>
        <v>0</v>
      </c>
      <c r="Z18" s="197">
        <f>'Data (2)'!Z49</f>
        <v>40</v>
      </c>
      <c r="AA18" s="197">
        <f>'Data (2)'!AA49</f>
        <v>0</v>
      </c>
      <c r="AB18" s="197">
        <f>'Data (2)'!AB49</f>
        <v>0</v>
      </c>
      <c r="AC18" s="205">
        <f t="shared" si="6"/>
        <v>0</v>
      </c>
      <c r="AD18" s="197">
        <f>'Data (2)'!AD49</f>
        <v>0</v>
      </c>
      <c r="AE18" s="197">
        <f>'Data (2)'!AE49</f>
        <v>0</v>
      </c>
      <c r="AF18" s="197">
        <f>'Data (2)'!AF49</f>
        <v>0</v>
      </c>
      <c r="AG18" s="197">
        <f>'Data (2)'!AG49</f>
        <v>0</v>
      </c>
      <c r="AH18" s="205">
        <f t="shared" si="7"/>
        <v>0</v>
      </c>
      <c r="AI18" s="197">
        <f>'Data (2)'!AI49</f>
        <v>0</v>
      </c>
      <c r="AJ18" s="197">
        <f>'Data (2)'!AJ49</f>
        <v>0</v>
      </c>
      <c r="AK18" s="197">
        <f>'Data (2)'!AK49</f>
        <v>0</v>
      </c>
      <c r="AL18" s="197">
        <f>'Data (2)'!AL49</f>
        <v>0</v>
      </c>
      <c r="AM18" s="205">
        <f t="shared" si="8"/>
        <v>0</v>
      </c>
      <c r="AN18" s="197">
        <f>'Data (2)'!AN49</f>
        <v>0</v>
      </c>
      <c r="AO18" s="197">
        <f>'Data (2)'!AO49</f>
        <v>0</v>
      </c>
      <c r="AP18" s="197">
        <f>'Data (2)'!AP49</f>
        <v>0</v>
      </c>
      <c r="AQ18" s="197">
        <f>'Data (2)'!AQ49</f>
        <v>0</v>
      </c>
      <c r="AR18" s="205">
        <f t="shared" si="9"/>
        <v>0</v>
      </c>
      <c r="AS18" s="197">
        <f>'Data (2)'!AS49</f>
        <v>0</v>
      </c>
      <c r="AT18" s="197">
        <f>'Data (2)'!AT49</f>
        <v>0</v>
      </c>
      <c r="AU18" s="197">
        <f>'Data (2)'!AU49</f>
        <v>0</v>
      </c>
      <c r="AV18" s="197">
        <f>'Data (2)'!AV49</f>
        <v>0</v>
      </c>
      <c r="AW18" s="205">
        <f t="shared" si="10"/>
        <v>0</v>
      </c>
      <c r="AX18" s="197">
        <f>'Data (2)'!AX49</f>
        <v>0</v>
      </c>
      <c r="AY18" s="197">
        <f>'Data (2)'!AY49</f>
        <v>0</v>
      </c>
      <c r="AZ18" s="197">
        <f>'Data (2)'!AZ49</f>
        <v>0</v>
      </c>
      <c r="BA18" s="197">
        <f>'Data (2)'!BA49</f>
        <v>0</v>
      </c>
      <c r="BB18" s="205">
        <f t="shared" si="11"/>
        <v>0</v>
      </c>
      <c r="BC18" s="197">
        <f>'Data (2)'!BC49</f>
        <v>0</v>
      </c>
      <c r="BD18" s="197">
        <f>'Data (2)'!BD49</f>
        <v>0</v>
      </c>
      <c r="BE18" s="197">
        <f>'Data (2)'!BE49</f>
        <v>0</v>
      </c>
      <c r="BF18" s="197">
        <f>'Data (2)'!BF49</f>
        <v>0</v>
      </c>
      <c r="BG18" s="205">
        <f t="shared" si="12"/>
        <v>0</v>
      </c>
      <c r="BH18" s="197">
        <f>'Data (2)'!BH49</f>
        <v>0</v>
      </c>
      <c r="BI18" s="197">
        <f>'Data (2)'!BI49</f>
        <v>0</v>
      </c>
      <c r="BJ18" s="197">
        <f>'Data (2)'!BJ49</f>
        <v>0</v>
      </c>
      <c r="BK18" s="197">
        <f>'Data (2)'!BK49</f>
        <v>0</v>
      </c>
      <c r="BL18" s="205">
        <f t="shared" si="13"/>
        <v>0</v>
      </c>
      <c r="BM18" s="197">
        <f>'Data (2)'!BM49</f>
        <v>0</v>
      </c>
      <c r="BN18" s="197">
        <f>'Data (2)'!BN49</f>
        <v>0</v>
      </c>
      <c r="BO18" s="197">
        <f>'Data (2)'!BO49</f>
        <v>0</v>
      </c>
      <c r="BP18" s="197">
        <f>'Data (2)'!BP49</f>
        <v>0</v>
      </c>
      <c r="BQ18" s="205">
        <f t="shared" si="14"/>
        <v>0</v>
      </c>
      <c r="BR18" s="197">
        <f>'Data (2)'!BR49</f>
        <v>0</v>
      </c>
      <c r="BS18" s="197">
        <f>'Data (2)'!BS49</f>
        <v>0</v>
      </c>
      <c r="BT18" s="197">
        <f>'Data (2)'!BT49</f>
        <v>0</v>
      </c>
      <c r="BU18" s="197">
        <f>'Data (2)'!BU49</f>
        <v>0</v>
      </c>
      <c r="BV18" s="205">
        <f t="shared" si="15"/>
        <v>0</v>
      </c>
      <c r="BW18" s="197">
        <f>'Data (2)'!BW49</f>
        <v>0</v>
      </c>
      <c r="BX18" s="197">
        <f>'Data (2)'!BX49</f>
        <v>0</v>
      </c>
      <c r="BY18" s="197">
        <f>'Data (2)'!BY49</f>
        <v>0</v>
      </c>
      <c r="BZ18" s="197">
        <f>'Data (2)'!BZ49</f>
        <v>0</v>
      </c>
      <c r="CA18" s="205">
        <f t="shared" si="16"/>
        <v>0</v>
      </c>
      <c r="CB18" s="197">
        <f>'Data (2)'!CB49</f>
        <v>0</v>
      </c>
      <c r="CC18" s="197">
        <f>'Data (2)'!CC49</f>
        <v>0</v>
      </c>
      <c r="CD18" s="197">
        <f>'Data (2)'!CD49</f>
        <v>0</v>
      </c>
      <c r="CE18" s="197">
        <f>'Data (2)'!CE49</f>
        <v>0</v>
      </c>
      <c r="CF18" s="205">
        <f t="shared" si="17"/>
        <v>0</v>
      </c>
      <c r="CG18" s="197">
        <f>'Data (2)'!CG49</f>
        <v>0</v>
      </c>
      <c r="CH18" s="197">
        <f>'Data (2)'!CH49</f>
        <v>0</v>
      </c>
      <c r="CI18" s="197">
        <f>'Data (2)'!CI49</f>
        <v>0</v>
      </c>
      <c r="CJ18" s="197">
        <f>'Data (2)'!CJ49</f>
        <v>0</v>
      </c>
      <c r="CK18" s="205">
        <f t="shared" si="18"/>
        <v>0</v>
      </c>
      <c r="CL18" s="197">
        <f>'Data (2)'!CL49</f>
        <v>0</v>
      </c>
      <c r="CM18" s="197">
        <v>0</v>
      </c>
      <c r="CN18" s="197">
        <v>0</v>
      </c>
      <c r="CO18" s="197">
        <v>0</v>
      </c>
      <c r="CP18" s="205">
        <f t="shared" si="19"/>
        <v>0</v>
      </c>
      <c r="CQ18" s="205">
        <v>0</v>
      </c>
      <c r="CR18" s="205">
        <v>0</v>
      </c>
      <c r="CS18" s="205">
        <v>0</v>
      </c>
    </row>
    <row r="19" spans="2:99" ht="12" customHeight="1">
      <c r="B19" s="368" t="s">
        <v>46</v>
      </c>
      <c r="C19" s="369">
        <f t="shared" ref="C19:AH19" si="22">SUM(C12:C18)</f>
        <v>811.58600000000001</v>
      </c>
      <c r="D19" s="369">
        <f t="shared" si="22"/>
        <v>1404.1609999999998</v>
      </c>
      <c r="E19" s="369">
        <f t="shared" si="22"/>
        <v>1261.9000000000001</v>
      </c>
      <c r="F19" s="369">
        <f t="shared" si="22"/>
        <v>1211.4000000000001</v>
      </c>
      <c r="G19" s="369">
        <f t="shared" si="22"/>
        <v>789.39999999999986</v>
      </c>
      <c r="H19" s="369">
        <f t="shared" si="22"/>
        <v>708.09999999999991</v>
      </c>
      <c r="I19" s="369">
        <f t="shared" si="22"/>
        <v>722.69999999999993</v>
      </c>
      <c r="J19" s="370">
        <f t="shared" si="22"/>
        <v>723.10000000000014</v>
      </c>
      <c r="K19" s="370">
        <f t="shared" si="22"/>
        <v>744</v>
      </c>
      <c r="L19" s="370">
        <f t="shared" si="22"/>
        <v>750.60000000000014</v>
      </c>
      <c r="M19" s="370">
        <f t="shared" si="22"/>
        <v>776.8</v>
      </c>
      <c r="N19" s="369">
        <f t="shared" si="22"/>
        <v>776.8</v>
      </c>
      <c r="O19" s="370">
        <f t="shared" si="22"/>
        <v>766.30000000000018</v>
      </c>
      <c r="P19" s="370">
        <f t="shared" si="22"/>
        <v>753.3</v>
      </c>
      <c r="Q19" s="370">
        <f t="shared" si="22"/>
        <v>742.69999999999993</v>
      </c>
      <c r="R19" s="370">
        <f t="shared" si="22"/>
        <v>880.59999999999991</v>
      </c>
      <c r="S19" s="369">
        <f t="shared" si="22"/>
        <v>880.59999999999991</v>
      </c>
      <c r="T19" s="370">
        <f t="shared" si="22"/>
        <v>939.19999999999993</v>
      </c>
      <c r="U19" s="370">
        <f t="shared" si="22"/>
        <v>951.5</v>
      </c>
      <c r="V19" s="370">
        <f t="shared" si="22"/>
        <v>975.70000000000016</v>
      </c>
      <c r="W19" s="370">
        <f t="shared" si="22"/>
        <v>1012.9000000000001</v>
      </c>
      <c r="X19" s="369">
        <f t="shared" si="22"/>
        <v>1012.9000000000001</v>
      </c>
      <c r="Y19" s="370">
        <f t="shared" si="22"/>
        <v>1045.7</v>
      </c>
      <c r="Z19" s="370">
        <f t="shared" si="22"/>
        <v>1073.3999999999999</v>
      </c>
      <c r="AA19" s="370">
        <f t="shared" si="22"/>
        <v>1020.3</v>
      </c>
      <c r="AB19" s="370">
        <f t="shared" si="22"/>
        <v>1060.5</v>
      </c>
      <c r="AC19" s="369">
        <f t="shared" si="22"/>
        <v>1060.5</v>
      </c>
      <c r="AD19" s="370">
        <f t="shared" si="22"/>
        <v>1163.6999999999998</v>
      </c>
      <c r="AE19" s="370">
        <f t="shared" si="22"/>
        <v>1217.8</v>
      </c>
      <c r="AF19" s="370">
        <f t="shared" si="22"/>
        <v>1188.7</v>
      </c>
      <c r="AG19" s="370">
        <f t="shared" si="22"/>
        <v>1210.3</v>
      </c>
      <c r="AH19" s="369">
        <f t="shared" si="22"/>
        <v>1210.3</v>
      </c>
      <c r="AI19" s="370">
        <f t="shared" ref="AI19:BN19" si="23">SUM(AI12:AI18)</f>
        <v>1199.8</v>
      </c>
      <c r="AJ19" s="370">
        <f t="shared" si="23"/>
        <v>1214.8</v>
      </c>
      <c r="AK19" s="370">
        <f t="shared" si="23"/>
        <v>1224.9000000000001</v>
      </c>
      <c r="AL19" s="370">
        <f t="shared" si="23"/>
        <v>1246.6000000000001</v>
      </c>
      <c r="AM19" s="369">
        <f t="shared" si="23"/>
        <v>1246.6000000000001</v>
      </c>
      <c r="AN19" s="370">
        <f t="shared" si="23"/>
        <v>1206.0999999999999</v>
      </c>
      <c r="AO19" s="370">
        <f t="shared" si="23"/>
        <v>1234.1999999999998</v>
      </c>
      <c r="AP19" s="370">
        <f t="shared" si="23"/>
        <v>1250.9999999999998</v>
      </c>
      <c r="AQ19" s="370">
        <f t="shared" si="23"/>
        <v>1258.1000000000001</v>
      </c>
      <c r="AR19" s="369">
        <f t="shared" si="23"/>
        <v>1258.1000000000001</v>
      </c>
      <c r="AS19" s="370">
        <f t="shared" si="23"/>
        <v>1276.8999999999999</v>
      </c>
      <c r="AT19" s="370">
        <f t="shared" si="23"/>
        <v>1319.3999999999999</v>
      </c>
      <c r="AU19" s="370">
        <f t="shared" si="23"/>
        <v>1321.1000000000001</v>
      </c>
      <c r="AV19" s="370">
        <f t="shared" si="23"/>
        <v>1376.1000000000001</v>
      </c>
      <c r="AW19" s="369">
        <f t="shared" si="23"/>
        <v>1376.1000000000001</v>
      </c>
      <c r="AX19" s="371">
        <f t="shared" si="23"/>
        <v>1466.9999999999998</v>
      </c>
      <c r="AY19" s="371">
        <f t="shared" si="23"/>
        <v>1517.3</v>
      </c>
      <c r="AZ19" s="371">
        <f t="shared" si="23"/>
        <v>1566.9000000000003</v>
      </c>
      <c r="BA19" s="370">
        <f t="shared" si="23"/>
        <v>1603.1</v>
      </c>
      <c r="BB19" s="369">
        <f t="shared" si="23"/>
        <v>1603.1</v>
      </c>
      <c r="BC19" s="370">
        <f t="shared" si="23"/>
        <v>1638</v>
      </c>
      <c r="BD19" s="370">
        <f t="shared" si="23"/>
        <v>1695</v>
      </c>
      <c r="BE19" s="370">
        <f t="shared" si="23"/>
        <v>1761.4</v>
      </c>
      <c r="BF19" s="370">
        <f t="shared" si="23"/>
        <v>1836.1000000000001</v>
      </c>
      <c r="BG19" s="369">
        <f t="shared" si="23"/>
        <v>1836.1000000000001</v>
      </c>
      <c r="BH19" s="370">
        <f t="shared" si="23"/>
        <v>1904.6999999999998</v>
      </c>
      <c r="BI19" s="370">
        <f t="shared" si="23"/>
        <v>1947.3999999999999</v>
      </c>
      <c r="BJ19" s="370">
        <f t="shared" si="23"/>
        <v>1959.8</v>
      </c>
      <c r="BK19" s="370">
        <f t="shared" si="23"/>
        <v>2036.4</v>
      </c>
      <c r="BL19" s="369">
        <f t="shared" si="23"/>
        <v>2036.4</v>
      </c>
      <c r="BM19" s="370">
        <f t="shared" si="23"/>
        <v>2087.1999999999998</v>
      </c>
      <c r="BN19" s="370">
        <f t="shared" si="23"/>
        <v>2200.1</v>
      </c>
      <c r="BO19" s="370">
        <f t="shared" ref="BO19:CS19" si="24">SUM(BO12:BO18)</f>
        <v>2240.6999999999994</v>
      </c>
      <c r="BP19" s="370">
        <f t="shared" si="24"/>
        <v>2187.3999999999996</v>
      </c>
      <c r="BQ19" s="369">
        <f t="shared" si="24"/>
        <v>2187.3999999999996</v>
      </c>
      <c r="BR19" s="370">
        <f t="shared" si="24"/>
        <v>2321.6000000000004</v>
      </c>
      <c r="BS19" s="370">
        <f t="shared" si="24"/>
        <v>2369.6000000000004</v>
      </c>
      <c r="BT19" s="370">
        <f t="shared" si="24"/>
        <v>2390.6000000000004</v>
      </c>
      <c r="BU19" s="370">
        <f t="shared" si="24"/>
        <v>2400.5999999999995</v>
      </c>
      <c r="BV19" s="369">
        <f t="shared" si="24"/>
        <v>2400.5999999999995</v>
      </c>
      <c r="BW19" s="370">
        <f t="shared" si="24"/>
        <v>2575.5</v>
      </c>
      <c r="BX19" s="370">
        <f t="shared" si="24"/>
        <v>2627.3</v>
      </c>
      <c r="BY19" s="370">
        <f t="shared" si="24"/>
        <v>2737.2</v>
      </c>
      <c r="BZ19" s="370">
        <f t="shared" si="24"/>
        <v>2780.8999999999996</v>
      </c>
      <c r="CA19" s="369">
        <f t="shared" si="24"/>
        <v>2780.8999999999996</v>
      </c>
      <c r="CB19" s="370">
        <f t="shared" si="24"/>
        <v>2884.7</v>
      </c>
      <c r="CC19" s="370">
        <f t="shared" si="24"/>
        <v>2836.1000000000004</v>
      </c>
      <c r="CD19" s="370">
        <f t="shared" si="24"/>
        <v>2846.5000000000005</v>
      </c>
      <c r="CE19" s="370">
        <f t="shared" si="24"/>
        <v>2824.1000000000004</v>
      </c>
      <c r="CF19" s="369">
        <f t="shared" si="24"/>
        <v>2824.1000000000004</v>
      </c>
      <c r="CG19" s="370">
        <f t="shared" si="24"/>
        <v>3166</v>
      </c>
      <c r="CH19" s="370">
        <f t="shared" si="24"/>
        <v>3195.1</v>
      </c>
      <c r="CI19" s="370">
        <f t="shared" si="24"/>
        <v>3155.2000000000003</v>
      </c>
      <c r="CJ19" s="370">
        <f t="shared" si="24"/>
        <v>3128.6</v>
      </c>
      <c r="CK19" s="369">
        <f t="shared" si="24"/>
        <v>3128.6</v>
      </c>
      <c r="CL19" s="370">
        <f t="shared" si="24"/>
        <v>3433.3</v>
      </c>
      <c r="CM19" s="370">
        <f t="shared" si="24"/>
        <v>3070.0056762940171</v>
      </c>
      <c r="CN19" s="370">
        <f t="shared" si="24"/>
        <v>3114.7465117833335</v>
      </c>
      <c r="CO19" s="370">
        <f t="shared" si="24"/>
        <v>3227.0592882383512</v>
      </c>
      <c r="CP19" s="369">
        <f t="shared" si="24"/>
        <v>3227.0592882383512</v>
      </c>
      <c r="CQ19" s="369">
        <f t="shared" si="24"/>
        <v>3056.9928674083812</v>
      </c>
      <c r="CR19" s="369">
        <f t="shared" si="24"/>
        <v>3029.5461057098537</v>
      </c>
      <c r="CS19" s="369">
        <f t="shared" si="24"/>
        <v>3091.2577866879237</v>
      </c>
    </row>
    <row r="20" spans="2:99" ht="12" customHeight="1">
      <c r="B20" s="361" t="s">
        <v>40</v>
      </c>
      <c r="C20" s="205"/>
      <c r="D20" s="205"/>
      <c r="E20" s="205"/>
      <c r="F20" s="205"/>
      <c r="G20" s="205"/>
      <c r="H20" s="205"/>
      <c r="I20" s="205"/>
      <c r="N20" s="205"/>
      <c r="S20" s="205"/>
      <c r="X20" s="205"/>
      <c r="AC20" s="205"/>
      <c r="AH20" s="205"/>
      <c r="AM20" s="205"/>
      <c r="AR20" s="205"/>
      <c r="AW20" s="205"/>
      <c r="BB20" s="205"/>
      <c r="BG20" s="205"/>
      <c r="BL20" s="205"/>
      <c r="BQ20" s="205"/>
      <c r="BV20" s="205"/>
      <c r="CA20" s="205"/>
      <c r="CF20" s="205"/>
      <c r="CK20" s="205"/>
      <c r="CP20" s="205"/>
      <c r="CQ20" s="205"/>
      <c r="CR20" s="205"/>
      <c r="CS20" s="205"/>
    </row>
    <row r="21" spans="2:99" ht="12" customHeight="1">
      <c r="B21" s="360" t="s">
        <v>255</v>
      </c>
      <c r="C21" s="205"/>
      <c r="D21" s="205"/>
      <c r="E21" s="205"/>
      <c r="F21" s="205"/>
      <c r="G21" s="205"/>
      <c r="H21" s="205"/>
      <c r="I21" s="205"/>
      <c r="N21" s="205"/>
      <c r="S21" s="205"/>
      <c r="X21" s="205"/>
      <c r="AC21" s="205"/>
      <c r="AH21" s="205"/>
      <c r="AM21" s="205"/>
      <c r="AR21" s="205"/>
      <c r="AW21" s="205"/>
      <c r="BB21" s="205"/>
      <c r="BG21" s="205"/>
      <c r="BL21" s="205"/>
      <c r="BQ21" s="205"/>
      <c r="BV21" s="205"/>
      <c r="CA21" s="205"/>
      <c r="CF21" s="205"/>
      <c r="CK21" s="205"/>
      <c r="CP21" s="205"/>
      <c r="CQ21" s="205"/>
      <c r="CR21" s="205"/>
      <c r="CS21" s="205"/>
    </row>
    <row r="22" spans="2:99" ht="12" customHeight="1">
      <c r="B22" s="361" t="s">
        <v>239</v>
      </c>
      <c r="C22" s="205">
        <f>'Data (2)'!C53</f>
        <v>13.858000000000001</v>
      </c>
      <c r="D22" s="205">
        <f>'Data (2)'!D53</f>
        <v>26.867000000000001</v>
      </c>
      <c r="E22" s="205">
        <f>'Data (2)'!E53</f>
        <v>34.299999999999997</v>
      </c>
      <c r="F22" s="205">
        <f>'Data (2)'!F53</f>
        <v>22.1</v>
      </c>
      <c r="G22" s="205">
        <f>'Data (2)'!G53</f>
        <v>17.399999999999999</v>
      </c>
      <c r="H22" s="205">
        <f>'Data (2)'!H53</f>
        <v>621.70000000000005</v>
      </c>
      <c r="I22" s="205">
        <f>'Data (2)'!I53</f>
        <v>2.1</v>
      </c>
      <c r="J22" s="197">
        <f>'Data (2)'!J53</f>
        <v>0.5</v>
      </c>
      <c r="K22" s="197">
        <f>'Data (2)'!K53</f>
        <v>1</v>
      </c>
      <c r="L22" s="197">
        <f>'Data (2)'!L53</f>
        <v>3.8</v>
      </c>
      <c r="M22" s="197">
        <f>'Data (2)'!M53</f>
        <v>1</v>
      </c>
      <c r="N22" s="205">
        <f t="shared" ref="N22:N28" si="25">M22</f>
        <v>1</v>
      </c>
      <c r="O22" s="197">
        <f>'Data (2)'!O53</f>
        <v>4.5999999999999996</v>
      </c>
      <c r="P22" s="197">
        <f>'Data (2)'!P53</f>
        <v>5.4</v>
      </c>
      <c r="Q22" s="197">
        <f>'Data (2)'!Q53</f>
        <v>3.9</v>
      </c>
      <c r="R22" s="197">
        <f>'Data (2)'!R53</f>
        <v>3</v>
      </c>
      <c r="S22" s="205">
        <f t="shared" ref="S22:S28" si="26">R22</f>
        <v>3</v>
      </c>
      <c r="T22" s="197">
        <f>'Data (2)'!T53</f>
        <v>6.5</v>
      </c>
      <c r="U22" s="197">
        <f>'Data (2)'!U53</f>
        <v>5.0999999999999996</v>
      </c>
      <c r="V22" s="197">
        <f>'Data (2)'!V53</f>
        <v>5</v>
      </c>
      <c r="W22" s="197">
        <f>'Data (2)'!W53</f>
        <v>2.5</v>
      </c>
      <c r="X22" s="205">
        <f t="shared" ref="X22:X28" si="27">W22</f>
        <v>2.5</v>
      </c>
      <c r="Y22" s="197">
        <f>'Data (2)'!Y53</f>
        <v>2.2000000000000002</v>
      </c>
      <c r="Z22" s="197">
        <f>'Data (2)'!Z53</f>
        <v>2</v>
      </c>
      <c r="AA22" s="197">
        <f>'Data (2)'!AA53</f>
        <v>1.8</v>
      </c>
      <c r="AB22" s="197">
        <f>'Data (2)'!AB53</f>
        <v>0.4</v>
      </c>
      <c r="AC22" s="205">
        <f t="shared" ref="AC22:AC28" si="28">AB22</f>
        <v>0.4</v>
      </c>
      <c r="AD22" s="197">
        <f>'Data (2)'!AD53</f>
        <v>0.6</v>
      </c>
      <c r="AE22" s="197">
        <f>'Data (2)'!AE53</f>
        <v>1.7</v>
      </c>
      <c r="AF22" s="197">
        <f>'Data (2)'!AF53</f>
        <v>1.9</v>
      </c>
      <c r="AG22" s="197">
        <f>'Data (2)'!AG53</f>
        <v>2.1</v>
      </c>
      <c r="AH22" s="205">
        <f t="shared" ref="AH22:AH28" si="29">AG22</f>
        <v>2.1</v>
      </c>
      <c r="AI22" s="197">
        <f>'Data (2)'!AI53</f>
        <v>6.6</v>
      </c>
      <c r="AJ22" s="197">
        <f>'Data (2)'!AJ53</f>
        <v>13.2</v>
      </c>
      <c r="AK22" s="197">
        <f>'Data (2)'!AK53</f>
        <v>3.5</v>
      </c>
      <c r="AL22" s="197">
        <f>'Data (2)'!AL53</f>
        <v>33.5</v>
      </c>
      <c r="AM22" s="205">
        <f t="shared" ref="AM22:AM28" si="30">AL22</f>
        <v>33.5</v>
      </c>
      <c r="AN22" s="197">
        <f>'Data (2)'!AN53</f>
        <v>4.4000000000000004</v>
      </c>
      <c r="AO22" s="197">
        <f>'Data (2)'!AO53</f>
        <v>7</v>
      </c>
      <c r="AP22" s="197">
        <f>'Data (2)'!AP53</f>
        <v>10.5</v>
      </c>
      <c r="AQ22" s="197">
        <f>'Data (2)'!AQ53</f>
        <v>27.6</v>
      </c>
      <c r="AR22" s="205">
        <f t="shared" ref="AR22:AR28" si="31">AQ22</f>
        <v>27.6</v>
      </c>
      <c r="AS22" s="197">
        <f>'Data (2)'!AS53</f>
        <v>11.4</v>
      </c>
      <c r="AT22" s="197">
        <f>'Data (2)'!AT53</f>
        <v>9.3000000000000007</v>
      </c>
      <c r="AU22" s="197">
        <f>'Data (2)'!AU53</f>
        <v>11.9</v>
      </c>
      <c r="AV22" s="197">
        <f>'Data (2)'!AV53</f>
        <v>12.6</v>
      </c>
      <c r="AW22" s="205">
        <f t="shared" ref="AW22:AW28" si="32">AV22</f>
        <v>12.6</v>
      </c>
      <c r="AX22" s="197">
        <f>'Data (2)'!AX53</f>
        <v>14.5</v>
      </c>
      <c r="AY22" s="197">
        <f>'Data (2)'!AY53</f>
        <v>19.2</v>
      </c>
      <c r="AZ22" s="197">
        <f>'Data (2)'!AZ53</f>
        <v>17.100000000000001</v>
      </c>
      <c r="BA22" s="197">
        <f>'Data (2)'!BA53</f>
        <v>16.600000000000001</v>
      </c>
      <c r="BB22" s="205">
        <f t="shared" ref="BB22:BB28" si="33">BA22</f>
        <v>16.600000000000001</v>
      </c>
      <c r="BC22" s="197">
        <f>'Data (2)'!BC53</f>
        <v>15.4</v>
      </c>
      <c r="BD22" s="197">
        <f>'Data (2)'!BD53</f>
        <v>5</v>
      </c>
      <c r="BE22" s="197">
        <f>'Data (2)'!BE53</f>
        <v>4.8</v>
      </c>
      <c r="BF22" s="197">
        <f>'Data (2)'!BF53</f>
        <v>3</v>
      </c>
      <c r="BG22" s="205">
        <f t="shared" ref="BG22:BG28" si="34">BF22</f>
        <v>3</v>
      </c>
      <c r="BH22" s="197">
        <f>'Data (2)'!BH53</f>
        <v>2.8</v>
      </c>
      <c r="BI22" s="197">
        <f>'Data (2)'!BI53</f>
        <v>2.8</v>
      </c>
      <c r="BJ22" s="197">
        <f>'Data (2)'!BJ53</f>
        <v>2.8</v>
      </c>
      <c r="BK22" s="197">
        <f>'Data (2)'!BK53</f>
        <v>1.3</v>
      </c>
      <c r="BL22" s="205">
        <f t="shared" ref="BL22:BL28" si="35">BK22</f>
        <v>1.3</v>
      </c>
      <c r="BM22" s="197">
        <f>'Data (2)'!BM53</f>
        <v>0.2</v>
      </c>
      <c r="BN22" s="197">
        <f>'Data (2)'!BN53</f>
        <v>0</v>
      </c>
      <c r="BO22" s="197">
        <f>'Data (2)'!BO53</f>
        <v>0</v>
      </c>
      <c r="BP22" s="197">
        <f>'Data (2)'!BP53</f>
        <v>0</v>
      </c>
      <c r="BQ22" s="205">
        <f t="shared" ref="BQ22:BQ28" si="36">BP22</f>
        <v>0</v>
      </c>
      <c r="BR22" s="197">
        <f>'Data (2)'!BR53</f>
        <v>0</v>
      </c>
      <c r="BS22" s="197">
        <f>'Data (2)'!BS53</f>
        <v>0</v>
      </c>
      <c r="BT22" s="197">
        <f>'Data (2)'!BT53</f>
        <v>4.7</v>
      </c>
      <c r="BU22" s="197">
        <f>'Data (2)'!BU53</f>
        <v>4.3</v>
      </c>
      <c r="BV22" s="205">
        <f t="shared" ref="BV22:BV28" si="37">BU22</f>
        <v>4.3</v>
      </c>
      <c r="BW22" s="197">
        <f>'Data (2)'!BW53</f>
        <v>4.2</v>
      </c>
      <c r="BX22" s="197">
        <f>'Data (2)'!BX53</f>
        <v>4.3</v>
      </c>
      <c r="BY22" s="197">
        <f>'Data (2)'!BY53</f>
        <v>4.2</v>
      </c>
      <c r="BZ22" s="197">
        <f>'Data (2)'!BZ53</f>
        <v>4.3</v>
      </c>
      <c r="CA22" s="205">
        <f t="shared" ref="CA22:CA28" si="38">BZ22</f>
        <v>4.3</v>
      </c>
      <c r="CB22" s="197">
        <f>'Data (2)'!CB53</f>
        <v>4.4000000000000004</v>
      </c>
      <c r="CC22" s="197">
        <f>'Data (2)'!CC53</f>
        <v>9.3000000000000007</v>
      </c>
      <c r="CD22" s="197">
        <f>'Data (2)'!CD53</f>
        <v>9.3000000000000007</v>
      </c>
      <c r="CE22" s="197">
        <f>'Data (2)'!CE53</f>
        <v>9.4</v>
      </c>
      <c r="CF22" s="205">
        <f t="shared" ref="CF22:CF28" si="39">CE22</f>
        <v>9.4</v>
      </c>
      <c r="CG22" s="197">
        <f>'Data (2)'!CG53</f>
        <v>9.6999999999999993</v>
      </c>
      <c r="CH22" s="197">
        <f>'Data (2)'!CH53</f>
        <v>9.6999999999999993</v>
      </c>
      <c r="CI22" s="197">
        <f>'Data (2)'!CI53</f>
        <v>9.3000000000000007</v>
      </c>
      <c r="CJ22" s="197">
        <f>'Data (2)'!CJ53</f>
        <v>9.5</v>
      </c>
      <c r="CK22" s="205">
        <f t="shared" ref="CK22:CK28" si="40">CJ22</f>
        <v>9.5</v>
      </c>
      <c r="CL22" s="197">
        <f>'Data (2)'!CL53</f>
        <v>0.6</v>
      </c>
      <c r="CM22" s="222">
        <f t="shared" ref="CM22:CS22" si="41">CL22</f>
        <v>0.6</v>
      </c>
      <c r="CN22" s="222">
        <f t="shared" si="41"/>
        <v>0.6</v>
      </c>
      <c r="CO22" s="222">
        <f t="shared" si="41"/>
        <v>0.6</v>
      </c>
      <c r="CP22" s="205">
        <f t="shared" si="41"/>
        <v>0.6</v>
      </c>
      <c r="CQ22" s="205">
        <f t="shared" si="41"/>
        <v>0.6</v>
      </c>
      <c r="CR22" s="205">
        <f t="shared" si="41"/>
        <v>0.6</v>
      </c>
      <c r="CS22" s="205">
        <f t="shared" si="41"/>
        <v>0.6</v>
      </c>
    </row>
    <row r="23" spans="2:99" ht="12" customHeight="1">
      <c r="B23" s="361" t="s">
        <v>47</v>
      </c>
      <c r="C23" s="205">
        <f>'Data (2)'!C54</f>
        <v>70.010999999999996</v>
      </c>
      <c r="D23" s="205">
        <f>'Data (2)'!D54</f>
        <v>81.869</v>
      </c>
      <c r="E23" s="205">
        <f>'Data (2)'!E54</f>
        <v>80.3</v>
      </c>
      <c r="F23" s="205">
        <f>'Data (2)'!F54</f>
        <v>69.400000000000006</v>
      </c>
      <c r="G23" s="205">
        <f>'Data (2)'!G54</f>
        <v>58.6</v>
      </c>
      <c r="H23" s="205">
        <f>'Data (2)'!H54</f>
        <v>54.9</v>
      </c>
      <c r="I23" s="205">
        <f>'Data (2)'!I54</f>
        <v>64.099999999999994</v>
      </c>
      <c r="J23" s="197">
        <f>'Data (2)'!J54</f>
        <v>81.5</v>
      </c>
      <c r="K23" s="197">
        <f>'Data (2)'!K54</f>
        <v>81.400000000000006</v>
      </c>
      <c r="L23" s="197">
        <f>'Data (2)'!L54</f>
        <v>81.2</v>
      </c>
      <c r="M23" s="197">
        <f>'Data (2)'!M54</f>
        <v>94.8</v>
      </c>
      <c r="N23" s="205">
        <f t="shared" si="25"/>
        <v>94.8</v>
      </c>
      <c r="O23" s="197">
        <f>'Data (2)'!O54</f>
        <v>97.7</v>
      </c>
      <c r="P23" s="197">
        <f>'Data (2)'!P54</f>
        <v>90.8</v>
      </c>
      <c r="Q23" s="197">
        <f>'Data (2)'!Q54</f>
        <v>86</v>
      </c>
      <c r="R23" s="197">
        <f>'Data (2)'!R54</f>
        <v>94.5</v>
      </c>
      <c r="S23" s="205">
        <f t="shared" si="26"/>
        <v>94.5</v>
      </c>
      <c r="T23" s="197">
        <f>'Data (2)'!T54</f>
        <v>102.6</v>
      </c>
      <c r="U23" s="197">
        <f>'Data (2)'!U54</f>
        <v>95.6</v>
      </c>
      <c r="V23" s="197">
        <f>'Data (2)'!V54</f>
        <v>92.2</v>
      </c>
      <c r="W23" s="197">
        <f>'Data (2)'!W54</f>
        <v>104</v>
      </c>
      <c r="X23" s="205">
        <f t="shared" si="27"/>
        <v>104</v>
      </c>
      <c r="Y23" s="197">
        <f>'Data (2)'!Y54</f>
        <v>98.1</v>
      </c>
      <c r="Z23" s="197">
        <f>'Data (2)'!Z54</f>
        <v>100.6</v>
      </c>
      <c r="AA23" s="197">
        <f>'Data (2)'!AA54</f>
        <v>103.4</v>
      </c>
      <c r="AB23" s="197">
        <f>'Data (2)'!AB54</f>
        <v>144.19999999999999</v>
      </c>
      <c r="AC23" s="205">
        <f t="shared" si="28"/>
        <v>144.19999999999999</v>
      </c>
      <c r="AD23" s="197">
        <f>'Data (2)'!AD54</f>
        <v>162.80000000000001</v>
      </c>
      <c r="AE23" s="197">
        <f>'Data (2)'!AE54</f>
        <v>143.80000000000001</v>
      </c>
      <c r="AF23" s="197">
        <f>'Data (2)'!AF54</f>
        <v>121.5</v>
      </c>
      <c r="AG23" s="197">
        <f>'Data (2)'!AG54</f>
        <v>120.5</v>
      </c>
      <c r="AH23" s="205">
        <f t="shared" si="29"/>
        <v>120.5</v>
      </c>
      <c r="AI23" s="197">
        <f>'Data (2)'!AI54</f>
        <v>103</v>
      </c>
      <c r="AJ23" s="197">
        <f>'Data (2)'!AJ54</f>
        <v>74.7</v>
      </c>
      <c r="AK23" s="197">
        <f>'Data (2)'!AK54</f>
        <v>70.8</v>
      </c>
      <c r="AL23" s="197">
        <f>'Data (2)'!AL54</f>
        <v>74.3</v>
      </c>
      <c r="AM23" s="205">
        <f t="shared" si="30"/>
        <v>74.3</v>
      </c>
      <c r="AN23" s="197">
        <f>'Data (2)'!AN54</f>
        <v>78.599999999999994</v>
      </c>
      <c r="AO23" s="197">
        <f>'Data (2)'!AO54</f>
        <v>87.7</v>
      </c>
      <c r="AP23" s="197">
        <f>'Data (2)'!AP54</f>
        <v>82.6</v>
      </c>
      <c r="AQ23" s="197">
        <f>'Data (2)'!AQ54</f>
        <v>83</v>
      </c>
      <c r="AR23" s="205">
        <f t="shared" si="31"/>
        <v>83</v>
      </c>
      <c r="AS23" s="197">
        <f>'Data (2)'!AS54</f>
        <v>107.8</v>
      </c>
      <c r="AT23" s="197">
        <f>'Data (2)'!AT54</f>
        <v>108.7</v>
      </c>
      <c r="AU23" s="197">
        <f>'Data (2)'!AU54</f>
        <v>113.9</v>
      </c>
      <c r="AV23" s="197">
        <f>'Data (2)'!AV54</f>
        <v>141.69999999999999</v>
      </c>
      <c r="AW23" s="205">
        <f t="shared" si="32"/>
        <v>141.69999999999999</v>
      </c>
      <c r="AX23" s="197">
        <f>'Data (2)'!AX54</f>
        <v>119.2</v>
      </c>
      <c r="AY23" s="197">
        <f>'Data (2)'!AY54</f>
        <v>121.3</v>
      </c>
      <c r="AZ23" s="197">
        <f>'Data (2)'!AZ54</f>
        <v>104.3</v>
      </c>
      <c r="BA23" s="197">
        <f>'Data (2)'!BA54</f>
        <v>115.7</v>
      </c>
      <c r="BB23" s="205">
        <f t="shared" si="33"/>
        <v>115.7</v>
      </c>
      <c r="BC23" s="197">
        <f>'Data (2)'!BC54</f>
        <v>125.2</v>
      </c>
      <c r="BD23" s="197">
        <f>'Data (2)'!BD54</f>
        <v>114.2</v>
      </c>
      <c r="BE23" s="197">
        <f>'Data (2)'!BE54</f>
        <v>108.3</v>
      </c>
      <c r="BF23" s="197">
        <f>'Data (2)'!BF54</f>
        <v>135.9</v>
      </c>
      <c r="BG23" s="205">
        <f t="shared" si="34"/>
        <v>135.9</v>
      </c>
      <c r="BH23" s="197">
        <f>'Data (2)'!BH54</f>
        <v>131.80000000000001</v>
      </c>
      <c r="BI23" s="197">
        <f>'Data (2)'!BI54</f>
        <v>128</v>
      </c>
      <c r="BJ23" s="197">
        <f>'Data (2)'!BJ54</f>
        <v>131.19999999999999</v>
      </c>
      <c r="BK23" s="197">
        <f>'Data (2)'!BK54</f>
        <v>175</v>
      </c>
      <c r="BL23" s="205">
        <f t="shared" si="35"/>
        <v>175</v>
      </c>
      <c r="BM23" s="197">
        <f>'Data (2)'!BM54</f>
        <v>140.1</v>
      </c>
      <c r="BN23" s="197">
        <f>'Data (2)'!BN54</f>
        <v>146</v>
      </c>
      <c r="BO23" s="197">
        <f>'Data (2)'!BO54</f>
        <v>134.19999999999999</v>
      </c>
      <c r="BP23" s="197">
        <f>'Data (2)'!BP54</f>
        <v>148.9</v>
      </c>
      <c r="BQ23" s="205">
        <f t="shared" si="36"/>
        <v>148.9</v>
      </c>
      <c r="BR23" s="197">
        <f>'Data (2)'!BR54</f>
        <v>142.6</v>
      </c>
      <c r="BS23" s="197">
        <f>'Data (2)'!BS54</f>
        <v>140.4</v>
      </c>
      <c r="BT23" s="197">
        <f>'Data (2)'!BT54</f>
        <v>149.30000000000001</v>
      </c>
      <c r="BU23" s="197">
        <f>'Data (2)'!BU54</f>
        <v>137.30000000000001</v>
      </c>
      <c r="BV23" s="205">
        <f t="shared" si="37"/>
        <v>137.30000000000001</v>
      </c>
      <c r="BW23" s="197">
        <f>'Data (2)'!BW54</f>
        <v>141.69999999999999</v>
      </c>
      <c r="BX23" s="197">
        <f>'Data (2)'!BX54</f>
        <v>139.5</v>
      </c>
      <c r="BY23" s="197">
        <f>'Data (2)'!BY54</f>
        <v>128.6</v>
      </c>
      <c r="BZ23" s="197">
        <f>'Data (2)'!BZ54</f>
        <v>144.1</v>
      </c>
      <c r="CA23" s="205">
        <f t="shared" si="38"/>
        <v>144.1</v>
      </c>
      <c r="CB23" s="197">
        <f>'Data (2)'!CB54</f>
        <v>154.80000000000001</v>
      </c>
      <c r="CC23" s="197">
        <f>'Data (2)'!CC54</f>
        <v>147.1</v>
      </c>
      <c r="CD23" s="197">
        <f>'Data (2)'!CD54</f>
        <v>143.1</v>
      </c>
      <c r="CE23" s="197">
        <f>'Data (2)'!CE54</f>
        <v>161.9</v>
      </c>
      <c r="CF23" s="205">
        <f t="shared" si="39"/>
        <v>161.9</v>
      </c>
      <c r="CG23" s="197">
        <f>'Data (2)'!CG54</f>
        <v>165.2</v>
      </c>
      <c r="CH23" s="197">
        <f>'Data (2)'!CH54</f>
        <v>177.8</v>
      </c>
      <c r="CI23" s="197">
        <f>'Data (2)'!CI54</f>
        <v>164.5</v>
      </c>
      <c r="CJ23" s="197">
        <f>'Data (2)'!CJ54</f>
        <v>157.6</v>
      </c>
      <c r="CK23" s="205">
        <f t="shared" si="40"/>
        <v>157.6</v>
      </c>
      <c r="CL23" s="197">
        <f>'Data (2)'!CL54</f>
        <v>151.9</v>
      </c>
      <c r="CM23" s="213">
        <f>-CM70/90*'IS (2)'!CM7</f>
        <v>99.964323200000024</v>
      </c>
      <c r="CN23" s="213">
        <f>-CN70/90*'IS (2)'!CN7</f>
        <v>110.2051013</v>
      </c>
      <c r="CO23" s="213">
        <f>-CO70/90*'IS (2)'!CO7</f>
        <v>122.76561250222221</v>
      </c>
      <c r="CP23" s="205">
        <f t="shared" ref="CP23:CP28" si="42">CO23</f>
        <v>122.76561250222221</v>
      </c>
      <c r="CQ23" s="214">
        <f>-CQ70/365*'IS (2)'!CQ7</f>
        <v>130.26617409984931</v>
      </c>
      <c r="CR23" s="214">
        <f>-CR70/365*'IS (2)'!CR7</f>
        <v>140.07736667026677</v>
      </c>
      <c r="CS23" s="214">
        <f>-CS70/365*'IS (2)'!CS7</f>
        <v>152.5897280233759</v>
      </c>
    </row>
    <row r="24" spans="2:99" ht="12" customHeight="1">
      <c r="B24" s="361" t="s">
        <v>48</v>
      </c>
      <c r="C24" s="205">
        <f>'Data (2)'!C55</f>
        <v>37.305999999999997</v>
      </c>
      <c r="D24" s="205">
        <f>'Data (2)'!D55</f>
        <v>42.171999999999997</v>
      </c>
      <c r="E24" s="205">
        <f>'Data (2)'!E55</f>
        <v>38.4</v>
      </c>
      <c r="F24" s="205">
        <f>'Data (2)'!F55</f>
        <v>47.4</v>
      </c>
      <c r="G24" s="205">
        <f>'Data (2)'!G55</f>
        <v>47.5</v>
      </c>
      <c r="H24" s="205">
        <f>'Data (2)'!H55</f>
        <v>37.6</v>
      </c>
      <c r="I24" s="205">
        <f>'Data (2)'!I55</f>
        <v>42.3</v>
      </c>
      <c r="J24" s="197">
        <f>'Data (2)'!J55</f>
        <v>92.7</v>
      </c>
      <c r="K24" s="197">
        <f>'Data (2)'!K55</f>
        <v>108.1</v>
      </c>
      <c r="L24" s="197">
        <f>'Data (2)'!L55</f>
        <v>115.1</v>
      </c>
      <c r="M24" s="197">
        <f>'Data (2)'!M55</f>
        <v>55.6</v>
      </c>
      <c r="N24" s="205">
        <f t="shared" si="25"/>
        <v>55.6</v>
      </c>
      <c r="O24" s="197">
        <f>'Data (2)'!O55</f>
        <v>91.1</v>
      </c>
      <c r="P24" s="197">
        <f>'Data (2)'!P55</f>
        <v>92.6</v>
      </c>
      <c r="Q24" s="197">
        <f>'Data (2)'!Q55</f>
        <v>108.9</v>
      </c>
      <c r="R24" s="197">
        <f>'Data (2)'!R55</f>
        <v>49.2</v>
      </c>
      <c r="S24" s="205">
        <f t="shared" si="26"/>
        <v>49.2</v>
      </c>
      <c r="T24" s="197">
        <f>'Data (2)'!T55</f>
        <v>88.6</v>
      </c>
      <c r="U24" s="197">
        <f>'Data (2)'!U55</f>
        <v>94</v>
      </c>
      <c r="V24" s="197">
        <f>'Data (2)'!V55</f>
        <v>93.8</v>
      </c>
      <c r="W24" s="197">
        <f>'Data (2)'!W55</f>
        <v>42.4</v>
      </c>
      <c r="X24" s="205">
        <f t="shared" si="27"/>
        <v>42.4</v>
      </c>
      <c r="Y24" s="197">
        <f>'Data (2)'!Y55</f>
        <v>111</v>
      </c>
      <c r="Z24" s="197">
        <f>'Data (2)'!Z55</f>
        <v>131.1</v>
      </c>
      <c r="AA24" s="197">
        <f>'Data (2)'!AA55</f>
        <v>126.1</v>
      </c>
      <c r="AB24" s="197">
        <f>'Data (2)'!AB55</f>
        <v>22.1</v>
      </c>
      <c r="AC24" s="205">
        <f t="shared" si="28"/>
        <v>22.1</v>
      </c>
      <c r="AD24" s="197">
        <f>'Data (2)'!AD55</f>
        <v>77.2</v>
      </c>
      <c r="AE24" s="197">
        <f>'Data (2)'!AE55</f>
        <v>87.1</v>
      </c>
      <c r="AF24" s="197">
        <f>'Data (2)'!AF55</f>
        <v>80.5</v>
      </c>
      <c r="AG24" s="197">
        <f>'Data (2)'!AG55</f>
        <v>47.2</v>
      </c>
      <c r="AH24" s="205">
        <f t="shared" si="29"/>
        <v>47.2</v>
      </c>
      <c r="AI24" s="197">
        <f>'Data (2)'!AI55</f>
        <v>91.9</v>
      </c>
      <c r="AJ24" s="197">
        <f>'Data (2)'!AJ55</f>
        <v>85.1</v>
      </c>
      <c r="AK24" s="197">
        <f>'Data (2)'!AK55</f>
        <v>85.3</v>
      </c>
      <c r="AL24" s="197">
        <f>'Data (2)'!AL55</f>
        <v>93.9</v>
      </c>
      <c r="AM24" s="205">
        <f t="shared" si="30"/>
        <v>93.9</v>
      </c>
      <c r="AN24" s="197">
        <f>'Data (2)'!AN55</f>
        <v>81.599999999999994</v>
      </c>
      <c r="AO24" s="197">
        <f>'Data (2)'!AO55</f>
        <v>99.4</v>
      </c>
      <c r="AP24" s="197">
        <f>'Data (2)'!AP55</f>
        <v>103.8</v>
      </c>
      <c r="AQ24" s="197">
        <f>'Data (2)'!AQ55</f>
        <v>50.5</v>
      </c>
      <c r="AR24" s="205">
        <f t="shared" si="31"/>
        <v>50.5</v>
      </c>
      <c r="AS24" s="197">
        <f>'Data (2)'!AS55</f>
        <v>0</v>
      </c>
      <c r="AT24" s="197">
        <f>'Data (2)'!AT55</f>
        <v>0</v>
      </c>
      <c r="AU24" s="197">
        <f>'Data (2)'!AU55</f>
        <v>0</v>
      </c>
      <c r="AV24" s="197">
        <f>'Data (2)'!AV55</f>
        <v>0</v>
      </c>
      <c r="AW24" s="205">
        <f t="shared" si="32"/>
        <v>0</v>
      </c>
      <c r="AX24" s="197">
        <f>'Data (2)'!AX55</f>
        <v>0</v>
      </c>
      <c r="AY24" s="197">
        <f>'Data (2)'!AY55</f>
        <v>0</v>
      </c>
      <c r="AZ24" s="197">
        <f>'Data (2)'!AZ55</f>
        <v>0</v>
      </c>
      <c r="BA24" s="197">
        <f>'Data (2)'!BA55</f>
        <v>58.8</v>
      </c>
      <c r="BB24" s="205">
        <f t="shared" si="33"/>
        <v>58.8</v>
      </c>
      <c r="BC24" s="197">
        <f>'Data (2)'!BC55</f>
        <v>0</v>
      </c>
      <c r="BD24" s="197">
        <f>'Data (2)'!BD55</f>
        <v>0</v>
      </c>
      <c r="BE24" s="197">
        <f>'Data (2)'!BE55</f>
        <v>0</v>
      </c>
      <c r="BF24" s="197">
        <f>'Data (2)'!BF55</f>
        <v>0</v>
      </c>
      <c r="BG24" s="205">
        <f t="shared" si="34"/>
        <v>0</v>
      </c>
      <c r="BH24" s="197">
        <f>'Data (2)'!BH55</f>
        <v>0</v>
      </c>
      <c r="BI24" s="197">
        <f>'Data (2)'!BI55</f>
        <v>0</v>
      </c>
      <c r="BJ24" s="197">
        <f>'Data (2)'!BJ55</f>
        <v>0</v>
      </c>
      <c r="BK24" s="197">
        <f>'Data (2)'!BK55</f>
        <v>0</v>
      </c>
      <c r="BL24" s="205">
        <f t="shared" si="35"/>
        <v>0</v>
      </c>
      <c r="BM24" s="197">
        <f>'Data (2)'!BM55</f>
        <v>0</v>
      </c>
      <c r="BN24" s="197">
        <f>'Data (2)'!BN55</f>
        <v>0</v>
      </c>
      <c r="BO24" s="197">
        <f>'Data (2)'!BO55</f>
        <v>0</v>
      </c>
      <c r="BP24" s="197">
        <f>'Data (2)'!BP55</f>
        <v>0</v>
      </c>
      <c r="BQ24" s="205">
        <f t="shared" si="36"/>
        <v>0</v>
      </c>
      <c r="BR24" s="197">
        <f>'Data (2)'!BR55</f>
        <v>0</v>
      </c>
      <c r="BS24" s="197">
        <f>'Data (2)'!BS55</f>
        <v>0</v>
      </c>
      <c r="BT24" s="197">
        <f>'Data (2)'!BT55</f>
        <v>0</v>
      </c>
      <c r="BU24" s="197">
        <f>'Data (2)'!BU55</f>
        <v>0</v>
      </c>
      <c r="BV24" s="205">
        <f t="shared" si="37"/>
        <v>0</v>
      </c>
      <c r="BW24" s="197">
        <f>'Data (2)'!BW55</f>
        <v>0</v>
      </c>
      <c r="BX24" s="197">
        <f>'Data (2)'!BX55</f>
        <v>0</v>
      </c>
      <c r="BY24" s="197">
        <f>'Data (2)'!BY55</f>
        <v>0</v>
      </c>
      <c r="BZ24" s="197">
        <f>'Data (2)'!BZ55</f>
        <v>0</v>
      </c>
      <c r="CA24" s="205">
        <f t="shared" si="38"/>
        <v>0</v>
      </c>
      <c r="CB24" s="197">
        <f>'Data (2)'!CB55</f>
        <v>0</v>
      </c>
      <c r="CC24" s="197">
        <f>'Data (2)'!CC55</f>
        <v>0</v>
      </c>
      <c r="CD24" s="197">
        <f>'Data (2)'!CD55</f>
        <v>0</v>
      </c>
      <c r="CE24" s="197">
        <f>'Data (2)'!CE55</f>
        <v>0</v>
      </c>
      <c r="CF24" s="205">
        <f t="shared" si="39"/>
        <v>0</v>
      </c>
      <c r="CG24" s="197">
        <f>'Data (2)'!CG55</f>
        <v>62.1</v>
      </c>
      <c r="CH24" s="197">
        <f>'Data (2)'!CH55</f>
        <v>66.900000000000006</v>
      </c>
      <c r="CI24" s="197">
        <f>'Data (2)'!CI55</f>
        <v>70.599999999999994</v>
      </c>
      <c r="CJ24" s="197">
        <f>'Data (2)'!CJ55</f>
        <v>74.400000000000006</v>
      </c>
      <c r="CK24" s="205">
        <f t="shared" si="40"/>
        <v>74.400000000000006</v>
      </c>
      <c r="CL24" s="197">
        <f>'Data (2)'!CL55</f>
        <v>50.7</v>
      </c>
      <c r="CM24" s="222">
        <f>CL24+2/4</f>
        <v>51.2</v>
      </c>
      <c r="CN24" s="222">
        <f>CM24+2/4</f>
        <v>51.7</v>
      </c>
      <c r="CO24" s="222">
        <f>CN24+2/4</f>
        <v>52.2</v>
      </c>
      <c r="CP24" s="205">
        <f t="shared" si="42"/>
        <v>52.2</v>
      </c>
      <c r="CQ24" s="223">
        <f>CP24+2</f>
        <v>54.2</v>
      </c>
      <c r="CR24" s="223">
        <f>CQ24+2</f>
        <v>56.2</v>
      </c>
      <c r="CS24" s="223">
        <f>CR24+2</f>
        <v>58.2</v>
      </c>
      <c r="CT24" s="156">
        <f>CL7+CL8+CL9+CL13</f>
        <v>2865.9</v>
      </c>
    </row>
    <row r="25" spans="2:99" ht="12" customHeight="1">
      <c r="B25" s="361" t="s">
        <v>49</v>
      </c>
      <c r="C25" s="205">
        <f>'Data (2)'!C56</f>
        <v>0</v>
      </c>
      <c r="D25" s="205">
        <f>'Data (2)'!D56</f>
        <v>0</v>
      </c>
      <c r="E25" s="205">
        <f>'Data (2)'!E56</f>
        <v>0</v>
      </c>
      <c r="F25" s="205">
        <f>'Data (2)'!F56</f>
        <v>17.600000000000001</v>
      </c>
      <c r="G25" s="205">
        <f>'Data (2)'!G56</f>
        <v>18.8</v>
      </c>
      <c r="H25" s="205">
        <f>'Data (2)'!H56</f>
        <v>19.100000000000001</v>
      </c>
      <c r="I25" s="205">
        <f>'Data (2)'!I56</f>
        <v>18.3</v>
      </c>
      <c r="J25" s="197">
        <f>'Data (2)'!J56</f>
        <v>0</v>
      </c>
      <c r="K25" s="197">
        <f>'Data (2)'!K56</f>
        <v>0</v>
      </c>
      <c r="L25" s="197">
        <f>'Data (2)'!L56</f>
        <v>0</v>
      </c>
      <c r="M25" s="197">
        <f>'Data (2)'!M56</f>
        <v>16</v>
      </c>
      <c r="N25" s="205">
        <f t="shared" si="25"/>
        <v>16</v>
      </c>
      <c r="O25" s="197">
        <f>'Data (2)'!O56</f>
        <v>0</v>
      </c>
      <c r="P25" s="197">
        <f>'Data (2)'!P56</f>
        <v>0</v>
      </c>
      <c r="Q25" s="197">
        <f>'Data (2)'!Q56</f>
        <v>0</v>
      </c>
      <c r="R25" s="197">
        <f>'Data (2)'!R56</f>
        <v>8.6</v>
      </c>
      <c r="S25" s="205">
        <f t="shared" si="26"/>
        <v>8.6</v>
      </c>
      <c r="T25" s="197">
        <f>'Data (2)'!T56</f>
        <v>0</v>
      </c>
      <c r="U25" s="197">
        <f>'Data (2)'!U56</f>
        <v>0</v>
      </c>
      <c r="V25" s="197">
        <f>'Data (2)'!V56</f>
        <v>0</v>
      </c>
      <c r="W25" s="197">
        <f>'Data (2)'!W56</f>
        <v>8.8000000000000007</v>
      </c>
      <c r="X25" s="205">
        <f t="shared" si="27"/>
        <v>8.8000000000000007</v>
      </c>
      <c r="Y25" s="197">
        <f>'Data (2)'!Y56</f>
        <v>0</v>
      </c>
      <c r="Z25" s="197">
        <f>'Data (2)'!Z56</f>
        <v>0</v>
      </c>
      <c r="AA25" s="197">
        <f>'Data (2)'!AA56</f>
        <v>0</v>
      </c>
      <c r="AB25" s="197">
        <f>'Data (2)'!AB56</f>
        <v>9.6</v>
      </c>
      <c r="AC25" s="205">
        <f t="shared" si="28"/>
        <v>9.6</v>
      </c>
      <c r="AD25" s="197">
        <f>'Data (2)'!AD56</f>
        <v>0</v>
      </c>
      <c r="AE25" s="197">
        <f>'Data (2)'!AE56</f>
        <v>0</v>
      </c>
      <c r="AF25" s="197">
        <f>'Data (2)'!AF56</f>
        <v>0</v>
      </c>
      <c r="AG25" s="197">
        <f>'Data (2)'!AG56</f>
        <v>10.1</v>
      </c>
      <c r="AH25" s="205">
        <f t="shared" si="29"/>
        <v>10.1</v>
      </c>
      <c r="AI25" s="197">
        <f>'Data (2)'!AI56</f>
        <v>0</v>
      </c>
      <c r="AJ25" s="197">
        <f>'Data (2)'!AJ56</f>
        <v>0</v>
      </c>
      <c r="AK25" s="197">
        <f>'Data (2)'!AK56</f>
        <v>0</v>
      </c>
      <c r="AL25" s="197">
        <f>'Data (2)'!AL56</f>
        <v>0</v>
      </c>
      <c r="AM25" s="205">
        <f t="shared" si="30"/>
        <v>0</v>
      </c>
      <c r="AN25" s="197">
        <f>'Data (2)'!AN56</f>
        <v>0</v>
      </c>
      <c r="AO25" s="197">
        <f>'Data (2)'!AO56</f>
        <v>0</v>
      </c>
      <c r="AP25" s="197">
        <f>'Data (2)'!AP56</f>
        <v>0</v>
      </c>
      <c r="AQ25" s="197">
        <f>'Data (2)'!AQ56</f>
        <v>6.9</v>
      </c>
      <c r="AR25" s="205">
        <f t="shared" si="31"/>
        <v>6.9</v>
      </c>
      <c r="AS25" s="197">
        <f>'Data (2)'!AS56</f>
        <v>0</v>
      </c>
      <c r="AT25" s="197">
        <f>'Data (2)'!AT56</f>
        <v>0</v>
      </c>
      <c r="AU25" s="197">
        <f>'Data (2)'!AU56</f>
        <v>0</v>
      </c>
      <c r="AV25" s="197">
        <f>'Data (2)'!AV56</f>
        <v>0</v>
      </c>
      <c r="AW25" s="205">
        <f t="shared" si="32"/>
        <v>0</v>
      </c>
      <c r="AX25" s="197">
        <f>'Data (2)'!AX56</f>
        <v>0</v>
      </c>
      <c r="AY25" s="197">
        <f>'Data (2)'!AY56</f>
        <v>0</v>
      </c>
      <c r="AZ25" s="197">
        <f>'Data (2)'!AZ56</f>
        <v>0</v>
      </c>
      <c r="BA25" s="197">
        <f>'Data (2)'!BA56</f>
        <v>0</v>
      </c>
      <c r="BB25" s="205">
        <f t="shared" si="33"/>
        <v>0</v>
      </c>
      <c r="BC25" s="197">
        <f>'Data (2)'!BC56</f>
        <v>0</v>
      </c>
      <c r="BD25" s="197">
        <f>'Data (2)'!BD56</f>
        <v>0</v>
      </c>
      <c r="BE25" s="197">
        <f>'Data (2)'!BE56</f>
        <v>0</v>
      </c>
      <c r="BF25" s="197">
        <f>'Data (2)'!BF56</f>
        <v>0</v>
      </c>
      <c r="BG25" s="205">
        <f t="shared" si="34"/>
        <v>0</v>
      </c>
      <c r="BH25" s="197">
        <f>'Data (2)'!BH56</f>
        <v>0</v>
      </c>
      <c r="BI25" s="197">
        <f>'Data (2)'!BI56</f>
        <v>0</v>
      </c>
      <c r="BJ25" s="197">
        <f>'Data (2)'!BJ56</f>
        <v>0</v>
      </c>
      <c r="BK25" s="197">
        <f>'Data (2)'!BK56</f>
        <v>0</v>
      </c>
      <c r="BL25" s="205">
        <f t="shared" si="35"/>
        <v>0</v>
      </c>
      <c r="BM25" s="197">
        <f>'Data (2)'!BM56</f>
        <v>0</v>
      </c>
      <c r="BN25" s="197">
        <f>'Data (2)'!BN56</f>
        <v>0</v>
      </c>
      <c r="BO25" s="197">
        <f>'Data (2)'!BO56</f>
        <v>0</v>
      </c>
      <c r="BP25" s="197">
        <f>'Data (2)'!BP56</f>
        <v>0</v>
      </c>
      <c r="BQ25" s="205">
        <f t="shared" si="36"/>
        <v>0</v>
      </c>
      <c r="BR25" s="197">
        <f>'Data (2)'!BR56</f>
        <v>0</v>
      </c>
      <c r="BS25" s="197">
        <f>'Data (2)'!BS56</f>
        <v>0</v>
      </c>
      <c r="BT25" s="197">
        <f>'Data (2)'!BT56</f>
        <v>0</v>
      </c>
      <c r="BU25" s="197">
        <f>'Data (2)'!BU56</f>
        <v>0</v>
      </c>
      <c r="BV25" s="205">
        <f t="shared" si="37"/>
        <v>0</v>
      </c>
      <c r="BW25" s="197">
        <f>'Data (2)'!BW56</f>
        <v>0</v>
      </c>
      <c r="BX25" s="197">
        <f>'Data (2)'!BX56</f>
        <v>0</v>
      </c>
      <c r="BY25" s="197">
        <f>'Data (2)'!BY56</f>
        <v>0</v>
      </c>
      <c r="BZ25" s="197">
        <f>'Data (2)'!BZ56</f>
        <v>0</v>
      </c>
      <c r="CA25" s="205">
        <f t="shared" si="38"/>
        <v>0</v>
      </c>
      <c r="CB25" s="197">
        <f>'Data (2)'!CB56</f>
        <v>0</v>
      </c>
      <c r="CC25" s="197">
        <f>'Data (2)'!CC56</f>
        <v>0</v>
      </c>
      <c r="CD25" s="197">
        <f>'Data (2)'!CD56</f>
        <v>0</v>
      </c>
      <c r="CE25" s="197">
        <f>'Data (2)'!CE56</f>
        <v>0</v>
      </c>
      <c r="CF25" s="205">
        <f t="shared" si="39"/>
        <v>0</v>
      </c>
      <c r="CG25" s="197">
        <f>'Data (2)'!CG56</f>
        <v>0</v>
      </c>
      <c r="CH25" s="197">
        <f>'Data (2)'!CH56</f>
        <v>0</v>
      </c>
      <c r="CI25" s="197">
        <f>'Data (2)'!CI56</f>
        <v>0</v>
      </c>
      <c r="CJ25" s="197">
        <f>'Data (2)'!CJ56</f>
        <v>0</v>
      </c>
      <c r="CK25" s="205">
        <f t="shared" si="40"/>
        <v>0</v>
      </c>
      <c r="CL25" s="197">
        <f>'Data (2)'!CL56</f>
        <v>0</v>
      </c>
      <c r="CM25" s="222">
        <v>0</v>
      </c>
      <c r="CN25" s="222">
        <v>0</v>
      </c>
      <c r="CO25" s="222">
        <v>0</v>
      </c>
      <c r="CP25" s="205">
        <f t="shared" si="42"/>
        <v>0</v>
      </c>
      <c r="CQ25" s="223">
        <v>0</v>
      </c>
      <c r="CR25" s="223">
        <v>0</v>
      </c>
      <c r="CS25" s="223">
        <v>0</v>
      </c>
      <c r="CT25" s="156">
        <f>-CL63</f>
        <v>-1060.2</v>
      </c>
    </row>
    <row r="26" spans="2:99" ht="12" customHeight="1">
      <c r="B26" s="361" t="s">
        <v>50</v>
      </c>
      <c r="C26" s="205">
        <f>'Data (2)'!C57</f>
        <v>0</v>
      </c>
      <c r="D26" s="205">
        <f>'Data (2)'!D57</f>
        <v>0</v>
      </c>
      <c r="E26" s="205">
        <f>'Data (2)'!E57</f>
        <v>0</v>
      </c>
      <c r="F26" s="205">
        <f>'Data (2)'!F57</f>
        <v>41.4</v>
      </c>
      <c r="G26" s="205">
        <f>'Data (2)'!G57</f>
        <v>33.4</v>
      </c>
      <c r="H26" s="205">
        <f>'Data (2)'!H57</f>
        <v>10.5</v>
      </c>
      <c r="I26" s="205">
        <f>'Data (2)'!I57</f>
        <v>5.9</v>
      </c>
      <c r="J26" s="197">
        <f>'Data (2)'!J57</f>
        <v>0</v>
      </c>
      <c r="K26" s="197">
        <f>'Data (2)'!K57</f>
        <v>0</v>
      </c>
      <c r="L26" s="197">
        <f>'Data (2)'!L57</f>
        <v>0</v>
      </c>
      <c r="M26" s="197">
        <f>'Data (2)'!M57</f>
        <v>4.3</v>
      </c>
      <c r="N26" s="205">
        <f t="shared" si="25"/>
        <v>4.3</v>
      </c>
      <c r="O26" s="197">
        <f>'Data (2)'!O57</f>
        <v>0</v>
      </c>
      <c r="P26" s="197">
        <f>'Data (2)'!P57</f>
        <v>0</v>
      </c>
      <c r="Q26" s="197">
        <f>'Data (2)'!Q57</f>
        <v>0</v>
      </c>
      <c r="R26" s="197">
        <f>'Data (2)'!R57</f>
        <v>4.2</v>
      </c>
      <c r="S26" s="205">
        <f t="shared" si="26"/>
        <v>4.2</v>
      </c>
      <c r="T26" s="197">
        <f>'Data (2)'!T57</f>
        <v>0</v>
      </c>
      <c r="U26" s="197">
        <f>'Data (2)'!U57</f>
        <v>0</v>
      </c>
      <c r="V26" s="197">
        <f>'Data (2)'!V57</f>
        <v>0</v>
      </c>
      <c r="W26" s="197">
        <f>'Data (2)'!W57</f>
        <v>11</v>
      </c>
      <c r="X26" s="205">
        <f t="shared" si="27"/>
        <v>11</v>
      </c>
      <c r="Y26" s="197">
        <f>'Data (2)'!Y57</f>
        <v>0</v>
      </c>
      <c r="Z26" s="197">
        <f>'Data (2)'!Z57</f>
        <v>0</v>
      </c>
      <c r="AA26" s="197">
        <f>'Data (2)'!AA57</f>
        <v>0</v>
      </c>
      <c r="AB26" s="197">
        <f>'Data (2)'!AB57</f>
        <v>3.4</v>
      </c>
      <c r="AC26" s="205">
        <f t="shared" si="28"/>
        <v>3.4</v>
      </c>
      <c r="AD26" s="197">
        <f>'Data (2)'!AD57</f>
        <v>0</v>
      </c>
      <c r="AE26" s="197">
        <f>'Data (2)'!AE57</f>
        <v>0</v>
      </c>
      <c r="AF26" s="197">
        <f>'Data (2)'!AF57</f>
        <v>0</v>
      </c>
      <c r="AG26" s="197">
        <f>'Data (2)'!AG57</f>
        <v>2.9</v>
      </c>
      <c r="AH26" s="205">
        <f t="shared" si="29"/>
        <v>2.9</v>
      </c>
      <c r="AI26" s="197">
        <f>'Data (2)'!AI57</f>
        <v>0</v>
      </c>
      <c r="AJ26" s="197">
        <f>'Data (2)'!AJ57</f>
        <v>0</v>
      </c>
      <c r="AK26" s="197">
        <f>'Data (2)'!AK57</f>
        <v>0</v>
      </c>
      <c r="AL26" s="197">
        <f>'Data (2)'!AL57</f>
        <v>0</v>
      </c>
      <c r="AM26" s="205">
        <f t="shared" si="30"/>
        <v>0</v>
      </c>
      <c r="AN26" s="197">
        <f>'Data (2)'!AN57</f>
        <v>0</v>
      </c>
      <c r="AO26" s="197">
        <f>'Data (2)'!AO57</f>
        <v>0</v>
      </c>
      <c r="AP26" s="197">
        <f>'Data (2)'!AP57</f>
        <v>0</v>
      </c>
      <c r="AQ26" s="197">
        <f>'Data (2)'!AQ57</f>
        <v>0</v>
      </c>
      <c r="AR26" s="205">
        <f t="shared" si="31"/>
        <v>0</v>
      </c>
      <c r="AS26" s="197">
        <f>'Data (2)'!AS57</f>
        <v>0</v>
      </c>
      <c r="AT26" s="197">
        <f>'Data (2)'!AT57</f>
        <v>0</v>
      </c>
      <c r="AU26" s="197">
        <f>'Data (2)'!AU57</f>
        <v>0</v>
      </c>
      <c r="AV26" s="197">
        <f>'Data (2)'!AV57</f>
        <v>0</v>
      </c>
      <c r="AW26" s="205">
        <f t="shared" si="32"/>
        <v>0</v>
      </c>
      <c r="AX26" s="197">
        <f>'Data (2)'!AX57</f>
        <v>0</v>
      </c>
      <c r="AY26" s="197">
        <f>'Data (2)'!AY57</f>
        <v>0</v>
      </c>
      <c r="AZ26" s="197">
        <f>'Data (2)'!AZ57</f>
        <v>0</v>
      </c>
      <c r="BA26" s="197">
        <f>'Data (2)'!BA57</f>
        <v>0</v>
      </c>
      <c r="BB26" s="205">
        <f t="shared" si="33"/>
        <v>0</v>
      </c>
      <c r="BC26" s="197">
        <f>'Data (2)'!BC57</f>
        <v>0</v>
      </c>
      <c r="BD26" s="197">
        <f>'Data (2)'!BD57</f>
        <v>0</v>
      </c>
      <c r="BE26" s="197">
        <f>'Data (2)'!BE57</f>
        <v>0</v>
      </c>
      <c r="BF26" s="197">
        <f>'Data (2)'!BF57</f>
        <v>0</v>
      </c>
      <c r="BG26" s="205">
        <f t="shared" si="34"/>
        <v>0</v>
      </c>
      <c r="BH26" s="197">
        <f>'Data (2)'!BH57</f>
        <v>0</v>
      </c>
      <c r="BI26" s="197">
        <f>'Data (2)'!BI57</f>
        <v>0</v>
      </c>
      <c r="BJ26" s="197">
        <f>'Data (2)'!BJ57</f>
        <v>0</v>
      </c>
      <c r="BK26" s="197">
        <f>'Data (2)'!BK57</f>
        <v>0</v>
      </c>
      <c r="BL26" s="205">
        <f t="shared" si="35"/>
        <v>0</v>
      </c>
      <c r="BM26" s="197">
        <f>'Data (2)'!BM57</f>
        <v>0</v>
      </c>
      <c r="BN26" s="197">
        <f>'Data (2)'!BN57</f>
        <v>0</v>
      </c>
      <c r="BO26" s="197">
        <f>'Data (2)'!BO57</f>
        <v>0</v>
      </c>
      <c r="BP26" s="197">
        <f>'Data (2)'!BP57</f>
        <v>0</v>
      </c>
      <c r="BQ26" s="205">
        <f t="shared" si="36"/>
        <v>0</v>
      </c>
      <c r="BR26" s="197">
        <f>'Data (2)'!BR57</f>
        <v>0</v>
      </c>
      <c r="BS26" s="197">
        <f>'Data (2)'!BS57</f>
        <v>0</v>
      </c>
      <c r="BT26" s="197">
        <f>'Data (2)'!BT57</f>
        <v>0</v>
      </c>
      <c r="BU26" s="197">
        <f>'Data (2)'!BU57</f>
        <v>0</v>
      </c>
      <c r="BV26" s="205">
        <f t="shared" si="37"/>
        <v>0</v>
      </c>
      <c r="BW26" s="197">
        <f>'Data (2)'!BW57</f>
        <v>0</v>
      </c>
      <c r="BX26" s="197">
        <f>'Data (2)'!BX57</f>
        <v>0</v>
      </c>
      <c r="BY26" s="197">
        <f>'Data (2)'!BY57</f>
        <v>0</v>
      </c>
      <c r="BZ26" s="197">
        <f>'Data (2)'!BZ57</f>
        <v>0</v>
      </c>
      <c r="CA26" s="205">
        <f t="shared" si="38"/>
        <v>0</v>
      </c>
      <c r="CB26" s="197">
        <f>'Data (2)'!CB57</f>
        <v>0</v>
      </c>
      <c r="CC26" s="197">
        <f>'Data (2)'!CC57</f>
        <v>0</v>
      </c>
      <c r="CD26" s="197">
        <f>'Data (2)'!CD57</f>
        <v>0</v>
      </c>
      <c r="CE26" s="197">
        <f>'Data (2)'!CE57</f>
        <v>0</v>
      </c>
      <c r="CF26" s="205">
        <f t="shared" si="39"/>
        <v>0</v>
      </c>
      <c r="CG26" s="197">
        <f>'Data (2)'!CG57</f>
        <v>0</v>
      </c>
      <c r="CH26" s="197">
        <f>'Data (2)'!CH57</f>
        <v>0</v>
      </c>
      <c r="CI26" s="197">
        <f>'Data (2)'!CI57</f>
        <v>0</v>
      </c>
      <c r="CJ26" s="197">
        <f>'Data (2)'!CJ57</f>
        <v>0</v>
      </c>
      <c r="CK26" s="205">
        <f t="shared" si="40"/>
        <v>0</v>
      </c>
      <c r="CL26" s="197">
        <f>'Data (2)'!CL57</f>
        <v>0</v>
      </c>
      <c r="CM26" s="222">
        <f t="shared" ref="CM26:CO28" si="43">CL26</f>
        <v>0</v>
      </c>
      <c r="CN26" s="222">
        <f t="shared" si="43"/>
        <v>0</v>
      </c>
      <c r="CO26" s="222">
        <f t="shared" si="43"/>
        <v>0</v>
      </c>
      <c r="CP26" s="205">
        <f t="shared" si="42"/>
        <v>0</v>
      </c>
      <c r="CQ26" s="223">
        <f t="shared" ref="CQ26:CS28" si="44">CP26</f>
        <v>0</v>
      </c>
      <c r="CR26" s="223">
        <f t="shared" si="44"/>
        <v>0</v>
      </c>
      <c r="CS26" s="223">
        <f t="shared" si="44"/>
        <v>0</v>
      </c>
      <c r="CT26" s="156">
        <f>CT24+CT25</f>
        <v>1805.7</v>
      </c>
    </row>
    <row r="27" spans="2:99" ht="12" customHeight="1">
      <c r="B27" s="361" t="s">
        <v>51</v>
      </c>
      <c r="C27" s="205">
        <f>'Data (2)'!C58</f>
        <v>65.180999999999997</v>
      </c>
      <c r="D27" s="205">
        <f>'Data (2)'!D58</f>
        <v>68.536000000000001</v>
      </c>
      <c r="E27" s="205">
        <f>'Data (2)'!E58</f>
        <v>57.5</v>
      </c>
      <c r="F27" s="205">
        <f>'Data (2)'!F58</f>
        <v>0</v>
      </c>
      <c r="G27" s="205">
        <f>'Data (2)'!G58</f>
        <v>32</v>
      </c>
      <c r="H27" s="205">
        <f>'Data (2)'!H58</f>
        <v>35.299999999999997</v>
      </c>
      <c r="I27" s="205">
        <f>'Data (2)'!I58</f>
        <v>31.2</v>
      </c>
      <c r="J27" s="197">
        <f>'Data (2)'!J58</f>
        <v>0</v>
      </c>
      <c r="K27" s="197">
        <f>'Data (2)'!K58</f>
        <v>0</v>
      </c>
      <c r="L27" s="197">
        <f>'Data (2)'!L58</f>
        <v>0</v>
      </c>
      <c r="M27" s="197">
        <f>'Data (2)'!M58</f>
        <v>44.3</v>
      </c>
      <c r="N27" s="205">
        <f t="shared" si="25"/>
        <v>44.3</v>
      </c>
      <c r="O27" s="197">
        <f>'Data (2)'!O58</f>
        <v>0</v>
      </c>
      <c r="P27" s="197">
        <f>'Data (2)'!P58</f>
        <v>0</v>
      </c>
      <c r="Q27" s="197">
        <f>'Data (2)'!Q58</f>
        <v>0</v>
      </c>
      <c r="R27" s="197">
        <f>'Data (2)'!R58</f>
        <v>36.299999999999997</v>
      </c>
      <c r="S27" s="205">
        <f t="shared" si="26"/>
        <v>36.299999999999997</v>
      </c>
      <c r="T27" s="197">
        <f>'Data (2)'!T58</f>
        <v>0</v>
      </c>
      <c r="U27" s="197">
        <f>'Data (2)'!U58</f>
        <v>0</v>
      </c>
      <c r="V27" s="197">
        <f>'Data (2)'!V58</f>
        <v>0</v>
      </c>
      <c r="W27" s="197">
        <f>'Data (2)'!W58</f>
        <v>50.6</v>
      </c>
      <c r="X27" s="205">
        <f t="shared" si="27"/>
        <v>50.6</v>
      </c>
      <c r="Y27" s="197">
        <f>'Data (2)'!Y58</f>
        <v>0</v>
      </c>
      <c r="Z27" s="197">
        <f>'Data (2)'!Z58</f>
        <v>0</v>
      </c>
      <c r="AA27" s="197">
        <f>'Data (2)'!AA58</f>
        <v>0</v>
      </c>
      <c r="AB27" s="197">
        <f>'Data (2)'!AB58</f>
        <v>64.599999999999994</v>
      </c>
      <c r="AC27" s="205">
        <f t="shared" si="28"/>
        <v>64.599999999999994</v>
      </c>
      <c r="AD27" s="197">
        <f>'Data (2)'!AD58</f>
        <v>0</v>
      </c>
      <c r="AE27" s="197">
        <f>'Data (2)'!AE58</f>
        <v>0</v>
      </c>
      <c r="AF27" s="197">
        <f>'Data (2)'!AF58</f>
        <v>0</v>
      </c>
      <c r="AG27" s="197">
        <f>'Data (2)'!AG58</f>
        <v>41.4</v>
      </c>
      <c r="AH27" s="205">
        <f t="shared" si="29"/>
        <v>41.4</v>
      </c>
      <c r="AI27" s="197">
        <f>'Data (2)'!AI58</f>
        <v>0</v>
      </c>
      <c r="AJ27" s="197">
        <f>'Data (2)'!AJ58</f>
        <v>0</v>
      </c>
      <c r="AK27" s="197">
        <f>'Data (2)'!AK58</f>
        <v>0</v>
      </c>
      <c r="AL27" s="197">
        <f>'Data (2)'!AL58</f>
        <v>0</v>
      </c>
      <c r="AM27" s="205">
        <f t="shared" si="30"/>
        <v>0</v>
      </c>
      <c r="AN27" s="197">
        <f>'Data (2)'!AN58</f>
        <v>0</v>
      </c>
      <c r="AO27" s="197">
        <f>'Data (2)'!AO58</f>
        <v>0</v>
      </c>
      <c r="AP27" s="197">
        <f>'Data (2)'!AP58</f>
        <v>0</v>
      </c>
      <c r="AQ27" s="197">
        <f>'Data (2)'!AQ58</f>
        <v>37.9</v>
      </c>
      <c r="AR27" s="205">
        <f t="shared" si="31"/>
        <v>37.9</v>
      </c>
      <c r="AS27" s="197">
        <f>'Data (2)'!AS58</f>
        <v>89.3</v>
      </c>
      <c r="AT27" s="197">
        <f>'Data (2)'!AT58</f>
        <v>109.1</v>
      </c>
      <c r="AU27" s="197">
        <f>'Data (2)'!AU58</f>
        <v>94.9</v>
      </c>
      <c r="AV27" s="197">
        <f>'Data (2)'!AV58</f>
        <v>93.2</v>
      </c>
      <c r="AW27" s="205">
        <f t="shared" si="32"/>
        <v>93.2</v>
      </c>
      <c r="AX27" s="197">
        <f>'Data (2)'!AX58</f>
        <v>87.1</v>
      </c>
      <c r="AY27" s="197">
        <f>'Data (2)'!AY58</f>
        <v>100.9</v>
      </c>
      <c r="AZ27" s="197">
        <f>'Data (2)'!AZ58</f>
        <v>108.1</v>
      </c>
      <c r="BA27" s="197">
        <f>'Data (2)'!BA58</f>
        <v>44.2</v>
      </c>
      <c r="BB27" s="205">
        <f t="shared" si="33"/>
        <v>44.2</v>
      </c>
      <c r="BC27" s="197">
        <f>'Data (2)'!BC58</f>
        <v>106.7</v>
      </c>
      <c r="BD27" s="197">
        <f>'Data (2)'!BD58</f>
        <v>94.5</v>
      </c>
      <c r="BE27" s="197">
        <f>'Data (2)'!BE58</f>
        <v>130.19999999999999</v>
      </c>
      <c r="BF27" s="197">
        <f>'Data (2)'!BF58</f>
        <v>129.80000000000001</v>
      </c>
      <c r="BG27" s="205">
        <f t="shared" si="34"/>
        <v>129.80000000000001</v>
      </c>
      <c r="BH27" s="197">
        <f>'Data (2)'!BH58</f>
        <v>129.30000000000001</v>
      </c>
      <c r="BI27" s="197">
        <f>'Data (2)'!BI58</f>
        <v>136.80000000000001</v>
      </c>
      <c r="BJ27" s="197">
        <f>'Data (2)'!BJ58</f>
        <v>125.7</v>
      </c>
      <c r="BK27" s="197">
        <f>'Data (2)'!BK58</f>
        <v>134.30000000000001</v>
      </c>
      <c r="BL27" s="205">
        <f t="shared" si="35"/>
        <v>134.30000000000001</v>
      </c>
      <c r="BM27" s="197">
        <f>'Data (2)'!BM58</f>
        <v>139.19999999999999</v>
      </c>
      <c r="BN27" s="197">
        <f>'Data (2)'!BN58</f>
        <v>134.9</v>
      </c>
      <c r="BO27" s="197">
        <f>'Data (2)'!BO58</f>
        <v>143.30000000000001</v>
      </c>
      <c r="BP27" s="197">
        <f>'Data (2)'!BP58</f>
        <v>143.69999999999999</v>
      </c>
      <c r="BQ27" s="205">
        <f t="shared" si="36"/>
        <v>143.69999999999999</v>
      </c>
      <c r="BR27" s="197">
        <f>'Data (2)'!BR58</f>
        <v>121.60000000000001</v>
      </c>
      <c r="BS27" s="197">
        <f>'Data (2)'!BS58</f>
        <v>131.20000000000002</v>
      </c>
      <c r="BT27" s="197">
        <f>'Data (2)'!BT58</f>
        <v>122.6</v>
      </c>
      <c r="BU27" s="197">
        <f>'Data (2)'!BU58</f>
        <v>130.30000000000001</v>
      </c>
      <c r="BV27" s="205">
        <f t="shared" si="37"/>
        <v>130.30000000000001</v>
      </c>
      <c r="BW27" s="197">
        <f>'Data (2)'!BW58</f>
        <v>128.9</v>
      </c>
      <c r="BX27" s="197">
        <f>'Data (2)'!BX58</f>
        <v>127</v>
      </c>
      <c r="BY27" s="197">
        <f>'Data (2)'!BY58</f>
        <v>125</v>
      </c>
      <c r="BZ27" s="197">
        <f>'Data (2)'!BZ58</f>
        <v>113.7</v>
      </c>
      <c r="CA27" s="205">
        <f t="shared" si="38"/>
        <v>113.7</v>
      </c>
      <c r="CB27" s="197">
        <f>'Data (2)'!CB58</f>
        <v>111.6</v>
      </c>
      <c r="CC27" s="197">
        <f>'Data (2)'!CC58</f>
        <v>137.39999999999998</v>
      </c>
      <c r="CD27" s="197">
        <f>'Data (2)'!CD58</f>
        <v>118.5</v>
      </c>
      <c r="CE27" s="197">
        <f>'Data (2)'!CE58</f>
        <v>155.4</v>
      </c>
      <c r="CF27" s="205">
        <f t="shared" si="39"/>
        <v>155.4</v>
      </c>
      <c r="CG27" s="197">
        <f>'Data (2)'!CG58</f>
        <v>112.9</v>
      </c>
      <c r="CH27" s="197">
        <f>'Data (2)'!CH58</f>
        <v>105.3</v>
      </c>
      <c r="CI27" s="197">
        <f>'Data (2)'!CI58</f>
        <v>102.6</v>
      </c>
      <c r="CJ27" s="197">
        <f>'Data (2)'!CJ58</f>
        <v>81.099999999999994</v>
      </c>
      <c r="CK27" s="205">
        <f t="shared" si="40"/>
        <v>81.099999999999994</v>
      </c>
      <c r="CL27" s="197">
        <f>'Data (2)'!CL58</f>
        <v>106.7</v>
      </c>
      <c r="CM27" s="222">
        <f t="shared" si="43"/>
        <v>106.7</v>
      </c>
      <c r="CN27" s="222">
        <f t="shared" si="43"/>
        <v>106.7</v>
      </c>
      <c r="CO27" s="222">
        <f t="shared" si="43"/>
        <v>106.7</v>
      </c>
      <c r="CP27" s="205">
        <f t="shared" si="42"/>
        <v>106.7</v>
      </c>
      <c r="CQ27" s="223">
        <f t="shared" si="44"/>
        <v>106.7</v>
      </c>
      <c r="CR27" s="223">
        <f t="shared" si="44"/>
        <v>106.7</v>
      </c>
      <c r="CS27" s="223">
        <f t="shared" si="44"/>
        <v>106.7</v>
      </c>
      <c r="CT27" s="156">
        <f>'IS (2)'!DR54</f>
        <v>84.38</v>
      </c>
    </row>
    <row r="28" spans="2:99" ht="12" customHeight="1">
      <c r="B28" s="361" t="s">
        <v>97</v>
      </c>
      <c r="C28" s="366">
        <f>'Data (2)'!C59</f>
        <v>0</v>
      </c>
      <c r="D28" s="366">
        <f>'Data (2)'!D59</f>
        <v>0</v>
      </c>
      <c r="E28" s="366">
        <f>'Data (2)'!E59</f>
        <v>0</v>
      </c>
      <c r="F28" s="366">
        <f>'Data (2)'!F59</f>
        <v>0</v>
      </c>
      <c r="G28" s="366">
        <f>'Data (2)'!G59</f>
        <v>0</v>
      </c>
      <c r="H28" s="366">
        <f>'Data (2)'!H59</f>
        <v>0</v>
      </c>
      <c r="I28" s="366">
        <f>'Data (2)'!I59</f>
        <v>0</v>
      </c>
      <c r="J28" s="211">
        <f>'Data (2)'!J59</f>
        <v>0</v>
      </c>
      <c r="K28" s="211">
        <f>'Data (2)'!K59</f>
        <v>0</v>
      </c>
      <c r="L28" s="211">
        <f>'Data (2)'!L59</f>
        <v>0</v>
      </c>
      <c r="M28" s="211">
        <f>'Data (2)'!M59</f>
        <v>0</v>
      </c>
      <c r="N28" s="366">
        <f t="shared" si="25"/>
        <v>0</v>
      </c>
      <c r="O28" s="211">
        <f>'Data (2)'!O59</f>
        <v>0</v>
      </c>
      <c r="P28" s="211">
        <f>'Data (2)'!P59</f>
        <v>0</v>
      </c>
      <c r="Q28" s="211">
        <f>'Data (2)'!Q59</f>
        <v>0</v>
      </c>
      <c r="R28" s="211">
        <f>'Data (2)'!R59</f>
        <v>0</v>
      </c>
      <c r="S28" s="366">
        <f t="shared" si="26"/>
        <v>0</v>
      </c>
      <c r="T28" s="211">
        <f>'Data (2)'!T59</f>
        <v>0</v>
      </c>
      <c r="U28" s="211">
        <f>'Data (2)'!U59</f>
        <v>0</v>
      </c>
      <c r="V28" s="211">
        <f>'Data (2)'!V59</f>
        <v>0</v>
      </c>
      <c r="W28" s="211">
        <f>'Data (2)'!W59</f>
        <v>0</v>
      </c>
      <c r="X28" s="366">
        <f t="shared" si="27"/>
        <v>0</v>
      </c>
      <c r="Y28" s="211">
        <f>'Data (2)'!Y59</f>
        <v>0</v>
      </c>
      <c r="Z28" s="211">
        <f>'Data (2)'!Z59</f>
        <v>12.4</v>
      </c>
      <c r="AA28" s="211">
        <f>'Data (2)'!AA59</f>
        <v>0</v>
      </c>
      <c r="AB28" s="211">
        <f>'Data (2)'!AB59</f>
        <v>0</v>
      </c>
      <c r="AC28" s="366">
        <f t="shared" si="28"/>
        <v>0</v>
      </c>
      <c r="AD28" s="211">
        <f>'Data (2)'!AD59</f>
        <v>0</v>
      </c>
      <c r="AE28" s="211">
        <f>'Data (2)'!AE59</f>
        <v>0</v>
      </c>
      <c r="AF28" s="211">
        <f>'Data (2)'!AF59</f>
        <v>0</v>
      </c>
      <c r="AG28" s="211">
        <f>'Data (2)'!AG59</f>
        <v>0</v>
      </c>
      <c r="AH28" s="366">
        <f t="shared" si="29"/>
        <v>0</v>
      </c>
      <c r="AI28" s="211">
        <f>'Data (2)'!AI59</f>
        <v>0</v>
      </c>
      <c r="AJ28" s="211">
        <f>'Data (2)'!AJ59</f>
        <v>0</v>
      </c>
      <c r="AK28" s="211">
        <f>'Data (2)'!AK59</f>
        <v>0</v>
      </c>
      <c r="AL28" s="211">
        <f>'Data (2)'!AL59</f>
        <v>0</v>
      </c>
      <c r="AM28" s="366">
        <f t="shared" si="30"/>
        <v>0</v>
      </c>
      <c r="AN28" s="211">
        <f>'Data (2)'!AN59</f>
        <v>0</v>
      </c>
      <c r="AO28" s="211">
        <f>'Data (2)'!AO59</f>
        <v>0</v>
      </c>
      <c r="AP28" s="211">
        <f>'Data (2)'!AP59</f>
        <v>0</v>
      </c>
      <c r="AQ28" s="211">
        <f>'Data (2)'!AQ59</f>
        <v>0</v>
      </c>
      <c r="AR28" s="366">
        <f t="shared" si="31"/>
        <v>0</v>
      </c>
      <c r="AS28" s="211">
        <f>'Data (2)'!AS59</f>
        <v>0</v>
      </c>
      <c r="AT28" s="211">
        <f>'Data (2)'!AT59</f>
        <v>0</v>
      </c>
      <c r="AU28" s="211">
        <f>'Data (2)'!AU59</f>
        <v>0</v>
      </c>
      <c r="AV28" s="211">
        <f>'Data (2)'!AV59</f>
        <v>0</v>
      </c>
      <c r="AW28" s="366">
        <f t="shared" si="32"/>
        <v>0</v>
      </c>
      <c r="AX28" s="211">
        <f>'Data (2)'!AX59</f>
        <v>0</v>
      </c>
      <c r="AY28" s="211">
        <f>'Data (2)'!AY59</f>
        <v>0</v>
      </c>
      <c r="AZ28" s="211">
        <f>'Data (2)'!AZ59</f>
        <v>0</v>
      </c>
      <c r="BA28" s="211">
        <f>'Data (2)'!BA59</f>
        <v>0</v>
      </c>
      <c r="BB28" s="366">
        <f t="shared" si="33"/>
        <v>0</v>
      </c>
      <c r="BC28" s="211">
        <f>'Data (2)'!BC59</f>
        <v>0</v>
      </c>
      <c r="BD28" s="211">
        <f>'Data (2)'!BD59</f>
        <v>0</v>
      </c>
      <c r="BE28" s="211">
        <f>'Data (2)'!BE59</f>
        <v>0</v>
      </c>
      <c r="BF28" s="211">
        <f>'Data (2)'!BF59</f>
        <v>0</v>
      </c>
      <c r="BG28" s="366">
        <f t="shared" si="34"/>
        <v>0</v>
      </c>
      <c r="BH28" s="211">
        <f>'Data (2)'!BH59</f>
        <v>0</v>
      </c>
      <c r="BI28" s="211">
        <f>'Data (2)'!BI59</f>
        <v>0</v>
      </c>
      <c r="BJ28" s="211">
        <f>'Data (2)'!BJ59</f>
        <v>0</v>
      </c>
      <c r="BK28" s="211">
        <f>'Data (2)'!BK59</f>
        <v>0</v>
      </c>
      <c r="BL28" s="366">
        <f t="shared" si="35"/>
        <v>0</v>
      </c>
      <c r="BM28" s="211">
        <f>'Data (2)'!BM59</f>
        <v>0</v>
      </c>
      <c r="BN28" s="211">
        <f>'Data (2)'!BN59</f>
        <v>0</v>
      </c>
      <c r="BO28" s="211">
        <f>'Data (2)'!BO59</f>
        <v>0</v>
      </c>
      <c r="BP28" s="211">
        <f>'Data (2)'!BP59</f>
        <v>0</v>
      </c>
      <c r="BQ28" s="366">
        <f t="shared" si="36"/>
        <v>0</v>
      </c>
      <c r="BR28" s="211">
        <f>'Data (2)'!BR59</f>
        <v>0</v>
      </c>
      <c r="BS28" s="211">
        <f>'Data (2)'!BS59</f>
        <v>0</v>
      </c>
      <c r="BT28" s="211">
        <f>'Data (2)'!BT59</f>
        <v>0</v>
      </c>
      <c r="BU28" s="211">
        <f>'Data (2)'!BU59</f>
        <v>0</v>
      </c>
      <c r="BV28" s="366">
        <f t="shared" si="37"/>
        <v>0</v>
      </c>
      <c r="BW28" s="211">
        <f>'Data (2)'!BW59</f>
        <v>0</v>
      </c>
      <c r="BX28" s="211">
        <f>'Data (2)'!BX59</f>
        <v>0</v>
      </c>
      <c r="BY28" s="211">
        <f>'Data (2)'!BY59</f>
        <v>0</v>
      </c>
      <c r="BZ28" s="211">
        <f>'Data (2)'!BZ59</f>
        <v>0</v>
      </c>
      <c r="CA28" s="366">
        <f t="shared" si="38"/>
        <v>0</v>
      </c>
      <c r="CB28" s="211">
        <f>'Data (2)'!CB59</f>
        <v>0</v>
      </c>
      <c r="CC28" s="211">
        <f>'Data (2)'!CC59</f>
        <v>0</v>
      </c>
      <c r="CD28" s="211">
        <f>'Data (2)'!CD59</f>
        <v>0</v>
      </c>
      <c r="CE28" s="211">
        <f>'Data (2)'!CE59</f>
        <v>0</v>
      </c>
      <c r="CF28" s="366">
        <f t="shared" si="39"/>
        <v>0</v>
      </c>
      <c r="CG28" s="211">
        <f>'Data (2)'!CG59</f>
        <v>0</v>
      </c>
      <c r="CH28" s="211">
        <f>'Data (2)'!CH59</f>
        <v>0</v>
      </c>
      <c r="CI28" s="211">
        <f>'Data (2)'!CI59</f>
        <v>0</v>
      </c>
      <c r="CJ28" s="211">
        <f>'Data (2)'!CJ59</f>
        <v>0</v>
      </c>
      <c r="CK28" s="366">
        <f t="shared" si="40"/>
        <v>0</v>
      </c>
      <c r="CL28" s="211">
        <f>'Data (2)'!CL59</f>
        <v>0</v>
      </c>
      <c r="CM28" s="215">
        <f t="shared" si="43"/>
        <v>0</v>
      </c>
      <c r="CN28" s="215">
        <f t="shared" si="43"/>
        <v>0</v>
      </c>
      <c r="CO28" s="215">
        <f t="shared" si="43"/>
        <v>0</v>
      </c>
      <c r="CP28" s="366">
        <f t="shared" si="42"/>
        <v>0</v>
      </c>
      <c r="CQ28" s="216">
        <f t="shared" si="44"/>
        <v>0</v>
      </c>
      <c r="CR28" s="216">
        <f t="shared" si="44"/>
        <v>0</v>
      </c>
      <c r="CS28" s="216">
        <f t="shared" si="44"/>
        <v>0</v>
      </c>
      <c r="CT28" s="156">
        <f>CT26/CT27</f>
        <v>21.399620763214035</v>
      </c>
      <c r="CU28" s="156" t="s">
        <v>563</v>
      </c>
    </row>
    <row r="29" spans="2:99" ht="12" customHeight="1">
      <c r="B29" s="367" t="s">
        <v>52</v>
      </c>
      <c r="C29" s="212">
        <f t="shared" ref="C29:AH29" si="45">SUM(C22:C28)</f>
        <v>186.35599999999999</v>
      </c>
      <c r="D29" s="212">
        <f t="shared" si="45"/>
        <v>219.44400000000002</v>
      </c>
      <c r="E29" s="212">
        <f t="shared" si="45"/>
        <v>210.5</v>
      </c>
      <c r="F29" s="212">
        <f t="shared" si="45"/>
        <v>197.9</v>
      </c>
      <c r="G29" s="212">
        <f t="shared" si="45"/>
        <v>207.70000000000002</v>
      </c>
      <c r="H29" s="212">
        <f t="shared" si="45"/>
        <v>779.1</v>
      </c>
      <c r="I29" s="212">
        <f t="shared" si="45"/>
        <v>163.89999999999998</v>
      </c>
      <c r="J29" s="206">
        <f t="shared" si="45"/>
        <v>174.7</v>
      </c>
      <c r="K29" s="206">
        <f t="shared" si="45"/>
        <v>190.5</v>
      </c>
      <c r="L29" s="206">
        <f t="shared" si="45"/>
        <v>200.1</v>
      </c>
      <c r="M29" s="206">
        <f t="shared" si="45"/>
        <v>216</v>
      </c>
      <c r="N29" s="212">
        <f t="shared" si="45"/>
        <v>216</v>
      </c>
      <c r="O29" s="206">
        <f t="shared" si="45"/>
        <v>193.39999999999998</v>
      </c>
      <c r="P29" s="206">
        <f t="shared" si="45"/>
        <v>188.8</v>
      </c>
      <c r="Q29" s="206">
        <f t="shared" si="45"/>
        <v>198.8</v>
      </c>
      <c r="R29" s="206">
        <f t="shared" si="45"/>
        <v>195.79999999999995</v>
      </c>
      <c r="S29" s="212">
        <f t="shared" si="45"/>
        <v>195.79999999999995</v>
      </c>
      <c r="T29" s="206">
        <f t="shared" si="45"/>
        <v>197.7</v>
      </c>
      <c r="U29" s="206">
        <f t="shared" si="45"/>
        <v>194.7</v>
      </c>
      <c r="V29" s="206">
        <f t="shared" si="45"/>
        <v>191</v>
      </c>
      <c r="W29" s="206">
        <f t="shared" si="45"/>
        <v>219.3</v>
      </c>
      <c r="X29" s="212">
        <f t="shared" si="45"/>
        <v>219.3</v>
      </c>
      <c r="Y29" s="206">
        <f t="shared" si="45"/>
        <v>211.3</v>
      </c>
      <c r="Z29" s="206">
        <f t="shared" si="45"/>
        <v>246.1</v>
      </c>
      <c r="AA29" s="206">
        <f t="shared" si="45"/>
        <v>231.3</v>
      </c>
      <c r="AB29" s="206">
        <f t="shared" si="45"/>
        <v>244.29999999999998</v>
      </c>
      <c r="AC29" s="212">
        <f t="shared" si="45"/>
        <v>244.29999999999998</v>
      </c>
      <c r="AD29" s="206">
        <f t="shared" si="45"/>
        <v>240.60000000000002</v>
      </c>
      <c r="AE29" s="206">
        <f t="shared" si="45"/>
        <v>232.6</v>
      </c>
      <c r="AF29" s="206">
        <f t="shared" si="45"/>
        <v>203.9</v>
      </c>
      <c r="AG29" s="206">
        <f t="shared" si="45"/>
        <v>224.20000000000002</v>
      </c>
      <c r="AH29" s="212">
        <f t="shared" si="45"/>
        <v>224.20000000000002</v>
      </c>
      <c r="AI29" s="206">
        <f t="shared" ref="AI29:BN29" si="46">SUM(AI22:AI28)</f>
        <v>201.5</v>
      </c>
      <c r="AJ29" s="206">
        <f t="shared" si="46"/>
        <v>173</v>
      </c>
      <c r="AK29" s="206">
        <f t="shared" si="46"/>
        <v>159.6</v>
      </c>
      <c r="AL29" s="206">
        <f t="shared" si="46"/>
        <v>201.7</v>
      </c>
      <c r="AM29" s="212">
        <f t="shared" si="46"/>
        <v>201.7</v>
      </c>
      <c r="AN29" s="206">
        <f t="shared" si="46"/>
        <v>164.6</v>
      </c>
      <c r="AO29" s="206">
        <f t="shared" si="46"/>
        <v>194.10000000000002</v>
      </c>
      <c r="AP29" s="206">
        <f t="shared" si="46"/>
        <v>196.89999999999998</v>
      </c>
      <c r="AQ29" s="206">
        <f t="shared" si="46"/>
        <v>205.9</v>
      </c>
      <c r="AR29" s="212">
        <f t="shared" si="46"/>
        <v>205.9</v>
      </c>
      <c r="AS29" s="206">
        <f t="shared" si="46"/>
        <v>208.5</v>
      </c>
      <c r="AT29" s="206">
        <f t="shared" si="46"/>
        <v>227.1</v>
      </c>
      <c r="AU29" s="206">
        <f t="shared" si="46"/>
        <v>220.70000000000002</v>
      </c>
      <c r="AV29" s="206">
        <f t="shared" si="46"/>
        <v>247.5</v>
      </c>
      <c r="AW29" s="212">
        <f t="shared" si="46"/>
        <v>247.5</v>
      </c>
      <c r="AX29" s="206">
        <f t="shared" si="46"/>
        <v>220.79999999999998</v>
      </c>
      <c r="AY29" s="206">
        <f t="shared" si="46"/>
        <v>241.4</v>
      </c>
      <c r="AZ29" s="206">
        <f t="shared" si="46"/>
        <v>229.5</v>
      </c>
      <c r="BA29" s="206">
        <f t="shared" si="46"/>
        <v>235.3</v>
      </c>
      <c r="BB29" s="212">
        <f t="shared" si="46"/>
        <v>235.3</v>
      </c>
      <c r="BC29" s="206">
        <f t="shared" si="46"/>
        <v>247.3</v>
      </c>
      <c r="BD29" s="206">
        <f t="shared" si="46"/>
        <v>213.7</v>
      </c>
      <c r="BE29" s="206">
        <f t="shared" si="46"/>
        <v>243.29999999999998</v>
      </c>
      <c r="BF29" s="206">
        <f t="shared" si="46"/>
        <v>268.70000000000005</v>
      </c>
      <c r="BG29" s="212">
        <f t="shared" si="46"/>
        <v>268.70000000000005</v>
      </c>
      <c r="BH29" s="206">
        <f t="shared" si="46"/>
        <v>263.90000000000003</v>
      </c>
      <c r="BI29" s="206">
        <f t="shared" si="46"/>
        <v>267.60000000000002</v>
      </c>
      <c r="BJ29" s="206">
        <f t="shared" si="46"/>
        <v>259.7</v>
      </c>
      <c r="BK29" s="206">
        <f t="shared" si="46"/>
        <v>310.60000000000002</v>
      </c>
      <c r="BL29" s="212">
        <f t="shared" si="46"/>
        <v>310.60000000000002</v>
      </c>
      <c r="BM29" s="206">
        <f t="shared" si="46"/>
        <v>279.5</v>
      </c>
      <c r="BN29" s="206">
        <f t="shared" si="46"/>
        <v>280.89999999999998</v>
      </c>
      <c r="BO29" s="206">
        <f t="shared" ref="BO29:CS29" si="47">SUM(BO22:BO28)</f>
        <v>277.5</v>
      </c>
      <c r="BP29" s="206">
        <f t="shared" si="47"/>
        <v>292.60000000000002</v>
      </c>
      <c r="BQ29" s="212">
        <f t="shared" si="47"/>
        <v>292.60000000000002</v>
      </c>
      <c r="BR29" s="206">
        <f t="shared" si="47"/>
        <v>264.2</v>
      </c>
      <c r="BS29" s="206">
        <f t="shared" si="47"/>
        <v>271.60000000000002</v>
      </c>
      <c r="BT29" s="206">
        <f t="shared" si="47"/>
        <v>276.60000000000002</v>
      </c>
      <c r="BU29" s="206">
        <f t="shared" si="47"/>
        <v>271.90000000000003</v>
      </c>
      <c r="BV29" s="212">
        <f t="shared" si="47"/>
        <v>271.90000000000003</v>
      </c>
      <c r="BW29" s="206">
        <f t="shared" si="47"/>
        <v>274.79999999999995</v>
      </c>
      <c r="BX29" s="206">
        <f t="shared" si="47"/>
        <v>270.8</v>
      </c>
      <c r="BY29" s="206">
        <f t="shared" si="47"/>
        <v>257.79999999999995</v>
      </c>
      <c r="BZ29" s="206">
        <f t="shared" si="47"/>
        <v>262.10000000000002</v>
      </c>
      <c r="CA29" s="212">
        <f t="shared" si="47"/>
        <v>262.10000000000002</v>
      </c>
      <c r="CB29" s="206">
        <f t="shared" si="47"/>
        <v>270.8</v>
      </c>
      <c r="CC29" s="206">
        <f t="shared" si="47"/>
        <v>293.79999999999995</v>
      </c>
      <c r="CD29" s="206">
        <f t="shared" si="47"/>
        <v>270.89999999999998</v>
      </c>
      <c r="CE29" s="206">
        <f t="shared" si="47"/>
        <v>326.70000000000005</v>
      </c>
      <c r="CF29" s="212">
        <f t="shared" si="47"/>
        <v>326.70000000000005</v>
      </c>
      <c r="CG29" s="206">
        <f t="shared" si="47"/>
        <v>349.9</v>
      </c>
      <c r="CH29" s="206">
        <f t="shared" si="47"/>
        <v>359.7</v>
      </c>
      <c r="CI29" s="206">
        <f t="shared" si="47"/>
        <v>347</v>
      </c>
      <c r="CJ29" s="206">
        <f t="shared" si="47"/>
        <v>322.60000000000002</v>
      </c>
      <c r="CK29" s="212">
        <f t="shared" si="47"/>
        <v>322.60000000000002</v>
      </c>
      <c r="CL29" s="206">
        <f t="shared" si="47"/>
        <v>309.89999999999998</v>
      </c>
      <c r="CM29" s="206">
        <f t="shared" si="47"/>
        <v>258.46432320000002</v>
      </c>
      <c r="CN29" s="206">
        <f t="shared" si="47"/>
        <v>269.20510129999997</v>
      </c>
      <c r="CO29" s="206">
        <f t="shared" si="47"/>
        <v>282.26561250222221</v>
      </c>
      <c r="CP29" s="212">
        <f t="shared" si="47"/>
        <v>282.26561250222221</v>
      </c>
      <c r="CQ29" s="212">
        <f t="shared" si="47"/>
        <v>291.76617409984931</v>
      </c>
      <c r="CR29" s="212">
        <f t="shared" si="47"/>
        <v>303.57736667026677</v>
      </c>
      <c r="CS29" s="212">
        <f t="shared" si="47"/>
        <v>318.08972802337587</v>
      </c>
    </row>
    <row r="30" spans="2:99" ht="12" customHeight="1">
      <c r="B30" s="361" t="s">
        <v>240</v>
      </c>
      <c r="C30" s="205">
        <f>'Data (2)'!C61</f>
        <v>304.54599999999999</v>
      </c>
      <c r="D30" s="205">
        <f>'Data (2)'!D61</f>
        <v>802.37599999999998</v>
      </c>
      <c r="E30" s="205">
        <f>'Data (2)'!E61</f>
        <v>712.5</v>
      </c>
      <c r="F30" s="205">
        <f>'Data (2)'!F61</f>
        <v>627.1</v>
      </c>
      <c r="G30" s="205">
        <f>'Data (2)'!G61</f>
        <v>668.5</v>
      </c>
      <c r="H30" s="205">
        <f>'Data (2)'!H61</f>
        <v>0</v>
      </c>
      <c r="I30" s="205">
        <f>'Data (2)'!I61</f>
        <v>481.3</v>
      </c>
      <c r="J30" s="197">
        <f>'Data (2)'!J61</f>
        <v>469.8</v>
      </c>
      <c r="K30" s="197">
        <f>'Data (2)'!K61</f>
        <v>465.1</v>
      </c>
      <c r="L30" s="197">
        <f>'Data (2)'!L61</f>
        <v>453.6</v>
      </c>
      <c r="M30" s="197">
        <f>'Data (2)'!M61</f>
        <v>430.4</v>
      </c>
      <c r="N30" s="205">
        <f>M30</f>
        <v>430.4</v>
      </c>
      <c r="O30" s="197">
        <f>'Data (2)'!O61</f>
        <v>478.4</v>
      </c>
      <c r="P30" s="197">
        <f>'Data (2)'!P61</f>
        <v>447.9</v>
      </c>
      <c r="Q30" s="197">
        <f>'Data (2)'!Q61</f>
        <v>422.4</v>
      </c>
      <c r="R30" s="197">
        <f>'Data (2)'!R61</f>
        <v>416.8</v>
      </c>
      <c r="S30" s="205">
        <f>R30</f>
        <v>416.8</v>
      </c>
      <c r="T30" s="197">
        <f>'Data (2)'!T61</f>
        <v>446.3</v>
      </c>
      <c r="U30" s="197">
        <f>'Data (2)'!U61</f>
        <v>422.5</v>
      </c>
      <c r="V30" s="197">
        <f>'Data (2)'!V61</f>
        <v>426.8</v>
      </c>
      <c r="W30" s="197">
        <f>'Data (2)'!W61</f>
        <v>409.8</v>
      </c>
      <c r="X30" s="205">
        <f>W30</f>
        <v>409.8</v>
      </c>
      <c r="Y30" s="197">
        <f>'Data (2)'!Y61</f>
        <v>419.4</v>
      </c>
      <c r="Z30" s="197">
        <f>'Data (2)'!Z61</f>
        <v>401.9</v>
      </c>
      <c r="AA30" s="197">
        <f>'Data (2)'!AA61</f>
        <v>322.8</v>
      </c>
      <c r="AB30" s="197">
        <f>'Data (2)'!AB61</f>
        <v>315.5</v>
      </c>
      <c r="AC30" s="205">
        <f>AB30</f>
        <v>315.5</v>
      </c>
      <c r="AD30" s="197">
        <f>'Data (2)'!AD61</f>
        <v>371.1</v>
      </c>
      <c r="AE30" s="197">
        <f>'Data (2)'!AE61</f>
        <v>393.8</v>
      </c>
      <c r="AF30" s="197">
        <f>'Data (2)'!AF61</f>
        <v>393.1</v>
      </c>
      <c r="AG30" s="197">
        <f>'Data (2)'!AG61</f>
        <v>392.5</v>
      </c>
      <c r="AH30" s="205">
        <f>AG30</f>
        <v>392.5</v>
      </c>
      <c r="AI30" s="197">
        <f>'Data (2)'!AI61</f>
        <v>392</v>
      </c>
      <c r="AJ30" s="197">
        <f>'Data (2)'!AJ61</f>
        <v>390.8</v>
      </c>
      <c r="AK30" s="197">
        <f>'Data (2)'!AK61</f>
        <v>388.8</v>
      </c>
      <c r="AL30" s="197">
        <f>'Data (2)'!AL61</f>
        <v>358.8</v>
      </c>
      <c r="AM30" s="205">
        <f>AL30</f>
        <v>358.8</v>
      </c>
      <c r="AN30" s="197">
        <f>'Data (2)'!AN61</f>
        <v>358.6</v>
      </c>
      <c r="AO30" s="197">
        <f>'Data (2)'!AO61</f>
        <v>356.8</v>
      </c>
      <c r="AP30" s="197">
        <f>'Data (2)'!AP61</f>
        <v>321.10000000000002</v>
      </c>
      <c r="AQ30" s="197">
        <f>'Data (2)'!AQ61</f>
        <v>304.60000000000002</v>
      </c>
      <c r="AR30" s="205">
        <f>AQ30</f>
        <v>304.60000000000002</v>
      </c>
      <c r="AS30" s="197">
        <f>'Data (2)'!AS61</f>
        <v>268.39999999999998</v>
      </c>
      <c r="AT30" s="197">
        <f>'Data (2)'!AT61</f>
        <v>242.1</v>
      </c>
      <c r="AU30" s="197">
        <f>'Data (2)'!AU61</f>
        <v>236.9</v>
      </c>
      <c r="AV30" s="197">
        <f>'Data (2)'!AV61</f>
        <v>238.3</v>
      </c>
      <c r="AW30" s="205">
        <f>AV30</f>
        <v>238.3</v>
      </c>
      <c r="AX30" s="197">
        <f>'Data (2)'!AX61</f>
        <v>294.8</v>
      </c>
      <c r="AY30" s="197">
        <f>'Data (2)'!AY61</f>
        <v>280.7</v>
      </c>
      <c r="AZ30" s="197">
        <f>'Data (2)'!AZ61</f>
        <v>279.3</v>
      </c>
      <c r="BA30" s="197">
        <f>'Data (2)'!BA61</f>
        <v>240</v>
      </c>
      <c r="BB30" s="205">
        <f>BA30</f>
        <v>240</v>
      </c>
      <c r="BC30" s="197">
        <f>'Data (2)'!BC61</f>
        <v>258.5</v>
      </c>
      <c r="BD30" s="197">
        <f>'Data (2)'!BD61</f>
        <v>309</v>
      </c>
      <c r="BE30" s="197">
        <f>'Data (2)'!BE61</f>
        <v>262</v>
      </c>
      <c r="BF30" s="197">
        <f>'Data (2)'!BF61</f>
        <v>292</v>
      </c>
      <c r="BG30" s="205">
        <f>BF30</f>
        <v>292</v>
      </c>
      <c r="BH30" s="197">
        <f>'Data (2)'!BH61</f>
        <v>352</v>
      </c>
      <c r="BI30" s="197">
        <f>'Data (2)'!BI61</f>
        <v>395</v>
      </c>
      <c r="BJ30" s="197">
        <f>'Data (2)'!BJ61</f>
        <v>430</v>
      </c>
      <c r="BK30" s="197">
        <f>'Data (2)'!BK61</f>
        <v>415</v>
      </c>
      <c r="BL30" s="205">
        <f>BK30</f>
        <v>415</v>
      </c>
      <c r="BM30" s="197">
        <f>'Data (2)'!BM61</f>
        <v>480</v>
      </c>
      <c r="BN30" s="197">
        <f>'Data (2)'!BN61</f>
        <v>508</v>
      </c>
      <c r="BO30" s="197">
        <f>'Data (2)'!BO61</f>
        <v>596.4</v>
      </c>
      <c r="BP30" s="197">
        <f>'Data (2)'!BP61</f>
        <v>576.5</v>
      </c>
      <c r="BQ30" s="205">
        <f>BP30</f>
        <v>576.5</v>
      </c>
      <c r="BR30" s="197">
        <f>'Data (2)'!BR61</f>
        <v>688</v>
      </c>
      <c r="BS30" s="197">
        <f>'Data (2)'!BS61</f>
        <v>706.8</v>
      </c>
      <c r="BT30" s="197">
        <f>'Data (2)'!BT61</f>
        <v>670.2</v>
      </c>
      <c r="BU30" s="197">
        <f>'Data (2)'!BU61</f>
        <v>684.4</v>
      </c>
      <c r="BV30" s="205">
        <f>BU30</f>
        <v>684.4</v>
      </c>
      <c r="BW30" s="197">
        <f>'Data (2)'!BW61</f>
        <v>837</v>
      </c>
      <c r="BX30" s="197">
        <f>'Data (2)'!BX61</f>
        <v>817.3</v>
      </c>
      <c r="BY30" s="197">
        <f>'Data (2)'!BY61</f>
        <v>829.6</v>
      </c>
      <c r="BZ30" s="197">
        <f>'Data (2)'!BZ61</f>
        <v>805.6</v>
      </c>
      <c r="CA30" s="205">
        <f>BZ30</f>
        <v>805.6</v>
      </c>
      <c r="CB30" s="197">
        <f>'Data (2)'!CB61</f>
        <v>835.6</v>
      </c>
      <c r="CC30" s="197">
        <f>'Data (2)'!CC61</f>
        <v>930.1</v>
      </c>
      <c r="CD30" s="197">
        <f>'Data (2)'!CD61</f>
        <v>980.7</v>
      </c>
      <c r="CE30" s="197">
        <f>'Data (2)'!CE61</f>
        <v>947.4</v>
      </c>
      <c r="CF30" s="205">
        <f>CE30</f>
        <v>947.4</v>
      </c>
      <c r="CG30" s="197">
        <f>'Data (2)'!CG61</f>
        <v>1160</v>
      </c>
      <c r="CH30" s="197">
        <f>'Data (2)'!CH61</f>
        <v>1115.8</v>
      </c>
      <c r="CI30" s="197">
        <f>'Data (2)'!CI61</f>
        <v>1115.2</v>
      </c>
      <c r="CJ30" s="197">
        <f>'Data (2)'!CJ61</f>
        <v>1050.5999999999999</v>
      </c>
      <c r="CK30" s="205">
        <f>CJ30</f>
        <v>1050.5999999999999</v>
      </c>
      <c r="CL30" s="197">
        <f>'Data (2)'!CL61</f>
        <v>1389.5</v>
      </c>
      <c r="CM30" s="213">
        <f>CL30+'Cash Flow'!CM36+'Cash Flow'!CM37+'Cash Flow'!CM38+'Cash Flow'!CM39</f>
        <v>1389.5</v>
      </c>
      <c r="CN30" s="213">
        <f>CM30+'Cash Flow'!CN36+'Cash Flow'!CN37+'Cash Flow'!CN38+'Cash Flow'!CN39</f>
        <v>1364.5</v>
      </c>
      <c r="CO30" s="213">
        <f>CN30+'Cash Flow'!CO36+'Cash Flow'!CO37+'Cash Flow'!CO38+'Cash Flow'!CO39</f>
        <v>1314.5</v>
      </c>
      <c r="CP30" s="205">
        <f>CO30</f>
        <v>1314.5</v>
      </c>
      <c r="CQ30" s="214">
        <f>CP30+'Cash Flow'!CQ36+'Cash Flow'!CQ37+'Cash Flow'!CQ38+'Cash Flow'!CQ39</f>
        <v>1014.5</v>
      </c>
      <c r="CR30" s="214">
        <f>CQ30+'Cash Flow'!CR36+'Cash Flow'!CR37+'Cash Flow'!CR38+'Cash Flow'!CR39</f>
        <v>914.5</v>
      </c>
      <c r="CS30" s="214">
        <f>CR30+'Cash Flow'!CS36+'Cash Flow'!CS37+'Cash Flow'!CS38+'Cash Flow'!CS39</f>
        <v>914.5</v>
      </c>
    </row>
    <row r="31" spans="2:99" ht="12" customHeight="1">
      <c r="B31" s="361" t="s">
        <v>53</v>
      </c>
      <c r="C31" s="205">
        <f>'Data (2)'!C62</f>
        <v>0</v>
      </c>
      <c r="D31" s="205">
        <f>'Data (2)'!D62</f>
        <v>0</v>
      </c>
      <c r="E31" s="205">
        <f>'Data (2)'!E62</f>
        <v>0</v>
      </c>
      <c r="F31" s="205">
        <f>'Data (2)'!F62</f>
        <v>0</v>
      </c>
      <c r="G31" s="205">
        <f>'Data (2)'!G62</f>
        <v>45.8</v>
      </c>
      <c r="H31" s="205">
        <f>'Data (2)'!H62</f>
        <v>48.1</v>
      </c>
      <c r="I31" s="205">
        <f>'Data (2)'!I62</f>
        <v>49.7</v>
      </c>
      <c r="J31" s="197">
        <f>'Data (2)'!J62</f>
        <v>63.6</v>
      </c>
      <c r="K31" s="197">
        <f>'Data (2)'!K62</f>
        <v>65.400000000000006</v>
      </c>
      <c r="L31" s="197">
        <f>'Data (2)'!L62</f>
        <v>64.599999999999994</v>
      </c>
      <c r="M31" s="197">
        <f>'Data (2)'!M62</f>
        <v>48.9</v>
      </c>
      <c r="N31" s="205">
        <f>M31</f>
        <v>48.9</v>
      </c>
      <c r="O31" s="197">
        <f>'Data (2)'!O62</f>
        <v>62</v>
      </c>
      <c r="P31" s="197">
        <f>'Data (2)'!P62</f>
        <v>65.8</v>
      </c>
      <c r="Q31" s="197">
        <f>'Data (2)'!Q62</f>
        <v>65.2</v>
      </c>
      <c r="R31" s="197">
        <f>'Data (2)'!R62</f>
        <v>42.5</v>
      </c>
      <c r="S31" s="205">
        <f>R31</f>
        <v>42.5</v>
      </c>
      <c r="T31" s="197">
        <f>'Data (2)'!T62</f>
        <v>57.6</v>
      </c>
      <c r="U31" s="197">
        <f>'Data (2)'!U62</f>
        <v>59.2</v>
      </c>
      <c r="V31" s="197">
        <f>'Data (2)'!V62</f>
        <v>61.2</v>
      </c>
      <c r="W31" s="197">
        <f>'Data (2)'!W62</f>
        <v>71.2</v>
      </c>
      <c r="X31" s="205">
        <f>W31</f>
        <v>71.2</v>
      </c>
      <c r="Y31" s="197">
        <f>'Data (2)'!Y62</f>
        <v>0</v>
      </c>
      <c r="Z31" s="197">
        <f>'Data (2)'!Z62</f>
        <v>0</v>
      </c>
      <c r="AA31" s="197">
        <f>'Data (2)'!AA62</f>
        <v>0</v>
      </c>
      <c r="AB31" s="197">
        <f>'Data (2)'!AB62</f>
        <v>39.799999999999997</v>
      </c>
      <c r="AC31" s="205">
        <f>AB31</f>
        <v>39.799999999999997</v>
      </c>
      <c r="AD31" s="197">
        <f>'Data (2)'!AD62</f>
        <v>0</v>
      </c>
      <c r="AE31" s="197">
        <f>'Data (2)'!AE62</f>
        <v>0</v>
      </c>
      <c r="AF31" s="197">
        <f>'Data (2)'!AF62</f>
        <v>0</v>
      </c>
      <c r="AG31" s="197">
        <f>'Data (2)'!AG62</f>
        <v>47.9</v>
      </c>
      <c r="AH31" s="205">
        <f>AG31</f>
        <v>47.9</v>
      </c>
      <c r="AI31" s="197">
        <f>'Data (2)'!AI62</f>
        <v>0</v>
      </c>
      <c r="AJ31" s="197">
        <f>'Data (2)'!AJ62</f>
        <v>0</v>
      </c>
      <c r="AK31" s="197">
        <f>'Data (2)'!AK62</f>
        <v>0</v>
      </c>
      <c r="AL31" s="197">
        <f>'Data (2)'!AL62</f>
        <v>0</v>
      </c>
      <c r="AM31" s="205">
        <f>AL31</f>
        <v>0</v>
      </c>
      <c r="AN31" s="197">
        <f>'Data (2)'!AN62</f>
        <v>0</v>
      </c>
      <c r="AO31" s="197">
        <f>'Data (2)'!AO62</f>
        <v>0</v>
      </c>
      <c r="AP31" s="197">
        <f>'Data (2)'!AP62</f>
        <v>0</v>
      </c>
      <c r="AQ31" s="197">
        <f>'Data (2)'!AQ62</f>
        <v>61.9</v>
      </c>
      <c r="AR31" s="205">
        <f>AQ31</f>
        <v>61.9</v>
      </c>
      <c r="AS31" s="197">
        <f>'Data (2)'!AS62</f>
        <v>0</v>
      </c>
      <c r="AT31" s="197">
        <f>'Data (2)'!AT62</f>
        <v>0</v>
      </c>
      <c r="AU31" s="197">
        <f>'Data (2)'!AU62</f>
        <v>0</v>
      </c>
      <c r="AV31" s="197">
        <f>'Data (2)'!AV62</f>
        <v>0</v>
      </c>
      <c r="AW31" s="205">
        <f>AV31</f>
        <v>0</v>
      </c>
      <c r="AX31" s="197">
        <f>'Data (2)'!AX62</f>
        <v>0</v>
      </c>
      <c r="AY31" s="197">
        <f>'Data (2)'!AY62</f>
        <v>0</v>
      </c>
      <c r="AZ31" s="197">
        <f>'Data (2)'!AZ62</f>
        <v>0</v>
      </c>
      <c r="BA31" s="197">
        <f>'Data (2)'!BA62</f>
        <v>0</v>
      </c>
      <c r="BB31" s="205">
        <f>BA31</f>
        <v>0</v>
      </c>
      <c r="BC31" s="197">
        <f>'Data (2)'!BC62</f>
        <v>0</v>
      </c>
      <c r="BD31" s="197">
        <f>'Data (2)'!BD62</f>
        <v>0</v>
      </c>
      <c r="BE31" s="197">
        <f>'Data (2)'!BE62</f>
        <v>0</v>
      </c>
      <c r="BF31" s="197">
        <f>'Data (2)'!BF62</f>
        <v>0</v>
      </c>
      <c r="BG31" s="205">
        <f>BF31</f>
        <v>0</v>
      </c>
      <c r="BH31" s="197">
        <f>'Data (2)'!BH62</f>
        <v>0</v>
      </c>
      <c r="BI31" s="197">
        <f>'Data (2)'!BI62</f>
        <v>0</v>
      </c>
      <c r="BJ31" s="197">
        <f>'Data (2)'!BJ62</f>
        <v>0</v>
      </c>
      <c r="BK31" s="197">
        <f>'Data (2)'!BK62</f>
        <v>0</v>
      </c>
      <c r="BL31" s="205">
        <f>BK31</f>
        <v>0</v>
      </c>
      <c r="BM31" s="197">
        <f>'Data (2)'!BM62</f>
        <v>0</v>
      </c>
      <c r="BN31" s="197">
        <f>'Data (2)'!BN62</f>
        <v>0</v>
      </c>
      <c r="BO31" s="197">
        <f>'Data (2)'!BO62</f>
        <v>0</v>
      </c>
      <c r="BP31" s="197">
        <f>'Data (2)'!BP62</f>
        <v>0</v>
      </c>
      <c r="BQ31" s="205">
        <f>BP31</f>
        <v>0</v>
      </c>
      <c r="BR31" s="197">
        <f>'Data (2)'!BR62</f>
        <v>0</v>
      </c>
      <c r="BS31" s="197">
        <f>'Data (2)'!BS62</f>
        <v>0</v>
      </c>
      <c r="BT31" s="197">
        <f>'Data (2)'!BT62</f>
        <v>0</v>
      </c>
      <c r="BU31" s="197">
        <f>'Data (2)'!BU62</f>
        <v>0</v>
      </c>
      <c r="BV31" s="205">
        <f>BU31</f>
        <v>0</v>
      </c>
      <c r="BW31" s="197">
        <f>'Data (2)'!BW62</f>
        <v>0</v>
      </c>
      <c r="BX31" s="197">
        <f>'Data (2)'!BX62</f>
        <v>0</v>
      </c>
      <c r="BY31" s="197">
        <f>'Data (2)'!BY62</f>
        <v>0</v>
      </c>
      <c r="BZ31" s="197">
        <f>'Data (2)'!BZ62</f>
        <v>0</v>
      </c>
      <c r="CA31" s="205">
        <f>BZ31</f>
        <v>0</v>
      </c>
      <c r="CB31" s="197">
        <f>'Data (2)'!CB62</f>
        <v>0</v>
      </c>
      <c r="CC31" s="197">
        <f>'Data (2)'!CC62</f>
        <v>0</v>
      </c>
      <c r="CD31" s="197">
        <f>'Data (2)'!CD62</f>
        <v>0</v>
      </c>
      <c r="CE31" s="197">
        <f>'Data (2)'!CE62</f>
        <v>0</v>
      </c>
      <c r="CF31" s="205">
        <f>CE31</f>
        <v>0</v>
      </c>
      <c r="CG31" s="197">
        <f>'Data (2)'!CG62</f>
        <v>42.1</v>
      </c>
      <c r="CH31" s="197">
        <f>'Data (2)'!CH62</f>
        <v>42.4</v>
      </c>
      <c r="CI31" s="197">
        <f>'Data (2)'!CI62</f>
        <v>41.9</v>
      </c>
      <c r="CJ31" s="197">
        <f>'Data (2)'!CJ62</f>
        <v>53.3</v>
      </c>
      <c r="CK31" s="205">
        <f>CJ31</f>
        <v>53.3</v>
      </c>
      <c r="CL31" s="197">
        <f>'Data (2)'!CL62</f>
        <v>53.1</v>
      </c>
      <c r="CM31" s="197">
        <f t="shared" ref="CM31:CO33" si="48">CL31</f>
        <v>53.1</v>
      </c>
      <c r="CN31" s="197">
        <f t="shared" si="48"/>
        <v>53.1</v>
      </c>
      <c r="CO31" s="197">
        <f t="shared" si="48"/>
        <v>53.1</v>
      </c>
      <c r="CP31" s="205">
        <f>CO31</f>
        <v>53.1</v>
      </c>
      <c r="CQ31" s="205">
        <f t="shared" ref="CQ31:CS33" si="49">CP31</f>
        <v>53.1</v>
      </c>
      <c r="CR31" s="205">
        <f t="shared" si="49"/>
        <v>53.1</v>
      </c>
      <c r="CS31" s="205">
        <f t="shared" si="49"/>
        <v>53.1</v>
      </c>
    </row>
    <row r="32" spans="2:99" ht="12" customHeight="1">
      <c r="B32" s="361" t="s">
        <v>54</v>
      </c>
      <c r="C32" s="205">
        <f>'Data (2)'!C63</f>
        <v>70.783000000000001</v>
      </c>
      <c r="D32" s="205">
        <f>'Data (2)'!D63</f>
        <v>79.942000000000007</v>
      </c>
      <c r="E32" s="205">
        <f>'Data (2)'!E63</f>
        <v>68.800000000000011</v>
      </c>
      <c r="F32" s="205">
        <f>'Data (2)'!F63</f>
        <v>70.699999999999989</v>
      </c>
      <c r="G32" s="205">
        <f>'Data (2)'!G63</f>
        <v>0</v>
      </c>
      <c r="H32" s="205">
        <f>'Data (2)'!H63</f>
        <v>8.3000000000000007</v>
      </c>
      <c r="I32" s="205">
        <f>'Data (2)'!I63</f>
        <v>15.2</v>
      </c>
      <c r="J32" s="197">
        <f>'Data (2)'!J63</f>
        <v>0</v>
      </c>
      <c r="K32" s="197">
        <f>'Data (2)'!K63</f>
        <v>0</v>
      </c>
      <c r="L32" s="197">
        <f>'Data (2)'!L63</f>
        <v>0</v>
      </c>
      <c r="M32" s="197">
        <f>'Data (2)'!M63</f>
        <v>15.4</v>
      </c>
      <c r="N32" s="205">
        <f>M32</f>
        <v>15.4</v>
      </c>
      <c r="O32" s="197">
        <f>'Data (2)'!O63</f>
        <v>0</v>
      </c>
      <c r="P32" s="197">
        <f>'Data (2)'!P63</f>
        <v>0</v>
      </c>
      <c r="Q32" s="197">
        <f>'Data (2)'!Q63</f>
        <v>0</v>
      </c>
      <c r="R32" s="197">
        <f>'Data (2)'!R63</f>
        <v>14.8</v>
      </c>
      <c r="S32" s="205">
        <f>R32</f>
        <v>14.8</v>
      </c>
      <c r="T32" s="197">
        <f>'Data (2)'!T63</f>
        <v>0</v>
      </c>
      <c r="U32" s="197">
        <f>'Data (2)'!U63</f>
        <v>0</v>
      </c>
      <c r="V32" s="197">
        <f>'Data (2)'!V63</f>
        <v>0</v>
      </c>
      <c r="W32" s="197">
        <f>'Data (2)'!W63</f>
        <v>11</v>
      </c>
      <c r="X32" s="205">
        <f>W32</f>
        <v>11</v>
      </c>
      <c r="Y32" s="197">
        <f>'Data (2)'!Y63</f>
        <v>82</v>
      </c>
      <c r="Z32" s="197">
        <f>'Data (2)'!Z63</f>
        <v>73.099999999999994</v>
      </c>
      <c r="AA32" s="197">
        <f>'Data (2)'!AA63</f>
        <v>81.900000000000006</v>
      </c>
      <c r="AB32" s="197">
        <f>'Data (2)'!AB63</f>
        <v>33.299999999999997</v>
      </c>
      <c r="AC32" s="205">
        <f>AB32</f>
        <v>33.299999999999997</v>
      </c>
      <c r="AD32" s="197">
        <f>'Data (2)'!AD63</f>
        <v>83.5</v>
      </c>
      <c r="AE32" s="197">
        <f>'Data (2)'!AE63</f>
        <v>89.3</v>
      </c>
      <c r="AF32" s="197">
        <f>'Data (2)'!AF63</f>
        <v>81.599999999999994</v>
      </c>
      <c r="AG32" s="197">
        <f>'Data (2)'!AG63</f>
        <v>36.5</v>
      </c>
      <c r="AH32" s="205">
        <f>AG32</f>
        <v>36.5</v>
      </c>
      <c r="AI32" s="197">
        <f>'Data (2)'!AI63</f>
        <v>80.900000000000006</v>
      </c>
      <c r="AJ32" s="197">
        <f>'Data (2)'!AJ63</f>
        <v>83.9</v>
      </c>
      <c r="AK32" s="197">
        <f>'Data (2)'!AK63</f>
        <v>89</v>
      </c>
      <c r="AL32" s="197">
        <f>'Data (2)'!AL63</f>
        <v>110.5</v>
      </c>
      <c r="AM32" s="205">
        <f>AL32</f>
        <v>110.5</v>
      </c>
      <c r="AN32" s="197">
        <f>'Data (2)'!AN63</f>
        <v>106</v>
      </c>
      <c r="AO32" s="197">
        <f>'Data (2)'!AO63</f>
        <v>100.7</v>
      </c>
      <c r="AP32" s="197">
        <f>'Data (2)'!AP63</f>
        <v>97.8</v>
      </c>
      <c r="AQ32" s="197">
        <f>'Data (2)'!AQ63</f>
        <v>26.3</v>
      </c>
      <c r="AR32" s="205">
        <f>AQ32</f>
        <v>26.3</v>
      </c>
      <c r="AS32" s="197">
        <f>'Data (2)'!AS63</f>
        <v>81</v>
      </c>
      <c r="AT32" s="197">
        <f>'Data (2)'!AT63</f>
        <v>73.7</v>
      </c>
      <c r="AU32" s="197">
        <f>'Data (2)'!AU63</f>
        <v>74.2</v>
      </c>
      <c r="AV32" s="197">
        <f>'Data (2)'!AV63</f>
        <v>88.1</v>
      </c>
      <c r="AW32" s="205">
        <f>AV32</f>
        <v>88.1</v>
      </c>
      <c r="AX32" s="197">
        <f>'Data (2)'!AX63</f>
        <v>87.1</v>
      </c>
      <c r="AY32" s="197">
        <f>'Data (2)'!AY63</f>
        <v>100.7</v>
      </c>
      <c r="AZ32" s="197">
        <f>'Data (2)'!AZ63</f>
        <v>109.2</v>
      </c>
      <c r="BA32" s="197">
        <f>'Data (2)'!BA63</f>
        <v>133.69999999999999</v>
      </c>
      <c r="BB32" s="205">
        <f>BA32</f>
        <v>133.69999999999999</v>
      </c>
      <c r="BC32" s="197">
        <f>'Data (2)'!BC63</f>
        <v>121.8</v>
      </c>
      <c r="BD32" s="197">
        <f>'Data (2)'!BD63</f>
        <v>131.1</v>
      </c>
      <c r="BE32" s="197">
        <f>'Data (2)'!BE63</f>
        <v>136.30000000000001</v>
      </c>
      <c r="BF32" s="197">
        <f>'Data (2)'!BF63</f>
        <v>115</v>
      </c>
      <c r="BG32" s="205">
        <f>BF32</f>
        <v>115</v>
      </c>
      <c r="BH32" s="197">
        <f>'Data (2)'!BH63</f>
        <v>123.8</v>
      </c>
      <c r="BI32" s="197">
        <f>'Data (2)'!BI63</f>
        <v>128.6</v>
      </c>
      <c r="BJ32" s="197">
        <f>'Data (2)'!BJ63</f>
        <v>142.9</v>
      </c>
      <c r="BK32" s="197">
        <f>'Data (2)'!BK63</f>
        <v>160.9</v>
      </c>
      <c r="BL32" s="205">
        <f>BK32</f>
        <v>160.9</v>
      </c>
      <c r="BM32" s="197">
        <f>'Data (2)'!BM63</f>
        <v>162.19999999999999</v>
      </c>
      <c r="BN32" s="197">
        <f>'Data (2)'!BN63</f>
        <v>164.2</v>
      </c>
      <c r="BO32" s="197">
        <f>'Data (2)'!BO63</f>
        <v>171.5</v>
      </c>
      <c r="BP32" s="197">
        <f>'Data (2)'!BP63</f>
        <v>138.69999999999999</v>
      </c>
      <c r="BQ32" s="205">
        <f>BP32</f>
        <v>138.69999999999999</v>
      </c>
      <c r="BR32" s="197">
        <f>'Data (2)'!BR63</f>
        <v>151.9</v>
      </c>
      <c r="BS32" s="197">
        <f>'Data (2)'!BS63</f>
        <v>166.1</v>
      </c>
      <c r="BT32" s="197">
        <f>'Data (2)'!BT63</f>
        <v>184.4</v>
      </c>
      <c r="BU32" s="197">
        <f>'Data (2)'!BU63</f>
        <v>199.4</v>
      </c>
      <c r="BV32" s="205">
        <f>BU32</f>
        <v>199.4</v>
      </c>
      <c r="BW32" s="197">
        <f>'Data (2)'!BW63</f>
        <v>201</v>
      </c>
      <c r="BX32" s="197">
        <f>'Data (2)'!BX63</f>
        <v>208.9</v>
      </c>
      <c r="BY32" s="197">
        <f>'Data (2)'!BY63</f>
        <v>223.1</v>
      </c>
      <c r="BZ32" s="197">
        <f>'Data (2)'!BZ63</f>
        <v>218.1</v>
      </c>
      <c r="CA32" s="205">
        <f>BZ32</f>
        <v>218.1</v>
      </c>
      <c r="CB32" s="197">
        <f>'Data (2)'!CB63</f>
        <v>215.8</v>
      </c>
      <c r="CC32" s="197">
        <f>'Data (2)'!CC63</f>
        <v>171.1</v>
      </c>
      <c r="CD32" s="197">
        <f>'Data (2)'!CD63</f>
        <v>227.6</v>
      </c>
      <c r="CE32" s="197">
        <f>'Data (2)'!CE63</f>
        <v>228</v>
      </c>
      <c r="CF32" s="205">
        <f>CE32</f>
        <v>228</v>
      </c>
      <c r="CG32" s="197">
        <f>'Data (2)'!CG63</f>
        <v>241.6</v>
      </c>
      <c r="CH32" s="197">
        <f>'Data (2)'!CH63</f>
        <v>234.8</v>
      </c>
      <c r="CI32" s="197">
        <f>'Data (2)'!CI63</f>
        <v>233.3</v>
      </c>
      <c r="CJ32" s="197">
        <f>'Data (2)'!CJ63</f>
        <v>256</v>
      </c>
      <c r="CK32" s="205">
        <f>CJ32</f>
        <v>256</v>
      </c>
      <c r="CL32" s="197">
        <f>'Data (2)'!CL63</f>
        <v>259.7</v>
      </c>
      <c r="CM32" s="222">
        <f t="shared" si="48"/>
        <v>259.7</v>
      </c>
      <c r="CN32" s="222">
        <f t="shared" si="48"/>
        <v>259.7</v>
      </c>
      <c r="CO32" s="222">
        <f t="shared" si="48"/>
        <v>259.7</v>
      </c>
      <c r="CP32" s="205">
        <f>CO32</f>
        <v>259.7</v>
      </c>
      <c r="CQ32" s="223">
        <f t="shared" si="49"/>
        <v>259.7</v>
      </c>
      <c r="CR32" s="223">
        <f t="shared" si="49"/>
        <v>259.7</v>
      </c>
      <c r="CS32" s="223">
        <f t="shared" si="49"/>
        <v>259.7</v>
      </c>
    </row>
    <row r="33" spans="1:97" ht="12" customHeight="1">
      <c r="B33" s="361" t="s">
        <v>97</v>
      </c>
      <c r="C33" s="366">
        <f>'Data (2)'!C64</f>
        <v>0</v>
      </c>
      <c r="D33" s="366">
        <f>'Data (2)'!D64</f>
        <v>0</v>
      </c>
      <c r="E33" s="366">
        <f>'Data (2)'!E64</f>
        <v>0</v>
      </c>
      <c r="F33" s="366">
        <f>'Data (2)'!F64</f>
        <v>0</v>
      </c>
      <c r="G33" s="366">
        <f>'Data (2)'!G64</f>
        <v>0</v>
      </c>
      <c r="H33" s="366">
        <f>'Data (2)'!H64</f>
        <v>0</v>
      </c>
      <c r="I33" s="366">
        <f>'Data (2)'!I64</f>
        <v>0</v>
      </c>
      <c r="J33" s="211">
        <f>'Data (2)'!J64</f>
        <v>0</v>
      </c>
      <c r="K33" s="211">
        <f>'Data (2)'!K64</f>
        <v>0</v>
      </c>
      <c r="L33" s="211">
        <f>'Data (2)'!L64</f>
        <v>0</v>
      </c>
      <c r="M33" s="211">
        <f>'Data (2)'!M64</f>
        <v>0</v>
      </c>
      <c r="N33" s="366">
        <f>M33</f>
        <v>0</v>
      </c>
      <c r="O33" s="211">
        <f>'Data (2)'!O64</f>
        <v>0</v>
      </c>
      <c r="P33" s="211">
        <f>'Data (2)'!P64</f>
        <v>0</v>
      </c>
      <c r="Q33" s="211">
        <f>'Data (2)'!Q64</f>
        <v>0</v>
      </c>
      <c r="R33" s="211">
        <f>'Data (2)'!R64</f>
        <v>0</v>
      </c>
      <c r="S33" s="366">
        <f>R33</f>
        <v>0</v>
      </c>
      <c r="T33" s="211">
        <f>'Data (2)'!T64</f>
        <v>0</v>
      </c>
      <c r="U33" s="211">
        <f>'Data (2)'!U64</f>
        <v>0</v>
      </c>
      <c r="V33" s="211">
        <f>'Data (2)'!V64</f>
        <v>0</v>
      </c>
      <c r="W33" s="211">
        <f>'Data (2)'!W64</f>
        <v>0</v>
      </c>
      <c r="X33" s="366">
        <f>W33</f>
        <v>0</v>
      </c>
      <c r="Y33" s="211">
        <f>'Data (2)'!Y64</f>
        <v>0</v>
      </c>
      <c r="Z33" s="211">
        <f>'Data (2)'!Z64</f>
        <v>1.8</v>
      </c>
      <c r="AA33" s="211">
        <f>'Data (2)'!AA64</f>
        <v>0</v>
      </c>
      <c r="AB33" s="211">
        <f>'Data (2)'!AB64</f>
        <v>0</v>
      </c>
      <c r="AC33" s="366">
        <f>AB33</f>
        <v>0</v>
      </c>
      <c r="AD33" s="211">
        <f>'Data (2)'!AD64</f>
        <v>0</v>
      </c>
      <c r="AE33" s="211">
        <f>'Data (2)'!AE64</f>
        <v>0</v>
      </c>
      <c r="AF33" s="211">
        <f>'Data (2)'!AF64</f>
        <v>0</v>
      </c>
      <c r="AG33" s="211">
        <f>'Data (2)'!AG64</f>
        <v>0</v>
      </c>
      <c r="AH33" s="366">
        <f>AG33</f>
        <v>0</v>
      </c>
      <c r="AI33" s="211">
        <f>'Data (2)'!AI64</f>
        <v>0</v>
      </c>
      <c r="AJ33" s="211">
        <f>'Data (2)'!AJ64</f>
        <v>0</v>
      </c>
      <c r="AK33" s="211">
        <f>'Data (2)'!AK64</f>
        <v>0</v>
      </c>
      <c r="AL33" s="211">
        <f>'Data (2)'!AL64</f>
        <v>0</v>
      </c>
      <c r="AM33" s="366">
        <f>AL33</f>
        <v>0</v>
      </c>
      <c r="AN33" s="211">
        <f>'Data (2)'!AN64</f>
        <v>0</v>
      </c>
      <c r="AO33" s="211">
        <f>'Data (2)'!AO64</f>
        <v>0</v>
      </c>
      <c r="AP33" s="211">
        <f>'Data (2)'!AP64</f>
        <v>0</v>
      </c>
      <c r="AQ33" s="211">
        <f>'Data (2)'!AQ64</f>
        <v>0</v>
      </c>
      <c r="AR33" s="366">
        <f>AQ33</f>
        <v>0</v>
      </c>
      <c r="AS33" s="211">
        <f>'Data (2)'!AS64</f>
        <v>0</v>
      </c>
      <c r="AT33" s="211">
        <f>'Data (2)'!AT64</f>
        <v>0</v>
      </c>
      <c r="AU33" s="211">
        <f>'Data (2)'!AU64</f>
        <v>0</v>
      </c>
      <c r="AV33" s="211">
        <f>'Data (2)'!AV64</f>
        <v>0</v>
      </c>
      <c r="AW33" s="366">
        <f>AV33</f>
        <v>0</v>
      </c>
      <c r="AX33" s="211">
        <f>'Data (2)'!AX64</f>
        <v>0</v>
      </c>
      <c r="AY33" s="211">
        <f>'Data (2)'!AY64</f>
        <v>0</v>
      </c>
      <c r="AZ33" s="211">
        <f>'Data (2)'!AZ64</f>
        <v>0</v>
      </c>
      <c r="BA33" s="211">
        <f>'Data (2)'!BA64</f>
        <v>0</v>
      </c>
      <c r="BB33" s="366">
        <f>BA33</f>
        <v>0</v>
      </c>
      <c r="BC33" s="211">
        <f>'Data (2)'!BC64</f>
        <v>0</v>
      </c>
      <c r="BD33" s="211">
        <f>'Data (2)'!BD64</f>
        <v>0</v>
      </c>
      <c r="BE33" s="211">
        <f>'Data (2)'!BE64</f>
        <v>0</v>
      </c>
      <c r="BF33" s="211">
        <f>'Data (2)'!BF64</f>
        <v>0</v>
      </c>
      <c r="BG33" s="366">
        <f>BF33</f>
        <v>0</v>
      </c>
      <c r="BH33" s="211">
        <f>'Data (2)'!BH64</f>
        <v>0</v>
      </c>
      <c r="BI33" s="211">
        <f>'Data (2)'!BI64</f>
        <v>0</v>
      </c>
      <c r="BJ33" s="211">
        <f>'Data (2)'!BJ64</f>
        <v>0</v>
      </c>
      <c r="BK33" s="211">
        <f>'Data (2)'!BK64</f>
        <v>0</v>
      </c>
      <c r="BL33" s="366">
        <f>BK33</f>
        <v>0</v>
      </c>
      <c r="BM33" s="211">
        <f>'Data (2)'!BM64</f>
        <v>0</v>
      </c>
      <c r="BN33" s="211">
        <f>'Data (2)'!BN64</f>
        <v>0</v>
      </c>
      <c r="BO33" s="211">
        <f>'Data (2)'!BO64</f>
        <v>0</v>
      </c>
      <c r="BP33" s="211">
        <f>'Data (2)'!BP64</f>
        <v>0</v>
      </c>
      <c r="BQ33" s="366">
        <f>BP33</f>
        <v>0</v>
      </c>
      <c r="BR33" s="211">
        <f>'Data (2)'!BR64</f>
        <v>0</v>
      </c>
      <c r="BS33" s="211">
        <f>'Data (2)'!BS64</f>
        <v>0</v>
      </c>
      <c r="BT33" s="211">
        <f>'Data (2)'!BT64</f>
        <v>0</v>
      </c>
      <c r="BU33" s="211">
        <f>'Data (2)'!BU64</f>
        <v>0</v>
      </c>
      <c r="BV33" s="366">
        <f>BU33</f>
        <v>0</v>
      </c>
      <c r="BW33" s="211">
        <f>'Data (2)'!BW64</f>
        <v>0</v>
      </c>
      <c r="BX33" s="211">
        <f>'Data (2)'!BX64</f>
        <v>0</v>
      </c>
      <c r="BY33" s="211">
        <f>'Data (2)'!BY64</f>
        <v>0</v>
      </c>
      <c r="BZ33" s="211">
        <f>'Data (2)'!BZ64</f>
        <v>0</v>
      </c>
      <c r="CA33" s="366">
        <f>BZ33</f>
        <v>0</v>
      </c>
      <c r="CB33" s="211">
        <f>'Data (2)'!CB64</f>
        <v>0</v>
      </c>
      <c r="CC33" s="211">
        <f>'Data (2)'!CC64</f>
        <v>0</v>
      </c>
      <c r="CD33" s="211">
        <f>'Data (2)'!CD64</f>
        <v>0</v>
      </c>
      <c r="CE33" s="211">
        <f>'Data (2)'!CE64</f>
        <v>0</v>
      </c>
      <c r="CF33" s="366">
        <f>CE33</f>
        <v>0</v>
      </c>
      <c r="CG33" s="211">
        <f>'Data (2)'!CG64</f>
        <v>0</v>
      </c>
      <c r="CH33" s="211">
        <f>'Data (2)'!CH64</f>
        <v>0</v>
      </c>
      <c r="CI33" s="211">
        <f>'Data (2)'!CI64</f>
        <v>0</v>
      </c>
      <c r="CJ33" s="211">
        <f>'Data (2)'!CJ64</f>
        <v>0</v>
      </c>
      <c r="CK33" s="366">
        <f>CJ33</f>
        <v>0</v>
      </c>
      <c r="CL33" s="211">
        <f>'Data (2)'!CL64</f>
        <v>0</v>
      </c>
      <c r="CM33" s="211">
        <f t="shared" si="48"/>
        <v>0</v>
      </c>
      <c r="CN33" s="211">
        <f t="shared" si="48"/>
        <v>0</v>
      </c>
      <c r="CO33" s="211">
        <f t="shared" si="48"/>
        <v>0</v>
      </c>
      <c r="CP33" s="366">
        <f>CO33</f>
        <v>0</v>
      </c>
      <c r="CQ33" s="366">
        <f t="shared" si="49"/>
        <v>0</v>
      </c>
      <c r="CR33" s="366">
        <f t="shared" si="49"/>
        <v>0</v>
      </c>
      <c r="CS33" s="366">
        <f t="shared" si="49"/>
        <v>0</v>
      </c>
    </row>
    <row r="34" spans="1:97" ht="12" customHeight="1">
      <c r="B34" s="367" t="s">
        <v>55</v>
      </c>
      <c r="C34" s="212">
        <f t="shared" ref="C34:AH34" si="50">SUM(C29:C33)</f>
        <v>561.68499999999995</v>
      </c>
      <c r="D34" s="212">
        <f t="shared" si="50"/>
        <v>1101.7619999999999</v>
      </c>
      <c r="E34" s="212">
        <f t="shared" si="50"/>
        <v>991.8</v>
      </c>
      <c r="F34" s="212">
        <f t="shared" si="50"/>
        <v>895.7</v>
      </c>
      <c r="G34" s="212">
        <f t="shared" si="50"/>
        <v>922</v>
      </c>
      <c r="H34" s="212">
        <f t="shared" si="50"/>
        <v>835.5</v>
      </c>
      <c r="I34" s="212">
        <f t="shared" si="50"/>
        <v>710.10000000000014</v>
      </c>
      <c r="J34" s="206">
        <f t="shared" si="50"/>
        <v>708.1</v>
      </c>
      <c r="K34" s="206">
        <f t="shared" si="50"/>
        <v>721</v>
      </c>
      <c r="L34" s="206">
        <f t="shared" si="50"/>
        <v>718.30000000000007</v>
      </c>
      <c r="M34" s="206">
        <f t="shared" si="50"/>
        <v>710.69999999999993</v>
      </c>
      <c r="N34" s="212">
        <f t="shared" si="50"/>
        <v>710.69999999999993</v>
      </c>
      <c r="O34" s="206">
        <f t="shared" si="50"/>
        <v>733.8</v>
      </c>
      <c r="P34" s="206">
        <f t="shared" si="50"/>
        <v>702.5</v>
      </c>
      <c r="Q34" s="206">
        <f t="shared" si="50"/>
        <v>686.40000000000009</v>
      </c>
      <c r="R34" s="206">
        <f t="shared" si="50"/>
        <v>669.89999999999986</v>
      </c>
      <c r="S34" s="212">
        <f t="shared" si="50"/>
        <v>669.89999999999986</v>
      </c>
      <c r="T34" s="206">
        <f t="shared" si="50"/>
        <v>701.6</v>
      </c>
      <c r="U34" s="206">
        <f t="shared" si="50"/>
        <v>676.40000000000009</v>
      </c>
      <c r="V34" s="206">
        <f t="shared" si="50"/>
        <v>679</v>
      </c>
      <c r="W34" s="206">
        <f t="shared" si="50"/>
        <v>711.30000000000007</v>
      </c>
      <c r="X34" s="212">
        <f t="shared" si="50"/>
        <v>711.30000000000007</v>
      </c>
      <c r="Y34" s="206">
        <f t="shared" si="50"/>
        <v>712.7</v>
      </c>
      <c r="Z34" s="206">
        <f t="shared" si="50"/>
        <v>722.9</v>
      </c>
      <c r="AA34" s="206">
        <f t="shared" si="50"/>
        <v>636</v>
      </c>
      <c r="AB34" s="206">
        <f t="shared" si="50"/>
        <v>632.89999999999986</v>
      </c>
      <c r="AC34" s="212">
        <f t="shared" si="50"/>
        <v>632.89999999999986</v>
      </c>
      <c r="AD34" s="206">
        <f t="shared" si="50"/>
        <v>695.2</v>
      </c>
      <c r="AE34" s="206">
        <f t="shared" si="50"/>
        <v>715.69999999999993</v>
      </c>
      <c r="AF34" s="206">
        <f t="shared" si="50"/>
        <v>678.6</v>
      </c>
      <c r="AG34" s="206">
        <f t="shared" si="50"/>
        <v>701.1</v>
      </c>
      <c r="AH34" s="212">
        <f t="shared" si="50"/>
        <v>701.1</v>
      </c>
      <c r="AI34" s="206">
        <f t="shared" ref="AI34:BN34" si="51">SUM(AI29:AI33)</f>
        <v>674.4</v>
      </c>
      <c r="AJ34" s="206">
        <f t="shared" si="51"/>
        <v>647.69999999999993</v>
      </c>
      <c r="AK34" s="206">
        <f t="shared" si="51"/>
        <v>637.4</v>
      </c>
      <c r="AL34" s="206">
        <f t="shared" si="51"/>
        <v>671</v>
      </c>
      <c r="AM34" s="212">
        <f t="shared" si="51"/>
        <v>671</v>
      </c>
      <c r="AN34" s="206">
        <f t="shared" si="51"/>
        <v>629.20000000000005</v>
      </c>
      <c r="AO34" s="206">
        <f t="shared" si="51"/>
        <v>651.60000000000014</v>
      </c>
      <c r="AP34" s="206">
        <f t="shared" si="51"/>
        <v>615.79999999999995</v>
      </c>
      <c r="AQ34" s="206">
        <f t="shared" si="51"/>
        <v>598.69999999999993</v>
      </c>
      <c r="AR34" s="212">
        <f t="shared" si="51"/>
        <v>598.69999999999993</v>
      </c>
      <c r="AS34" s="206">
        <f t="shared" si="51"/>
        <v>557.9</v>
      </c>
      <c r="AT34" s="206">
        <f t="shared" si="51"/>
        <v>542.9</v>
      </c>
      <c r="AU34" s="206">
        <f t="shared" si="51"/>
        <v>531.80000000000007</v>
      </c>
      <c r="AV34" s="206">
        <f t="shared" si="51"/>
        <v>573.9</v>
      </c>
      <c r="AW34" s="212">
        <f t="shared" si="51"/>
        <v>573.9</v>
      </c>
      <c r="AX34" s="206">
        <f t="shared" si="51"/>
        <v>602.70000000000005</v>
      </c>
      <c r="AY34" s="206">
        <f t="shared" si="51"/>
        <v>622.80000000000007</v>
      </c>
      <c r="AZ34" s="206">
        <f t="shared" si="51"/>
        <v>618</v>
      </c>
      <c r="BA34" s="206">
        <f t="shared" si="51"/>
        <v>609</v>
      </c>
      <c r="BB34" s="212">
        <f t="shared" si="51"/>
        <v>609</v>
      </c>
      <c r="BC34" s="206">
        <f t="shared" si="51"/>
        <v>627.6</v>
      </c>
      <c r="BD34" s="206">
        <f t="shared" si="51"/>
        <v>653.80000000000007</v>
      </c>
      <c r="BE34" s="206">
        <f t="shared" si="51"/>
        <v>641.59999999999991</v>
      </c>
      <c r="BF34" s="206">
        <f t="shared" si="51"/>
        <v>675.7</v>
      </c>
      <c r="BG34" s="212">
        <f t="shared" si="51"/>
        <v>675.7</v>
      </c>
      <c r="BH34" s="206">
        <f t="shared" si="51"/>
        <v>739.7</v>
      </c>
      <c r="BI34" s="206">
        <f t="shared" si="51"/>
        <v>791.2</v>
      </c>
      <c r="BJ34" s="206">
        <f t="shared" si="51"/>
        <v>832.6</v>
      </c>
      <c r="BK34" s="206">
        <f t="shared" si="51"/>
        <v>886.5</v>
      </c>
      <c r="BL34" s="212">
        <f t="shared" si="51"/>
        <v>886.5</v>
      </c>
      <c r="BM34" s="206">
        <f t="shared" si="51"/>
        <v>921.7</v>
      </c>
      <c r="BN34" s="206">
        <f t="shared" si="51"/>
        <v>953.09999999999991</v>
      </c>
      <c r="BO34" s="206">
        <f t="shared" ref="BO34:CS34" si="52">SUM(BO29:BO33)</f>
        <v>1045.4000000000001</v>
      </c>
      <c r="BP34" s="206">
        <f t="shared" si="52"/>
        <v>1007.8</v>
      </c>
      <c r="BQ34" s="212">
        <f t="shared" si="52"/>
        <v>1007.8</v>
      </c>
      <c r="BR34" s="206">
        <f t="shared" si="52"/>
        <v>1104.1000000000001</v>
      </c>
      <c r="BS34" s="206">
        <f t="shared" si="52"/>
        <v>1144.5</v>
      </c>
      <c r="BT34" s="206">
        <f t="shared" si="52"/>
        <v>1131.2</v>
      </c>
      <c r="BU34" s="206">
        <f t="shared" si="52"/>
        <v>1155.7</v>
      </c>
      <c r="BV34" s="212">
        <f t="shared" si="52"/>
        <v>1155.7</v>
      </c>
      <c r="BW34" s="206">
        <f t="shared" si="52"/>
        <v>1312.8</v>
      </c>
      <c r="BX34" s="206">
        <f t="shared" si="52"/>
        <v>1297</v>
      </c>
      <c r="BY34" s="206">
        <f t="shared" si="52"/>
        <v>1310.5</v>
      </c>
      <c r="BZ34" s="206">
        <f t="shared" si="52"/>
        <v>1285.8</v>
      </c>
      <c r="CA34" s="212">
        <f t="shared" si="52"/>
        <v>1285.8</v>
      </c>
      <c r="CB34" s="206">
        <f t="shared" si="52"/>
        <v>1322.2</v>
      </c>
      <c r="CC34" s="206">
        <f t="shared" si="52"/>
        <v>1395</v>
      </c>
      <c r="CD34" s="206">
        <f t="shared" si="52"/>
        <v>1479.1999999999998</v>
      </c>
      <c r="CE34" s="206">
        <f t="shared" si="52"/>
        <v>1502.1</v>
      </c>
      <c r="CF34" s="212">
        <f t="shared" si="52"/>
        <v>1502.1</v>
      </c>
      <c r="CG34" s="206">
        <f t="shared" si="52"/>
        <v>1793.6</v>
      </c>
      <c r="CH34" s="206">
        <f t="shared" si="52"/>
        <v>1752.7</v>
      </c>
      <c r="CI34" s="206">
        <f t="shared" si="52"/>
        <v>1737.4</v>
      </c>
      <c r="CJ34" s="206">
        <f t="shared" si="52"/>
        <v>1682.4999999999998</v>
      </c>
      <c r="CK34" s="212">
        <f t="shared" si="52"/>
        <v>1682.4999999999998</v>
      </c>
      <c r="CL34" s="206">
        <f t="shared" si="52"/>
        <v>2012.2</v>
      </c>
      <c r="CM34" s="206">
        <f t="shared" si="52"/>
        <v>1960.7643232</v>
      </c>
      <c r="CN34" s="206">
        <f t="shared" si="52"/>
        <v>1946.5051013</v>
      </c>
      <c r="CO34" s="206">
        <f t="shared" si="52"/>
        <v>1909.5656125022222</v>
      </c>
      <c r="CP34" s="212">
        <f t="shared" si="52"/>
        <v>1909.5656125022222</v>
      </c>
      <c r="CQ34" s="212">
        <f t="shared" si="52"/>
        <v>1619.0661740998491</v>
      </c>
      <c r="CR34" s="212">
        <f t="shared" si="52"/>
        <v>1530.8773666702666</v>
      </c>
      <c r="CS34" s="212">
        <f t="shared" si="52"/>
        <v>1545.3897280233757</v>
      </c>
    </row>
    <row r="35" spans="1:97" ht="12" customHeight="1">
      <c r="B35" s="361" t="s">
        <v>176</v>
      </c>
      <c r="C35" s="205" t="e">
        <f>'Data (2)'!#REF!</f>
        <v>#REF!</v>
      </c>
      <c r="D35" s="205" t="e">
        <f>'Data (2)'!#REF!</f>
        <v>#REF!</v>
      </c>
      <c r="E35" s="205" t="e">
        <f>'Data (2)'!#REF!</f>
        <v>#REF!</v>
      </c>
      <c r="F35" s="205" t="e">
        <f>'Data (2)'!#REF!</f>
        <v>#REF!</v>
      </c>
      <c r="G35" s="205" t="e">
        <f>'Data (2)'!#REF!</f>
        <v>#REF!</v>
      </c>
      <c r="H35" s="205" t="e">
        <f>'Data (2)'!#REF!</f>
        <v>#REF!</v>
      </c>
      <c r="I35" s="205" t="e">
        <f>'Data (2)'!#REF!</f>
        <v>#REF!</v>
      </c>
      <c r="J35" s="197" t="e">
        <f>'Data (2)'!#REF!</f>
        <v>#REF!</v>
      </c>
      <c r="K35" s="197" t="e">
        <f>'Data (2)'!#REF!</f>
        <v>#REF!</v>
      </c>
      <c r="L35" s="197" t="e">
        <f>'Data (2)'!#REF!</f>
        <v>#REF!</v>
      </c>
      <c r="M35" s="197" t="e">
        <f>'Data (2)'!#REF!</f>
        <v>#REF!</v>
      </c>
      <c r="N35" s="205" t="e">
        <f t="shared" ref="N35:N40" si="53">M35</f>
        <v>#REF!</v>
      </c>
      <c r="O35" s="197" t="e">
        <f>'Data (2)'!#REF!</f>
        <v>#REF!</v>
      </c>
      <c r="P35" s="197" t="e">
        <f>'Data (2)'!#REF!</f>
        <v>#REF!</v>
      </c>
      <c r="Q35" s="197" t="e">
        <f>'Data (2)'!#REF!</f>
        <v>#REF!</v>
      </c>
      <c r="R35" s="197" t="e">
        <f>'Data (2)'!#REF!</f>
        <v>#REF!</v>
      </c>
      <c r="S35" s="205" t="e">
        <f t="shared" ref="S35:S40" si="54">R35</f>
        <v>#REF!</v>
      </c>
      <c r="T35" s="197" t="e">
        <f>'Data (2)'!#REF!</f>
        <v>#REF!</v>
      </c>
      <c r="U35" s="197" t="e">
        <f>'Data (2)'!#REF!</f>
        <v>#REF!</v>
      </c>
      <c r="V35" s="197" t="e">
        <f>'Data (2)'!#REF!</f>
        <v>#REF!</v>
      </c>
      <c r="W35" s="197" t="e">
        <f>'Data (2)'!#REF!</f>
        <v>#REF!</v>
      </c>
      <c r="X35" s="205" t="e">
        <f t="shared" ref="X35:X40" si="55">W35</f>
        <v>#REF!</v>
      </c>
      <c r="Y35" s="197" t="e">
        <f>'Data (2)'!#REF!</f>
        <v>#REF!</v>
      </c>
      <c r="Z35" s="197" t="e">
        <f>'Data (2)'!#REF!</f>
        <v>#REF!</v>
      </c>
      <c r="AA35" s="197" t="e">
        <f>'Data (2)'!#REF!</f>
        <v>#REF!</v>
      </c>
      <c r="AB35" s="197" t="e">
        <f>'Data (2)'!#REF!</f>
        <v>#REF!</v>
      </c>
      <c r="AC35" s="205" t="e">
        <f t="shared" ref="AC35:AC40" si="56">AB35</f>
        <v>#REF!</v>
      </c>
      <c r="AD35" s="197" t="e">
        <f>'Data (2)'!#REF!</f>
        <v>#REF!</v>
      </c>
      <c r="AE35" s="197" t="e">
        <f>'Data (2)'!#REF!</f>
        <v>#REF!</v>
      </c>
      <c r="AF35" s="197" t="e">
        <f>'Data (2)'!#REF!</f>
        <v>#REF!</v>
      </c>
      <c r="AG35" s="197" t="e">
        <f>'Data (2)'!#REF!</f>
        <v>#REF!</v>
      </c>
      <c r="AH35" s="205" t="e">
        <f t="shared" ref="AH35:AH40" si="57">AG35</f>
        <v>#REF!</v>
      </c>
      <c r="AI35" s="197" t="e">
        <f>'Data (2)'!#REF!</f>
        <v>#REF!</v>
      </c>
      <c r="AJ35" s="197" t="e">
        <f>'Data (2)'!#REF!</f>
        <v>#REF!</v>
      </c>
      <c r="AK35" s="197" t="e">
        <f>'Data (2)'!#REF!</f>
        <v>#REF!</v>
      </c>
      <c r="AL35" s="197" t="e">
        <f>'Data (2)'!#REF!</f>
        <v>#REF!</v>
      </c>
      <c r="AM35" s="205" t="e">
        <f t="shared" ref="AM35:AM40" si="58">AL35</f>
        <v>#REF!</v>
      </c>
      <c r="AN35" s="197" t="e">
        <f>'Data (2)'!#REF!</f>
        <v>#REF!</v>
      </c>
      <c r="AO35" s="197" t="e">
        <f>'Data (2)'!#REF!</f>
        <v>#REF!</v>
      </c>
      <c r="AP35" s="197" t="e">
        <f>'Data (2)'!#REF!</f>
        <v>#REF!</v>
      </c>
      <c r="AQ35" s="197" t="e">
        <f>'Data (2)'!#REF!</f>
        <v>#REF!</v>
      </c>
      <c r="AR35" s="205" t="e">
        <f t="shared" ref="AR35:AR40" si="59">AQ35</f>
        <v>#REF!</v>
      </c>
      <c r="AS35" s="197" t="e">
        <f>'Data (2)'!#REF!</f>
        <v>#REF!</v>
      </c>
      <c r="AT35" s="197" t="e">
        <f>'Data (2)'!#REF!</f>
        <v>#REF!</v>
      </c>
      <c r="AU35" s="197" t="e">
        <f>'Data (2)'!#REF!</f>
        <v>#REF!</v>
      </c>
      <c r="AV35" s="197" t="e">
        <f>'Data (2)'!#REF!</f>
        <v>#REF!</v>
      </c>
      <c r="AW35" s="205" t="e">
        <f t="shared" ref="AW35:AW40" si="60">AV35</f>
        <v>#REF!</v>
      </c>
      <c r="AX35" s="197" t="e">
        <f>'Data (2)'!#REF!</f>
        <v>#REF!</v>
      </c>
      <c r="AY35" s="197" t="e">
        <f>'Data (2)'!#REF!</f>
        <v>#REF!</v>
      </c>
      <c r="AZ35" s="197" t="e">
        <f>'Data (2)'!#REF!</f>
        <v>#REF!</v>
      </c>
      <c r="BA35" s="197" t="e">
        <f>'Data (2)'!#REF!</f>
        <v>#REF!</v>
      </c>
      <c r="BB35" s="205" t="e">
        <f t="shared" ref="BB35:BB40" si="61">BA35</f>
        <v>#REF!</v>
      </c>
      <c r="BC35" s="197" t="e">
        <f>'Data (2)'!#REF!</f>
        <v>#REF!</v>
      </c>
      <c r="BD35" s="197" t="e">
        <f>'Data (2)'!#REF!</f>
        <v>#REF!</v>
      </c>
      <c r="BE35" s="197" t="e">
        <f>'Data (2)'!#REF!</f>
        <v>#REF!</v>
      </c>
      <c r="BF35" s="197" t="e">
        <f>'Data (2)'!#REF!</f>
        <v>#REF!</v>
      </c>
      <c r="BG35" s="205" t="e">
        <f t="shared" ref="BG35:BG40" si="62">BF35</f>
        <v>#REF!</v>
      </c>
      <c r="BH35" s="197" t="e">
        <f>'Data (2)'!#REF!</f>
        <v>#REF!</v>
      </c>
      <c r="BI35" s="197" t="e">
        <f>'Data (2)'!#REF!</f>
        <v>#REF!</v>
      </c>
      <c r="BJ35" s="197" t="e">
        <f>'Data (2)'!#REF!</f>
        <v>#REF!</v>
      </c>
      <c r="BK35" s="197" t="e">
        <f>'Data (2)'!#REF!</f>
        <v>#REF!</v>
      </c>
      <c r="BL35" s="205" t="e">
        <f t="shared" ref="BL35:BL40" si="63">BK35</f>
        <v>#REF!</v>
      </c>
      <c r="BM35" s="197" t="e">
        <f>'Data (2)'!#REF!</f>
        <v>#REF!</v>
      </c>
      <c r="BN35" s="197" t="e">
        <f>'Data (2)'!#REF!</f>
        <v>#REF!</v>
      </c>
      <c r="BO35" s="197" t="e">
        <f>'Data (2)'!#REF!</f>
        <v>#REF!</v>
      </c>
      <c r="BP35" s="197" t="e">
        <f>'Data (2)'!#REF!</f>
        <v>#REF!</v>
      </c>
      <c r="BQ35" s="205" t="e">
        <f t="shared" ref="BQ35:BQ40" si="64">BP35</f>
        <v>#REF!</v>
      </c>
      <c r="BR35" s="197" t="e">
        <f>'Data (2)'!#REF!</f>
        <v>#REF!</v>
      </c>
      <c r="BS35" s="197" t="e">
        <f>'Data (2)'!#REF!</f>
        <v>#REF!</v>
      </c>
      <c r="BT35" s="197" t="e">
        <f>'Data (2)'!#REF!</f>
        <v>#REF!</v>
      </c>
      <c r="BU35" s="197" t="e">
        <f>'Data (2)'!#REF!</f>
        <v>#REF!</v>
      </c>
      <c r="BV35" s="205" t="e">
        <f t="shared" ref="BV35:BV40" si="65">BU35</f>
        <v>#REF!</v>
      </c>
      <c r="BW35" s="197" t="e">
        <f>'Data (2)'!#REF!</f>
        <v>#REF!</v>
      </c>
      <c r="BX35" s="197" t="e">
        <f>'Data (2)'!#REF!</f>
        <v>#REF!</v>
      </c>
      <c r="BY35" s="197" t="e">
        <f>'Data (2)'!#REF!</f>
        <v>#REF!</v>
      </c>
      <c r="BZ35" s="197" t="e">
        <f>'Data (2)'!#REF!</f>
        <v>#REF!</v>
      </c>
      <c r="CA35" s="205" t="e">
        <f t="shared" ref="CA35:CA40" si="66">BZ35</f>
        <v>#REF!</v>
      </c>
      <c r="CB35" s="197" t="e">
        <f>'Data (2)'!#REF!</f>
        <v>#REF!</v>
      </c>
      <c r="CC35" s="197" t="e">
        <f>'Data (2)'!#REF!</f>
        <v>#REF!</v>
      </c>
      <c r="CD35" s="197" t="e">
        <f>'Data (2)'!#REF!</f>
        <v>#REF!</v>
      </c>
      <c r="CE35" s="197" t="e">
        <f>'Data (2)'!#REF!</f>
        <v>#REF!</v>
      </c>
      <c r="CF35" s="205" t="e">
        <f t="shared" ref="CF35:CF40" si="67">CE35</f>
        <v>#REF!</v>
      </c>
      <c r="CG35" s="197" t="e">
        <f>'Data (2)'!#REF!</f>
        <v>#REF!</v>
      </c>
      <c r="CH35" s="197" t="e">
        <f>'Data (2)'!#REF!</f>
        <v>#REF!</v>
      </c>
      <c r="CI35" s="197" t="e">
        <f>'Data (2)'!#REF!</f>
        <v>#REF!</v>
      </c>
      <c r="CJ35" s="197" t="e">
        <f>'Data (2)'!#REF!</f>
        <v>#REF!</v>
      </c>
      <c r="CK35" s="205" t="e">
        <f t="shared" ref="CK35:CK40" si="68">CJ35</f>
        <v>#REF!</v>
      </c>
      <c r="CL35" s="197" t="e">
        <f>'Data (2)'!#REF!</f>
        <v>#REF!</v>
      </c>
      <c r="CM35" s="197" t="e">
        <f t="shared" ref="CM35:CS36" si="69">CL35</f>
        <v>#REF!</v>
      </c>
      <c r="CN35" s="197" t="e">
        <f t="shared" si="69"/>
        <v>#REF!</v>
      </c>
      <c r="CO35" s="197" t="e">
        <f t="shared" si="69"/>
        <v>#REF!</v>
      </c>
      <c r="CP35" s="205" t="e">
        <f t="shared" si="69"/>
        <v>#REF!</v>
      </c>
      <c r="CQ35" s="205" t="e">
        <f t="shared" si="69"/>
        <v>#REF!</v>
      </c>
      <c r="CR35" s="205" t="e">
        <f t="shared" si="69"/>
        <v>#REF!</v>
      </c>
      <c r="CS35" s="205" t="e">
        <f t="shared" si="69"/>
        <v>#REF!</v>
      </c>
    </row>
    <row r="36" spans="1:97" ht="12" customHeight="1">
      <c r="B36" s="361" t="s">
        <v>89</v>
      </c>
      <c r="C36" s="205">
        <f>'Data (2)'!C66</f>
        <v>0.36899999999999999</v>
      </c>
      <c r="D36" s="205">
        <f>'Data (2)'!D66</f>
        <v>0.372</v>
      </c>
      <c r="E36" s="205">
        <f>'Data (2)'!E66</f>
        <v>0.4</v>
      </c>
      <c r="F36" s="205">
        <f>'Data (2)'!F66</f>
        <v>0.4</v>
      </c>
      <c r="G36" s="205">
        <f>'Data (2)'!G66</f>
        <v>0.4</v>
      </c>
      <c r="H36" s="205">
        <f>'Data (2)'!H66</f>
        <v>0.4</v>
      </c>
      <c r="I36" s="205">
        <f>'Data (2)'!I66</f>
        <v>0.4</v>
      </c>
      <c r="J36" s="197">
        <f>'Data (2)'!J66</f>
        <v>0.4</v>
      </c>
      <c r="K36" s="197">
        <f>'Data (2)'!K66</f>
        <v>0.4</v>
      </c>
      <c r="L36" s="197">
        <f>'Data (2)'!L66</f>
        <v>0.4</v>
      </c>
      <c r="M36" s="197">
        <f>'Data (2)'!M66</f>
        <v>0.5</v>
      </c>
      <c r="N36" s="205">
        <f t="shared" si="53"/>
        <v>0.5</v>
      </c>
      <c r="O36" s="197">
        <f>'Data (2)'!O66</f>
        <v>0.6</v>
      </c>
      <c r="P36" s="197">
        <f>'Data (2)'!P66</f>
        <v>0.6</v>
      </c>
      <c r="Q36" s="197">
        <f>'Data (2)'!Q66</f>
        <v>0.7</v>
      </c>
      <c r="R36" s="197">
        <f>'Data (2)'!R66</f>
        <v>0.9</v>
      </c>
      <c r="S36" s="205">
        <f t="shared" si="54"/>
        <v>0.9</v>
      </c>
      <c r="T36" s="197">
        <f>'Data (2)'!T66</f>
        <v>0.9</v>
      </c>
      <c r="U36" s="197">
        <f>'Data (2)'!U66</f>
        <v>1</v>
      </c>
      <c r="V36" s="197">
        <f>'Data (2)'!V66</f>
        <v>1</v>
      </c>
      <c r="W36" s="197">
        <f>'Data (2)'!W66</f>
        <v>1</v>
      </c>
      <c r="X36" s="205">
        <f t="shared" si="55"/>
        <v>1</v>
      </c>
      <c r="Y36" s="197">
        <f>'Data (2)'!Y66</f>
        <v>1</v>
      </c>
      <c r="Z36" s="197">
        <f>'Data (2)'!Z66</f>
        <v>1</v>
      </c>
      <c r="AA36" s="197">
        <f>'Data (2)'!AA66</f>
        <v>1</v>
      </c>
      <c r="AB36" s="197">
        <f>'Data (2)'!AB66</f>
        <v>1</v>
      </c>
      <c r="AC36" s="205">
        <f t="shared" si="56"/>
        <v>1</v>
      </c>
      <c r="AD36" s="197">
        <f>'Data (2)'!AD66</f>
        <v>1</v>
      </c>
      <c r="AE36" s="197">
        <f>'Data (2)'!AE66</f>
        <v>1</v>
      </c>
      <c r="AF36" s="197">
        <f>'Data (2)'!AF66</f>
        <v>1</v>
      </c>
      <c r="AG36" s="197">
        <f>'Data (2)'!AG66</f>
        <v>1</v>
      </c>
      <c r="AH36" s="205">
        <f t="shared" si="57"/>
        <v>1</v>
      </c>
      <c r="AI36" s="197">
        <f>'Data (2)'!AI66</f>
        <v>1</v>
      </c>
      <c r="AJ36" s="197">
        <f>'Data (2)'!AJ66</f>
        <v>1</v>
      </c>
      <c r="AK36" s="197">
        <f>'Data (2)'!AK66</f>
        <v>1</v>
      </c>
      <c r="AL36" s="197">
        <f>'Data (2)'!AL66</f>
        <v>1</v>
      </c>
      <c r="AM36" s="205">
        <f t="shared" si="58"/>
        <v>1</v>
      </c>
      <c r="AN36" s="197">
        <f>'Data (2)'!AN66</f>
        <v>1</v>
      </c>
      <c r="AO36" s="197">
        <f>'Data (2)'!AO66</f>
        <v>1</v>
      </c>
      <c r="AP36" s="197">
        <f>'Data (2)'!AP66</f>
        <v>1</v>
      </c>
      <c r="AQ36" s="197">
        <f>'Data (2)'!AQ66</f>
        <v>1</v>
      </c>
      <c r="AR36" s="205">
        <f t="shared" si="59"/>
        <v>1</v>
      </c>
      <c r="AS36" s="197">
        <f>'Data (2)'!AS66</f>
        <v>1</v>
      </c>
      <c r="AT36" s="197">
        <f>'Data (2)'!AT66</f>
        <v>1</v>
      </c>
      <c r="AU36" s="197">
        <f>'Data (2)'!AU66</f>
        <v>1</v>
      </c>
      <c r="AV36" s="197">
        <f>'Data (2)'!AV66</f>
        <v>1</v>
      </c>
      <c r="AW36" s="205">
        <f t="shared" si="60"/>
        <v>1</v>
      </c>
      <c r="AX36" s="197">
        <f>'Data (2)'!AX66</f>
        <v>1</v>
      </c>
      <c r="AY36" s="197">
        <f>'Data (2)'!AY66</f>
        <v>1</v>
      </c>
      <c r="AZ36" s="197">
        <f>'Data (2)'!AZ66</f>
        <v>1</v>
      </c>
      <c r="BA36" s="197">
        <f>'Data (2)'!BA66</f>
        <v>1</v>
      </c>
      <c r="BB36" s="205">
        <f t="shared" si="61"/>
        <v>1</v>
      </c>
      <c r="BC36" s="197">
        <f>'Data (2)'!BC66</f>
        <v>1</v>
      </c>
      <c r="BD36" s="197">
        <f>'Data (2)'!BD66</f>
        <v>1</v>
      </c>
      <c r="BE36" s="197">
        <f>'Data (2)'!BE66</f>
        <v>1</v>
      </c>
      <c r="BF36" s="197">
        <f>'Data (2)'!BF66</f>
        <v>1</v>
      </c>
      <c r="BG36" s="205">
        <f t="shared" si="62"/>
        <v>1</v>
      </c>
      <c r="BH36" s="197">
        <f>'Data (2)'!BH66</f>
        <v>1</v>
      </c>
      <c r="BI36" s="197">
        <f>'Data (2)'!BI66</f>
        <v>1</v>
      </c>
      <c r="BJ36" s="197">
        <f>'Data (2)'!BJ66</f>
        <v>1</v>
      </c>
      <c r="BK36" s="197">
        <f>'Data (2)'!BK66</f>
        <v>1</v>
      </c>
      <c r="BL36" s="205">
        <f t="shared" si="63"/>
        <v>1</v>
      </c>
      <c r="BM36" s="197">
        <f>'Data (2)'!BM66</f>
        <v>1.1000000000000001</v>
      </c>
      <c r="BN36" s="197">
        <f>'Data (2)'!BN66</f>
        <v>1.1000000000000001</v>
      </c>
      <c r="BO36" s="197">
        <f>'Data (2)'!BO66</f>
        <v>1.1000000000000001</v>
      </c>
      <c r="BP36" s="197">
        <f>'Data (2)'!BP66</f>
        <v>1.1000000000000001</v>
      </c>
      <c r="BQ36" s="205">
        <f t="shared" si="64"/>
        <v>1.1000000000000001</v>
      </c>
      <c r="BR36" s="197">
        <f>'Data (2)'!BR66</f>
        <v>1.1000000000000001</v>
      </c>
      <c r="BS36" s="197">
        <f>'Data (2)'!BS66</f>
        <v>1.1000000000000001</v>
      </c>
      <c r="BT36" s="197">
        <f>'Data (2)'!BT66</f>
        <v>1.1000000000000001</v>
      </c>
      <c r="BU36" s="197">
        <f>'Data (2)'!BU66</f>
        <v>1.1000000000000001</v>
      </c>
      <c r="BV36" s="205">
        <f t="shared" si="65"/>
        <v>1.1000000000000001</v>
      </c>
      <c r="BW36" s="197">
        <f>'Data (2)'!BW66</f>
        <v>1.1000000000000001</v>
      </c>
      <c r="BX36" s="197">
        <f>'Data (2)'!BX66</f>
        <v>1.1000000000000001</v>
      </c>
      <c r="BY36" s="197">
        <f>'Data (2)'!BY66</f>
        <v>1.1000000000000001</v>
      </c>
      <c r="BZ36" s="197">
        <f>'Data (2)'!BZ66</f>
        <v>1.1000000000000001</v>
      </c>
      <c r="CA36" s="205">
        <f t="shared" si="66"/>
        <v>1.1000000000000001</v>
      </c>
      <c r="CB36" s="197">
        <f>'Data (2)'!CB66</f>
        <v>1.1000000000000001</v>
      </c>
      <c r="CC36" s="197">
        <f>'Data (2)'!CC66</f>
        <v>1.1000000000000001</v>
      </c>
      <c r="CD36" s="197">
        <f>'Data (2)'!CD66</f>
        <v>1.1000000000000001</v>
      </c>
      <c r="CE36" s="197">
        <f>'Data (2)'!CE66</f>
        <v>1.1000000000000001</v>
      </c>
      <c r="CF36" s="205">
        <f t="shared" si="67"/>
        <v>1.1000000000000001</v>
      </c>
      <c r="CG36" s="197">
        <f>'Data (2)'!CG66</f>
        <v>1.1000000000000001</v>
      </c>
      <c r="CH36" s="197">
        <f>'Data (2)'!CH66</f>
        <v>1.1000000000000001</v>
      </c>
      <c r="CI36" s="197">
        <f>'Data (2)'!CI66</f>
        <v>1.1000000000000001</v>
      </c>
      <c r="CJ36" s="197">
        <f>'Data (2)'!CJ66</f>
        <v>1.1000000000000001</v>
      </c>
      <c r="CK36" s="205">
        <f t="shared" si="68"/>
        <v>1.1000000000000001</v>
      </c>
      <c r="CL36" s="197">
        <f>'Data (2)'!CL66</f>
        <v>1.1000000000000001</v>
      </c>
      <c r="CM36" s="197">
        <f t="shared" si="69"/>
        <v>1.1000000000000001</v>
      </c>
      <c r="CN36" s="197">
        <f t="shared" si="69"/>
        <v>1.1000000000000001</v>
      </c>
      <c r="CO36" s="197">
        <f t="shared" si="69"/>
        <v>1.1000000000000001</v>
      </c>
      <c r="CP36" s="205">
        <f t="shared" si="69"/>
        <v>1.1000000000000001</v>
      </c>
      <c r="CQ36" s="205">
        <f t="shared" si="69"/>
        <v>1.1000000000000001</v>
      </c>
      <c r="CR36" s="205">
        <f t="shared" si="69"/>
        <v>1.1000000000000001</v>
      </c>
      <c r="CS36" s="205">
        <f t="shared" si="69"/>
        <v>1.1000000000000001</v>
      </c>
    </row>
    <row r="37" spans="1:97" ht="12" customHeight="1">
      <c r="B37" s="361" t="s">
        <v>56</v>
      </c>
      <c r="C37" s="205">
        <f>'Data (2)'!C67</f>
        <v>266.17700000000002</v>
      </c>
      <c r="D37" s="205">
        <f>'Data (2)'!D67</f>
        <v>271.46899999999999</v>
      </c>
      <c r="E37" s="205">
        <f>'Data (2)'!E67</f>
        <v>273.60000000000002</v>
      </c>
      <c r="F37" s="205">
        <f>'Data (2)'!F67</f>
        <v>280.7</v>
      </c>
      <c r="G37" s="205">
        <f>'Data (2)'!G67</f>
        <v>287.7</v>
      </c>
      <c r="H37" s="205">
        <f>'Data (2)'!H67</f>
        <v>288.2</v>
      </c>
      <c r="I37" s="205">
        <f>'Data (2)'!I67</f>
        <v>303.5</v>
      </c>
      <c r="J37" s="197">
        <f>'Data (2)'!J67</f>
        <v>301.5</v>
      </c>
      <c r="K37" s="197">
        <f>'Data (2)'!K67</f>
        <v>301</v>
      </c>
      <c r="L37" s="197">
        <f>'Data (2)'!L67</f>
        <v>299.89999999999998</v>
      </c>
      <c r="M37" s="197">
        <f>'Data (2)'!M67</f>
        <v>334.5</v>
      </c>
      <c r="N37" s="205">
        <f t="shared" si="53"/>
        <v>334.5</v>
      </c>
      <c r="O37" s="197">
        <f>'Data (2)'!O67</f>
        <v>336.3</v>
      </c>
      <c r="P37" s="197">
        <f>'Data (2)'!P67</f>
        <v>338.3</v>
      </c>
      <c r="Q37" s="197">
        <f>'Data (2)'!Q67</f>
        <v>374.4</v>
      </c>
      <c r="R37" s="197">
        <f>'Data (2)'!R67</f>
        <v>455</v>
      </c>
      <c r="S37" s="205">
        <f t="shared" si="54"/>
        <v>455</v>
      </c>
      <c r="T37" s="197">
        <f>'Data (2)'!T67</f>
        <v>465.9</v>
      </c>
      <c r="U37" s="197">
        <f>'Data (2)'!U67</f>
        <v>475.4</v>
      </c>
      <c r="V37" s="197">
        <f>'Data (2)'!V67</f>
        <v>477.3</v>
      </c>
      <c r="W37" s="197">
        <f>'Data (2)'!W67</f>
        <v>479.3</v>
      </c>
      <c r="X37" s="205">
        <f t="shared" si="55"/>
        <v>479.3</v>
      </c>
      <c r="Y37" s="197">
        <f>'Data (2)'!Y67</f>
        <v>489.3</v>
      </c>
      <c r="Z37" s="197">
        <f>'Data (2)'!Z67</f>
        <v>495.8</v>
      </c>
      <c r="AA37" s="197">
        <f>'Data (2)'!AA67</f>
        <v>506.8</v>
      </c>
      <c r="AB37" s="197">
        <f>'Data (2)'!AB67</f>
        <v>513.29999999999995</v>
      </c>
      <c r="AC37" s="205">
        <f t="shared" si="56"/>
        <v>513.29999999999995</v>
      </c>
      <c r="AD37" s="197">
        <f>'Data (2)'!AD67</f>
        <v>519.5</v>
      </c>
      <c r="AE37" s="197">
        <f>'Data (2)'!AE67</f>
        <v>523.6</v>
      </c>
      <c r="AF37" s="197">
        <f>'Data (2)'!AF67</f>
        <v>525.6</v>
      </c>
      <c r="AG37" s="197">
        <f>'Data (2)'!AG67</f>
        <v>526.1</v>
      </c>
      <c r="AH37" s="205">
        <f t="shared" si="57"/>
        <v>526.1</v>
      </c>
      <c r="AI37" s="197">
        <f>'Data (2)'!AI67</f>
        <v>530.70000000000005</v>
      </c>
      <c r="AJ37" s="197">
        <f>'Data (2)'!AJ67</f>
        <v>531.9</v>
      </c>
      <c r="AK37" s="197">
        <f>'Data (2)'!AK67</f>
        <v>532.9</v>
      </c>
      <c r="AL37" s="197">
        <f>'Data (2)'!AL67</f>
        <v>535.29999999999995</v>
      </c>
      <c r="AM37" s="205">
        <f t="shared" si="58"/>
        <v>535.29999999999995</v>
      </c>
      <c r="AN37" s="197">
        <f>'Data (2)'!AN67</f>
        <v>542.29999999999995</v>
      </c>
      <c r="AO37" s="197">
        <f>'Data (2)'!AO67</f>
        <v>546.4</v>
      </c>
      <c r="AP37" s="197">
        <f>'Data (2)'!AP67</f>
        <v>548.9</v>
      </c>
      <c r="AQ37" s="197">
        <f>'Data (2)'!AQ67</f>
        <v>552.29999999999995</v>
      </c>
      <c r="AR37" s="205">
        <f t="shared" si="59"/>
        <v>552.29999999999995</v>
      </c>
      <c r="AS37" s="197">
        <f>'Data (2)'!AS67</f>
        <v>562.9</v>
      </c>
      <c r="AT37" s="197">
        <f>'Data (2)'!AT67</f>
        <v>573.70000000000005</v>
      </c>
      <c r="AU37" s="197">
        <f>'Data (2)'!AU67</f>
        <v>579.9</v>
      </c>
      <c r="AV37" s="197">
        <f>'Data (2)'!AV67</f>
        <v>589.20000000000005</v>
      </c>
      <c r="AW37" s="205">
        <f t="shared" si="60"/>
        <v>589.20000000000005</v>
      </c>
      <c r="AX37" s="197">
        <f>'Data (2)'!AX67</f>
        <v>604.29999999999995</v>
      </c>
      <c r="AY37" s="197">
        <f>'Data (2)'!AY67</f>
        <v>609.20000000000005</v>
      </c>
      <c r="AZ37" s="197">
        <f>'Data (2)'!AZ67</f>
        <v>612.20000000000005</v>
      </c>
      <c r="BA37" s="197">
        <f>'Data (2)'!BA67</f>
        <v>617</v>
      </c>
      <c r="BB37" s="205">
        <f t="shared" si="61"/>
        <v>617</v>
      </c>
      <c r="BC37" s="197">
        <f>'Data (2)'!BC67</f>
        <v>632.5</v>
      </c>
      <c r="BD37" s="197">
        <f>'Data (2)'!BD67</f>
        <v>640.1</v>
      </c>
      <c r="BE37" s="197">
        <f>'Data (2)'!BE67</f>
        <v>644.9</v>
      </c>
      <c r="BF37" s="197">
        <f>'Data (2)'!BF67</f>
        <v>642.29999999999995</v>
      </c>
      <c r="BG37" s="205">
        <f t="shared" si="62"/>
        <v>642.29999999999995</v>
      </c>
      <c r="BH37" s="197">
        <f>'Data (2)'!BH67</f>
        <v>663.7</v>
      </c>
      <c r="BI37" s="197">
        <f>'Data (2)'!BI67</f>
        <v>671.3</v>
      </c>
      <c r="BJ37" s="197">
        <f>'Data (2)'!BJ67</f>
        <v>674.2</v>
      </c>
      <c r="BK37" s="197">
        <f>'Data (2)'!BK67</f>
        <v>678.5</v>
      </c>
      <c r="BL37" s="205">
        <f t="shared" si="63"/>
        <v>678.5</v>
      </c>
      <c r="BM37" s="197">
        <f>'Data (2)'!BM67</f>
        <v>706.8</v>
      </c>
      <c r="BN37" s="197">
        <f>'Data (2)'!BN67</f>
        <v>709.7</v>
      </c>
      <c r="BO37" s="197">
        <f>'Data (2)'!BO67</f>
        <v>712.9</v>
      </c>
      <c r="BP37" s="197">
        <f>'Data (2)'!BP67</f>
        <v>715.8</v>
      </c>
      <c r="BQ37" s="205">
        <f t="shared" si="64"/>
        <v>715.8</v>
      </c>
      <c r="BR37" s="197">
        <f>'Data (2)'!BR67</f>
        <v>727.4</v>
      </c>
      <c r="BS37" s="197">
        <f>'Data (2)'!BS67</f>
        <v>730.2</v>
      </c>
      <c r="BT37" s="197">
        <f>'Data (2)'!BT67</f>
        <v>735</v>
      </c>
      <c r="BU37" s="197">
        <f>'Data (2)'!BU67</f>
        <v>738.8</v>
      </c>
      <c r="BV37" s="205">
        <f t="shared" si="65"/>
        <v>738.8</v>
      </c>
      <c r="BW37" s="197">
        <f>'Data (2)'!BW67</f>
        <v>754.9</v>
      </c>
      <c r="BX37" s="197">
        <f>'Data (2)'!BX67</f>
        <v>763.1</v>
      </c>
      <c r="BY37" s="197">
        <f>'Data (2)'!BY67</f>
        <v>766.5</v>
      </c>
      <c r="BZ37" s="197">
        <f>'Data (2)'!BZ67</f>
        <v>774.3</v>
      </c>
      <c r="CA37" s="205">
        <f t="shared" si="66"/>
        <v>774.3</v>
      </c>
      <c r="CB37" s="197">
        <f>'Data (2)'!CB67</f>
        <v>787.7</v>
      </c>
      <c r="CC37" s="197">
        <f>'Data (2)'!CC67</f>
        <v>792</v>
      </c>
      <c r="CD37" s="197">
        <f>'Data (2)'!CD67</f>
        <v>795.2</v>
      </c>
      <c r="CE37" s="197">
        <f>'Data (2)'!CE67</f>
        <v>798.3</v>
      </c>
      <c r="CF37" s="205">
        <f t="shared" si="67"/>
        <v>798.3</v>
      </c>
      <c r="CG37" s="197">
        <f>'Data (2)'!CG67</f>
        <v>811.8</v>
      </c>
      <c r="CH37" s="197">
        <f>'Data (2)'!CH67</f>
        <v>817.9</v>
      </c>
      <c r="CI37" s="197">
        <f>'Data (2)'!CI67</f>
        <v>826.7</v>
      </c>
      <c r="CJ37" s="197">
        <f>'Data (2)'!CJ67</f>
        <v>829.9</v>
      </c>
      <c r="CK37" s="205">
        <f t="shared" si="68"/>
        <v>829.9</v>
      </c>
      <c r="CL37" s="197">
        <f>'Data (2)'!CL67</f>
        <v>845.1</v>
      </c>
      <c r="CM37" s="213">
        <f>CL37+'Cash Flow'!CM42</f>
        <v>845.1</v>
      </c>
      <c r="CN37" s="213">
        <f>CM37+'Cash Flow'!CN42</f>
        <v>845.1</v>
      </c>
      <c r="CO37" s="213">
        <f>CN37+'Cash Flow'!CO42</f>
        <v>845.1</v>
      </c>
      <c r="CP37" s="205">
        <f>CO37</f>
        <v>845.1</v>
      </c>
      <c r="CQ37" s="214">
        <f>CP37+'Cash Flow'!CQ42</f>
        <v>820.17000000000007</v>
      </c>
      <c r="CR37" s="214">
        <f>CQ37+'Cash Flow'!CR42</f>
        <v>789.94500000000005</v>
      </c>
      <c r="CS37" s="214">
        <f>CR37+'Cash Flow'!CS42</f>
        <v>753.71062500000005</v>
      </c>
    </row>
    <row r="38" spans="1:97" ht="12" customHeight="1">
      <c r="B38" s="361" t="s">
        <v>57</v>
      </c>
      <c r="C38" s="205">
        <f>'Data (2)'!C68</f>
        <v>-15.541</v>
      </c>
      <c r="D38" s="205">
        <f>'Data (2)'!D68</f>
        <v>34.898000000000003</v>
      </c>
      <c r="E38" s="205">
        <f>'Data (2)'!E68</f>
        <v>11.6</v>
      </c>
      <c r="F38" s="205">
        <f>'Data (2)'!F68</f>
        <v>65.8</v>
      </c>
      <c r="G38" s="205">
        <f>'Data (2)'!G68</f>
        <v>-367.9</v>
      </c>
      <c r="H38" s="205">
        <f>'Data (2)'!H68</f>
        <v>-381.5</v>
      </c>
      <c r="I38" s="205">
        <f>'Data (2)'!I68</f>
        <v>-392.6</v>
      </c>
      <c r="J38" s="197">
        <f>'Data (2)'!J68</f>
        <v>-384.5</v>
      </c>
      <c r="K38" s="197">
        <f>'Data (2)'!K68</f>
        <v>-375.7</v>
      </c>
      <c r="L38" s="197">
        <f>'Data (2)'!L68</f>
        <v>-371.4</v>
      </c>
      <c r="M38" s="197">
        <f>'Data (2)'!M68</f>
        <v>-363.8</v>
      </c>
      <c r="N38" s="205">
        <f t="shared" si="53"/>
        <v>-363.8</v>
      </c>
      <c r="O38" s="197">
        <f>'Data (2)'!O68</f>
        <v>-386.2</v>
      </c>
      <c r="P38" s="197">
        <f>'Data (2)'!P68</f>
        <v>-360</v>
      </c>
      <c r="Q38" s="197">
        <f>'Data (2)'!Q68</f>
        <v>-358.9</v>
      </c>
      <c r="R38" s="197">
        <f>'Data (2)'!R68</f>
        <v>-222.5</v>
      </c>
      <c r="S38" s="205">
        <f t="shared" si="54"/>
        <v>-222.5</v>
      </c>
      <c r="T38" s="197">
        <f>'Data (2)'!T68</f>
        <v>-208</v>
      </c>
      <c r="U38" s="197">
        <f>'Data (2)'!U68</f>
        <v>-190.4</v>
      </c>
      <c r="V38" s="197">
        <f>'Data (2)'!V68</f>
        <v>-174.7</v>
      </c>
      <c r="W38" s="197">
        <f>'Data (2)'!W68</f>
        <v>-157.1</v>
      </c>
      <c r="X38" s="205">
        <f t="shared" si="55"/>
        <v>-157.1</v>
      </c>
      <c r="Y38" s="197">
        <f>'Data (2)'!Y68</f>
        <v>-135.19999999999999</v>
      </c>
      <c r="Z38" s="197">
        <f>'Data (2)'!Z68</f>
        <v>-126.5</v>
      </c>
      <c r="AA38" s="197">
        <f>'Data (2)'!AA68</f>
        <v>-109.2</v>
      </c>
      <c r="AB38" s="197">
        <f>'Data (2)'!AB68</f>
        <v>-97.4</v>
      </c>
      <c r="AC38" s="205">
        <f t="shared" si="56"/>
        <v>-97.4</v>
      </c>
      <c r="AD38" s="197">
        <f>'Data (2)'!AD68</f>
        <v>-74.2</v>
      </c>
      <c r="AE38" s="197">
        <f>'Data (2)'!AE68</f>
        <v>-47.6</v>
      </c>
      <c r="AF38" s="197">
        <f>'Data (2)'!AF68</f>
        <v>-14.5</v>
      </c>
      <c r="AG38" s="197">
        <f>'Data (2)'!AG68</f>
        <v>14.6</v>
      </c>
      <c r="AH38" s="205">
        <f t="shared" si="57"/>
        <v>14.6</v>
      </c>
      <c r="AI38" s="197">
        <f>'Data (2)'!AI68</f>
        <v>38.1</v>
      </c>
      <c r="AJ38" s="197">
        <f>'Data (2)'!AJ68</f>
        <v>54.8</v>
      </c>
      <c r="AK38" s="197">
        <f>'Data (2)'!AK68</f>
        <v>65.3</v>
      </c>
      <c r="AL38" s="197">
        <f>'Data (2)'!AL68</f>
        <v>71</v>
      </c>
      <c r="AM38" s="205">
        <f t="shared" si="58"/>
        <v>71</v>
      </c>
      <c r="AN38" s="197">
        <f>'Data (2)'!AN68</f>
        <v>86.8</v>
      </c>
      <c r="AO38" s="197">
        <f>'Data (2)'!AO68</f>
        <v>109.9</v>
      </c>
      <c r="AP38" s="197">
        <f>'Data (2)'!AP68</f>
        <v>125.5</v>
      </c>
      <c r="AQ38" s="197">
        <f>'Data (2)'!AQ68</f>
        <v>148.4</v>
      </c>
      <c r="AR38" s="205">
        <f t="shared" si="59"/>
        <v>148.4</v>
      </c>
      <c r="AS38" s="197">
        <f>'Data (2)'!AS68</f>
        <v>174.8</v>
      </c>
      <c r="AT38" s="197">
        <f>'Data (2)'!AT68</f>
        <v>212.2</v>
      </c>
      <c r="AU38" s="197">
        <f>'Data (2)'!AU68</f>
        <v>244.4</v>
      </c>
      <c r="AV38" s="197">
        <f>'Data (2)'!AV68</f>
        <v>283.89999999999998</v>
      </c>
      <c r="AW38" s="205">
        <f t="shared" si="60"/>
        <v>283.89999999999998</v>
      </c>
      <c r="AX38" s="197">
        <f>'Data (2)'!AX68</f>
        <v>323.5</v>
      </c>
      <c r="AY38" s="197">
        <f>'Data (2)'!AY68</f>
        <v>371.5</v>
      </c>
      <c r="AZ38" s="197">
        <f>'Data (2)'!AZ68</f>
        <v>411.3</v>
      </c>
      <c r="BA38" s="197">
        <f>'Data (2)'!BA68</f>
        <v>448.2</v>
      </c>
      <c r="BB38" s="205">
        <f t="shared" si="61"/>
        <v>448.2</v>
      </c>
      <c r="BC38" s="197">
        <f>'Data (2)'!BC68</f>
        <v>491.8</v>
      </c>
      <c r="BD38" s="197">
        <f>'Data (2)'!BD68</f>
        <v>540.29999999999995</v>
      </c>
      <c r="BE38" s="197">
        <f>'Data (2)'!BE68</f>
        <v>589</v>
      </c>
      <c r="BF38" s="197">
        <f>'Data (2)'!BF68</f>
        <v>636.1</v>
      </c>
      <c r="BG38" s="205">
        <f t="shared" si="62"/>
        <v>636.1</v>
      </c>
      <c r="BH38" s="197">
        <f>'Data (2)'!BH68</f>
        <v>686.2</v>
      </c>
      <c r="BI38" s="197">
        <f>'Data (2)'!BI68</f>
        <v>736.8</v>
      </c>
      <c r="BJ38" s="197">
        <f>'Data (2)'!BJ68</f>
        <v>792.6</v>
      </c>
      <c r="BK38" s="197">
        <f>'Data (2)'!BK68</f>
        <v>845.5</v>
      </c>
      <c r="BL38" s="205">
        <f t="shared" si="63"/>
        <v>845.5</v>
      </c>
      <c r="BM38" s="197">
        <f>'Data (2)'!BM68</f>
        <v>904</v>
      </c>
      <c r="BN38" s="197">
        <f>'Data (2)'!BN68</f>
        <v>956.1</v>
      </c>
      <c r="BO38" s="197">
        <f>'Data (2)'!BO68</f>
        <v>999.9</v>
      </c>
      <c r="BP38" s="197">
        <f>'Data (2)'!BP68</f>
        <v>1044.4000000000001</v>
      </c>
      <c r="BQ38" s="205">
        <f t="shared" si="64"/>
        <v>1044.4000000000001</v>
      </c>
      <c r="BR38" s="197">
        <f>'Data (2)'!BR68</f>
        <v>1091.4000000000001</v>
      </c>
      <c r="BS38" s="197">
        <f>'Data (2)'!BS68</f>
        <v>1147.3</v>
      </c>
      <c r="BT38" s="197">
        <f>'Data (2)'!BT68</f>
        <v>1205.2</v>
      </c>
      <c r="BU38" s="197">
        <f>'Data (2)'!BU68</f>
        <v>1254.7</v>
      </c>
      <c r="BV38" s="205">
        <f t="shared" si="65"/>
        <v>1254.7</v>
      </c>
      <c r="BW38" s="197">
        <f>'Data (2)'!BW68</f>
        <v>1309.0999999999999</v>
      </c>
      <c r="BX38" s="197">
        <f>'Data (2)'!BX68</f>
        <v>1360.6</v>
      </c>
      <c r="BY38" s="197">
        <f>'Data (2)'!BY68</f>
        <v>1419.1</v>
      </c>
      <c r="BZ38" s="197">
        <f>'Data (2)'!BZ68</f>
        <v>1496.1</v>
      </c>
      <c r="CA38" s="205">
        <f t="shared" si="66"/>
        <v>1496.1</v>
      </c>
      <c r="CB38" s="197">
        <f>'Data (2)'!CB68</f>
        <v>1548.7</v>
      </c>
      <c r="CC38" s="197">
        <f>'Data (2)'!CC68</f>
        <v>1606.2</v>
      </c>
      <c r="CD38" s="197">
        <f>'Data (2)'!CD68</f>
        <v>1673.3</v>
      </c>
      <c r="CE38" s="197">
        <f>'Data (2)'!CE68</f>
        <v>1726.5</v>
      </c>
      <c r="CF38" s="205">
        <f t="shared" si="67"/>
        <v>1726.5</v>
      </c>
      <c r="CG38" s="197">
        <f>'Data (2)'!CG68</f>
        <v>1786</v>
      </c>
      <c r="CH38" s="197">
        <f>'Data (2)'!CH68</f>
        <v>1854.1</v>
      </c>
      <c r="CI38" s="197">
        <f>'Data (2)'!CI68</f>
        <v>1920</v>
      </c>
      <c r="CJ38" s="197">
        <f>'Data (2)'!CJ68</f>
        <v>1978.9</v>
      </c>
      <c r="CK38" s="205">
        <f t="shared" si="68"/>
        <v>1978.9</v>
      </c>
      <c r="CL38" s="197">
        <f>'Data (2)'!CL68</f>
        <v>2007.1</v>
      </c>
      <c r="CM38" s="213">
        <f>CL38+'IS (2)'!CM18</f>
        <v>2007.3001159539999</v>
      </c>
      <c r="CN38" s="213">
        <f>CM38+'IS (2)'!CN18</f>
        <v>2023.98786195</v>
      </c>
      <c r="CO38" s="213">
        <f>CN38+'IS (2)'!CO18</f>
        <v>2053.951991374</v>
      </c>
      <c r="CP38" s="205">
        <f>CO38</f>
        <v>2053.951991374</v>
      </c>
      <c r="CQ38" s="214">
        <f>CP38+'IS (2)'!CQ18</f>
        <v>2189.94218902901</v>
      </c>
      <c r="CR38" s="214">
        <f>CQ38+'IS (2)'!CR18</f>
        <v>2360.9682172694156</v>
      </c>
      <c r="CS38" s="214">
        <f>CR38+'IS (2)'!CS18</f>
        <v>2571.4058592619203</v>
      </c>
    </row>
    <row r="39" spans="1:97" ht="12" customHeight="1">
      <c r="B39" s="361" t="s">
        <v>58</v>
      </c>
      <c r="C39" s="205">
        <f>'Data (2)'!C69</f>
        <v>-1.1040000000000001</v>
      </c>
      <c r="D39" s="205">
        <f>'Data (2)'!D69</f>
        <v>6.3129999999999997</v>
      </c>
      <c r="E39" s="205">
        <f>'Data (2)'!E69</f>
        <v>-4.8</v>
      </c>
      <c r="F39" s="205">
        <f>'Data (2)'!F69</f>
        <v>-20</v>
      </c>
      <c r="G39" s="205">
        <f>'Data (2)'!G69</f>
        <v>-39.700000000000003</v>
      </c>
      <c r="H39" s="205">
        <f>'Data (2)'!H69</f>
        <v>-21.2</v>
      </c>
      <c r="I39" s="205">
        <f>'Data (2)'!I69</f>
        <v>8.8000000000000007</v>
      </c>
      <c r="J39" s="197">
        <f>'Data (2)'!J69</f>
        <v>2.5</v>
      </c>
      <c r="K39" s="197">
        <f>'Data (2)'!K69</f>
        <v>-0.9</v>
      </c>
      <c r="L39" s="197">
        <f>'Data (2)'!L69</f>
        <v>2</v>
      </c>
      <c r="M39" s="197">
        <f>'Data (2)'!M69</f>
        <v>18.399999999999999</v>
      </c>
      <c r="N39" s="205">
        <f t="shared" si="53"/>
        <v>18.399999999999999</v>
      </c>
      <c r="O39" s="197">
        <f>'Data (2)'!O69</f>
        <v>4.4000000000000004</v>
      </c>
      <c r="P39" s="197">
        <f>'Data (2)'!P69</f>
        <v>-7.7</v>
      </c>
      <c r="Q39" s="197">
        <f>'Data (2)'!Q69</f>
        <v>-8.8000000000000007</v>
      </c>
      <c r="R39" s="197">
        <f>'Data (2)'!R69</f>
        <v>-7.3</v>
      </c>
      <c r="S39" s="205">
        <f t="shared" si="54"/>
        <v>-7.3</v>
      </c>
      <c r="T39" s="197">
        <f>'Data (2)'!T69</f>
        <v>-2.2999999999999998</v>
      </c>
      <c r="U39" s="197">
        <f>'Data (2)'!U69</f>
        <v>8.4</v>
      </c>
      <c r="V39" s="197">
        <f>'Data (2)'!V69</f>
        <v>12.4</v>
      </c>
      <c r="W39" s="197">
        <f>'Data (2)'!W69</f>
        <v>-1.8</v>
      </c>
      <c r="X39" s="205">
        <f t="shared" si="55"/>
        <v>-1.8</v>
      </c>
      <c r="Y39" s="197">
        <f>'Data (2)'!Y69</f>
        <v>-0.6</v>
      </c>
      <c r="Z39" s="197">
        <f>'Data (2)'!Z69</f>
        <v>1.8</v>
      </c>
      <c r="AA39" s="197">
        <f>'Data (2)'!AA69</f>
        <v>7.5</v>
      </c>
      <c r="AB39" s="197">
        <f>'Data (2)'!AB69</f>
        <v>32.6</v>
      </c>
      <c r="AC39" s="205">
        <f t="shared" si="56"/>
        <v>32.6</v>
      </c>
      <c r="AD39" s="197">
        <f>'Data (2)'!AD69</f>
        <v>45.1</v>
      </c>
      <c r="AE39" s="197">
        <f>'Data (2)'!AE69</f>
        <v>48.3</v>
      </c>
      <c r="AF39" s="197">
        <f>'Data (2)'!AF69</f>
        <v>21.8</v>
      </c>
      <c r="AG39" s="197">
        <f>'Data (2)'!AG69</f>
        <v>-8.6999999999999993</v>
      </c>
      <c r="AH39" s="205">
        <f t="shared" si="57"/>
        <v>-8.6999999999999993</v>
      </c>
      <c r="AI39" s="197">
        <f>'Data (2)'!AI69</f>
        <v>-19.899999999999999</v>
      </c>
      <c r="AJ39" s="197">
        <f>'Data (2)'!AJ69</f>
        <v>3.9</v>
      </c>
      <c r="AK39" s="197">
        <f>'Data (2)'!AK69</f>
        <v>12.8</v>
      </c>
      <c r="AL39" s="197">
        <f>'Data (2)'!AL69</f>
        <v>-7</v>
      </c>
      <c r="AM39" s="205">
        <f t="shared" si="58"/>
        <v>-7</v>
      </c>
      <c r="AN39" s="197">
        <f>'Data (2)'!AN69</f>
        <v>-25.8</v>
      </c>
      <c r="AO39" s="197">
        <f>'Data (2)'!AO69</f>
        <v>-47.2</v>
      </c>
      <c r="AP39" s="197">
        <f>'Data (2)'!AP69</f>
        <v>-12.6</v>
      </c>
      <c r="AQ39" s="197">
        <f>'Data (2)'!AQ69</f>
        <v>-15.1</v>
      </c>
      <c r="AR39" s="205">
        <f t="shared" si="59"/>
        <v>-15.1</v>
      </c>
      <c r="AS39" s="197">
        <f>'Data (2)'!AS69</f>
        <v>8.6999999999999993</v>
      </c>
      <c r="AT39" s="197">
        <f>'Data (2)'!AT69</f>
        <v>14.4</v>
      </c>
      <c r="AU39" s="197">
        <f>'Data (2)'!AU69</f>
        <v>-9.1999999999999993</v>
      </c>
      <c r="AV39" s="197">
        <f>'Data (2)'!AV69</f>
        <v>-39.799999999999997</v>
      </c>
      <c r="AW39" s="205">
        <f t="shared" si="60"/>
        <v>-39.799999999999997</v>
      </c>
      <c r="AX39" s="197">
        <f>'Data (2)'!AX69</f>
        <v>-25.4</v>
      </c>
      <c r="AY39" s="197">
        <f>'Data (2)'!AY69</f>
        <v>-48.1</v>
      </c>
      <c r="AZ39" s="197">
        <f>'Data (2)'!AZ69</f>
        <v>-36.4</v>
      </c>
      <c r="BA39" s="197">
        <f>'Data (2)'!BA69</f>
        <v>-31.9</v>
      </c>
      <c r="BB39" s="205">
        <f t="shared" si="61"/>
        <v>-31.9</v>
      </c>
      <c r="BC39" s="197">
        <f>'Data (2)'!BC69</f>
        <v>-52.5</v>
      </c>
      <c r="BD39" s="197">
        <f>'Data (2)'!BD69</f>
        <v>-42.7</v>
      </c>
      <c r="BE39" s="197">
        <f>'Data (2)'!BE69</f>
        <v>-17.5</v>
      </c>
      <c r="BF39" s="197">
        <f>'Data (2)'!BF69</f>
        <v>10.7</v>
      </c>
      <c r="BG39" s="205">
        <f t="shared" si="62"/>
        <v>10.7</v>
      </c>
      <c r="BH39" s="197">
        <f>'Data (2)'!BH69</f>
        <v>9.8000000000000007</v>
      </c>
      <c r="BI39" s="197">
        <f>'Data (2)'!BI69</f>
        <v>9.1999999999999993</v>
      </c>
      <c r="BJ39" s="197">
        <f>'Data (2)'!BJ69</f>
        <v>-35.200000000000003</v>
      </c>
      <c r="BK39" s="197">
        <f>'Data (2)'!BK69</f>
        <v>-69.7</v>
      </c>
      <c r="BL39" s="205">
        <f t="shared" si="63"/>
        <v>-69.7</v>
      </c>
      <c r="BM39" s="197">
        <f>'Data (2)'!BM69</f>
        <v>-135</v>
      </c>
      <c r="BN39" s="197">
        <f>'Data (2)'!BN69</f>
        <v>-108.5</v>
      </c>
      <c r="BO39" s="197">
        <f>'Data (2)'!BO69</f>
        <v>-107</v>
      </c>
      <c r="BP39" s="197">
        <f>'Data (2)'!BP69</f>
        <v>-123.9</v>
      </c>
      <c r="BQ39" s="205">
        <f t="shared" si="64"/>
        <v>-123.9</v>
      </c>
      <c r="BR39" s="197">
        <f>'Data (2)'!BR69</f>
        <v>-103.5</v>
      </c>
      <c r="BS39" s="197">
        <f>'Data (2)'!BS69</f>
        <v>-134.5</v>
      </c>
      <c r="BT39" s="197">
        <f>'Data (2)'!BT69</f>
        <v>-132.80000000000001</v>
      </c>
      <c r="BU39" s="197">
        <f>'Data (2)'!BU69</f>
        <v>-174.4</v>
      </c>
      <c r="BV39" s="205">
        <f t="shared" si="65"/>
        <v>-174.4</v>
      </c>
      <c r="BW39" s="197">
        <f>'Data (2)'!BW69</f>
        <v>-158.1</v>
      </c>
      <c r="BX39" s="197">
        <f>'Data (2)'!BX69</f>
        <v>-93</v>
      </c>
      <c r="BY39" s="197">
        <f>'Data (2)'!BY69</f>
        <v>-57.2</v>
      </c>
      <c r="BZ39" s="197">
        <f>'Data (2)'!BZ69</f>
        <v>-45</v>
      </c>
      <c r="CA39" s="205">
        <f t="shared" si="66"/>
        <v>-45</v>
      </c>
      <c r="CB39" s="197">
        <f>'Data (2)'!CB69</f>
        <v>-7.8</v>
      </c>
      <c r="CC39" s="197">
        <f>'Data (2)'!CC69</f>
        <v>-80.8</v>
      </c>
      <c r="CD39" s="197">
        <f>'Data (2)'!CD69</f>
        <v>-81.599999999999994</v>
      </c>
      <c r="CE39" s="197">
        <f>'Data (2)'!CE69</f>
        <v>-108</v>
      </c>
      <c r="CF39" s="205">
        <f t="shared" si="67"/>
        <v>-108</v>
      </c>
      <c r="CG39" s="197">
        <f>'Data (2)'!CG69</f>
        <v>-113.9</v>
      </c>
      <c r="CH39" s="197">
        <f>'Data (2)'!CH69</f>
        <v>-118.1</v>
      </c>
      <c r="CI39" s="197">
        <f>'Data (2)'!CI69</f>
        <v>-161.1</v>
      </c>
      <c r="CJ39" s="197">
        <f>'Data (2)'!CJ69</f>
        <v>-118.7</v>
      </c>
      <c r="CK39" s="205">
        <f t="shared" si="68"/>
        <v>-118.7</v>
      </c>
      <c r="CL39" s="197">
        <f>'Data (2)'!CL69</f>
        <v>-155.30000000000001</v>
      </c>
      <c r="CM39" s="197">
        <f>CM19-SUM(CM34,CM36:CM38)-CM40</f>
        <v>-467.35876285998256</v>
      </c>
      <c r="CN39" s="197">
        <f>CN19-SUM(CN34,CN36:CN38)-CN40</f>
        <v>-425.04645146666599</v>
      </c>
      <c r="CO39" s="197">
        <f>CO19-SUM(CO34,CO36:CO38)-CO40</f>
        <v>-305.75831563787142</v>
      </c>
      <c r="CP39" s="205">
        <f>CO39</f>
        <v>-305.75831563787142</v>
      </c>
      <c r="CQ39" s="205">
        <f>CQ19-SUM(CQ34,CQ36:CQ38)-CQ40</f>
        <v>-271.38549572047714</v>
      </c>
      <c r="CR39" s="205">
        <f>CR19-SUM(CR34,CR36:CR38)-CR40</f>
        <v>-201.44447822982829</v>
      </c>
      <c r="CS39" s="205">
        <f>CS19-SUM(CS34,CS36:CS38)-CS40</f>
        <v>-103.44842559737253</v>
      </c>
    </row>
    <row r="40" spans="1:97" ht="12" customHeight="1">
      <c r="B40" s="361" t="s">
        <v>172</v>
      </c>
      <c r="C40" s="366">
        <f>'Data (2)'!C70</f>
        <v>0</v>
      </c>
      <c r="D40" s="366">
        <f>'Data (2)'!D70</f>
        <v>-10.653</v>
      </c>
      <c r="E40" s="366">
        <f>'Data (2)'!E70</f>
        <v>-10.7</v>
      </c>
      <c r="F40" s="366">
        <f>'Data (2)'!F70</f>
        <v>-11.2</v>
      </c>
      <c r="G40" s="366">
        <f>'Data (2)'!G70</f>
        <v>-13.1</v>
      </c>
      <c r="H40" s="366">
        <f>'Data (2)'!H70</f>
        <v>-13.3</v>
      </c>
      <c r="I40" s="366">
        <f>'Data (2)'!I70</f>
        <v>-13.5</v>
      </c>
      <c r="J40" s="211">
        <f>'Data (2)'!J70</f>
        <v>-14</v>
      </c>
      <c r="K40" s="211">
        <f>'Data (2)'!K70</f>
        <v>-14</v>
      </c>
      <c r="L40" s="211">
        <f>'Data (2)'!L70</f>
        <v>-14</v>
      </c>
      <c r="M40" s="211">
        <f>'Data (2)'!M70</f>
        <v>-14</v>
      </c>
      <c r="N40" s="366">
        <f t="shared" si="53"/>
        <v>-14</v>
      </c>
      <c r="O40" s="211">
        <f>'Data (2)'!O70</f>
        <v>-15.4</v>
      </c>
      <c r="P40" s="211">
        <f>'Data (2)'!P70</f>
        <v>-15.4</v>
      </c>
      <c r="Q40" s="211">
        <f>'Data (2)'!Q70</f>
        <v>-15.4</v>
      </c>
      <c r="R40" s="211">
        <f>'Data (2)'!R70</f>
        <v>-15.4</v>
      </c>
      <c r="S40" s="366">
        <f t="shared" si="54"/>
        <v>-15.4</v>
      </c>
      <c r="T40" s="211">
        <f>'Data (2)'!T70</f>
        <v>-18.899999999999999</v>
      </c>
      <c r="U40" s="211">
        <f>'Data (2)'!U70</f>
        <v>-19.3</v>
      </c>
      <c r="V40" s="211">
        <f>'Data (2)'!V70</f>
        <v>-19.3</v>
      </c>
      <c r="W40" s="211">
        <f>'Data (2)'!W70</f>
        <v>-19.8</v>
      </c>
      <c r="X40" s="366">
        <f t="shared" si="55"/>
        <v>-19.8</v>
      </c>
      <c r="Y40" s="211">
        <f>'Data (2)'!Y70</f>
        <v>-21.5</v>
      </c>
      <c r="Z40" s="211">
        <f>'Data (2)'!Z70</f>
        <v>-21.6</v>
      </c>
      <c r="AA40" s="211">
        <f>'Data (2)'!AA70</f>
        <v>-21.8</v>
      </c>
      <c r="AB40" s="211">
        <f>'Data (2)'!AB70</f>
        <v>-21.9</v>
      </c>
      <c r="AC40" s="366">
        <f t="shared" si="56"/>
        <v>-21.9</v>
      </c>
      <c r="AD40" s="211">
        <f>'Data (2)'!AD70</f>
        <v>-22.9</v>
      </c>
      <c r="AE40" s="211">
        <f>'Data (2)'!AE70</f>
        <v>-23.2</v>
      </c>
      <c r="AF40" s="211">
        <f>'Data (2)'!AF70</f>
        <v>-23.8</v>
      </c>
      <c r="AG40" s="211">
        <f>'Data (2)'!AG70</f>
        <v>-23.8</v>
      </c>
      <c r="AH40" s="366">
        <f t="shared" si="57"/>
        <v>-23.8</v>
      </c>
      <c r="AI40" s="211">
        <f>'Data (2)'!AI70</f>
        <v>-24.5</v>
      </c>
      <c r="AJ40" s="211">
        <f>'Data (2)'!AJ70</f>
        <v>-24.5</v>
      </c>
      <c r="AK40" s="211">
        <f>'Data (2)'!AK70</f>
        <v>-24.5</v>
      </c>
      <c r="AL40" s="211">
        <f>'Data (2)'!AL70</f>
        <v>-24.7</v>
      </c>
      <c r="AM40" s="366">
        <f t="shared" si="58"/>
        <v>-24.7</v>
      </c>
      <c r="AN40" s="211">
        <f>'Data (2)'!AN70</f>
        <v>-27.4</v>
      </c>
      <c r="AO40" s="211">
        <f>'Data (2)'!AO70</f>
        <v>-27.5</v>
      </c>
      <c r="AP40" s="211">
        <f>'Data (2)'!AP70</f>
        <v>-27.6</v>
      </c>
      <c r="AQ40" s="211">
        <f>'Data (2)'!AQ70</f>
        <v>-27.2</v>
      </c>
      <c r="AR40" s="366">
        <f t="shared" si="59"/>
        <v>-27.2</v>
      </c>
      <c r="AS40" s="211">
        <f>'Data (2)'!AS70</f>
        <v>-28.4</v>
      </c>
      <c r="AT40" s="211">
        <f>'Data (2)'!AT70</f>
        <v>-24.8</v>
      </c>
      <c r="AU40" s="211">
        <f>'Data (2)'!AU70</f>
        <v>-26.8</v>
      </c>
      <c r="AV40" s="211">
        <f>'Data (2)'!AV70</f>
        <v>-32.1</v>
      </c>
      <c r="AW40" s="366">
        <f t="shared" si="60"/>
        <v>-32.1</v>
      </c>
      <c r="AX40" s="211">
        <f>'Data (2)'!AX70</f>
        <v>-39.1</v>
      </c>
      <c r="AY40" s="211">
        <f>'Data (2)'!AY70</f>
        <v>-39.1</v>
      </c>
      <c r="AZ40" s="211">
        <f>'Data (2)'!AZ70</f>
        <v>-39.200000000000003</v>
      </c>
      <c r="BA40" s="211">
        <f>'Data (2)'!BA70</f>
        <v>-40.200000000000003</v>
      </c>
      <c r="BB40" s="366">
        <f t="shared" si="61"/>
        <v>-40.200000000000003</v>
      </c>
      <c r="BC40" s="211">
        <f>'Data (2)'!BC70</f>
        <v>-62.4</v>
      </c>
      <c r="BD40" s="211">
        <f>'Data (2)'!BD70</f>
        <v>-97.5</v>
      </c>
      <c r="BE40" s="211">
        <f>'Data (2)'!BE70</f>
        <v>-97.6</v>
      </c>
      <c r="BF40" s="211">
        <f>'Data (2)'!BF70</f>
        <v>-129.69999999999999</v>
      </c>
      <c r="BG40" s="366">
        <f t="shared" si="62"/>
        <v>-129.69999999999999</v>
      </c>
      <c r="BH40" s="211">
        <f>'Data (2)'!BH70</f>
        <v>-195.7</v>
      </c>
      <c r="BI40" s="211">
        <f>'Data (2)'!BI70</f>
        <v>-262.10000000000002</v>
      </c>
      <c r="BJ40" s="211">
        <f>'Data (2)'!BJ70</f>
        <v>-305.39999999999998</v>
      </c>
      <c r="BK40" s="211">
        <f>'Data (2)'!BK70</f>
        <v>-305.39999999999998</v>
      </c>
      <c r="BL40" s="366">
        <f t="shared" si="63"/>
        <v>-305.39999999999998</v>
      </c>
      <c r="BM40" s="211">
        <f>'Data (2)'!BM70</f>
        <v>-311.39999999999998</v>
      </c>
      <c r="BN40" s="211">
        <f>'Data (2)'!BN70</f>
        <v>-311.39999999999998</v>
      </c>
      <c r="BO40" s="211">
        <f>'Data (2)'!BO70</f>
        <v>-411.6</v>
      </c>
      <c r="BP40" s="211">
        <f>'Data (2)'!BP70</f>
        <v>-457.8</v>
      </c>
      <c r="BQ40" s="366">
        <f t="shared" si="64"/>
        <v>-457.8</v>
      </c>
      <c r="BR40" s="211">
        <f>'Data (2)'!BR70</f>
        <v>-498.9</v>
      </c>
      <c r="BS40" s="211">
        <f>'Data (2)'!BS70</f>
        <v>-519</v>
      </c>
      <c r="BT40" s="211">
        <f>'Data (2)'!BT70</f>
        <v>-549.1</v>
      </c>
      <c r="BU40" s="211">
        <f>'Data (2)'!BU70</f>
        <v>-575.29999999999995</v>
      </c>
      <c r="BV40" s="366">
        <f t="shared" si="65"/>
        <v>-575.29999999999995</v>
      </c>
      <c r="BW40" s="211">
        <f>'Data (2)'!BW70</f>
        <v>-644.29999999999995</v>
      </c>
      <c r="BX40" s="211">
        <f>'Data (2)'!BX70</f>
        <v>-701.5</v>
      </c>
      <c r="BY40" s="211">
        <f>'Data (2)'!BY70</f>
        <v>-702.8</v>
      </c>
      <c r="BZ40" s="211">
        <f>'Data (2)'!BZ70</f>
        <v>-731.4</v>
      </c>
      <c r="CA40" s="366">
        <f t="shared" si="66"/>
        <v>-731.4</v>
      </c>
      <c r="CB40" s="211">
        <f>'Data (2)'!CB70</f>
        <v>-767.2</v>
      </c>
      <c r="CC40" s="211">
        <f>'Data (2)'!CC70</f>
        <v>-918.7</v>
      </c>
      <c r="CD40" s="211">
        <f>'Data (2)'!CD70</f>
        <v>-1020.7</v>
      </c>
      <c r="CE40" s="211">
        <f>'Data (2)'!CE70</f>
        <v>-1095.9000000000001</v>
      </c>
      <c r="CF40" s="366">
        <f t="shared" si="67"/>
        <v>-1095.9000000000001</v>
      </c>
      <c r="CG40" s="211">
        <f>'Data (2)'!CG70</f>
        <v>-1112.5999999999999</v>
      </c>
      <c r="CH40" s="211">
        <f>'Data (2)'!CH70</f>
        <v>-1112.5999999999999</v>
      </c>
      <c r="CI40" s="211">
        <f>'Data (2)'!CI70</f>
        <v>-1168.9000000000001</v>
      </c>
      <c r="CJ40" s="211">
        <f>'Data (2)'!CJ70</f>
        <v>-1245.0999999999999</v>
      </c>
      <c r="CK40" s="366">
        <f t="shared" si="68"/>
        <v>-1245.0999999999999</v>
      </c>
      <c r="CL40" s="211">
        <f>'Data (2)'!CL70</f>
        <v>-1276.9000000000001</v>
      </c>
      <c r="CM40" s="372">
        <f>CL40+'Cash Flow'!CM43</f>
        <v>-1276.9000000000001</v>
      </c>
      <c r="CN40" s="372">
        <f>CM40+'Cash Flow'!CN43</f>
        <v>-1276.9000000000001</v>
      </c>
      <c r="CO40" s="372">
        <f>CN40+'Cash Flow'!CO43</f>
        <v>-1276.9000000000001</v>
      </c>
      <c r="CP40" s="366">
        <f>CO40</f>
        <v>-1276.9000000000001</v>
      </c>
      <c r="CQ40" s="373">
        <f>CP40+'Cash Flow'!CQ43</f>
        <v>-1301.9000000000001</v>
      </c>
      <c r="CR40" s="373">
        <f>CQ40+'Cash Flow'!CR43</f>
        <v>-1451.9</v>
      </c>
      <c r="CS40" s="373">
        <f>CR40+'Cash Flow'!CS43</f>
        <v>-1676.9</v>
      </c>
    </row>
    <row r="41" spans="1:97" ht="12" customHeight="1">
      <c r="B41" s="367" t="s">
        <v>59</v>
      </c>
      <c r="C41" s="212" t="e">
        <f t="shared" ref="C41:AH41" si="70">SUM(C35:C40)</f>
        <v>#REF!</v>
      </c>
      <c r="D41" s="212" t="e">
        <f t="shared" si="70"/>
        <v>#REF!</v>
      </c>
      <c r="E41" s="212" t="e">
        <f t="shared" si="70"/>
        <v>#REF!</v>
      </c>
      <c r="F41" s="212" t="e">
        <f t="shared" si="70"/>
        <v>#REF!</v>
      </c>
      <c r="G41" s="212" t="e">
        <f t="shared" si="70"/>
        <v>#REF!</v>
      </c>
      <c r="H41" s="212" t="e">
        <f t="shared" si="70"/>
        <v>#REF!</v>
      </c>
      <c r="I41" s="212" t="e">
        <f t="shared" si="70"/>
        <v>#REF!</v>
      </c>
      <c r="J41" s="206" t="e">
        <f t="shared" si="70"/>
        <v>#REF!</v>
      </c>
      <c r="K41" s="206" t="e">
        <f t="shared" si="70"/>
        <v>#REF!</v>
      </c>
      <c r="L41" s="206" t="e">
        <f t="shared" si="70"/>
        <v>#REF!</v>
      </c>
      <c r="M41" s="206" t="e">
        <f t="shared" si="70"/>
        <v>#REF!</v>
      </c>
      <c r="N41" s="212" t="e">
        <f t="shared" si="70"/>
        <v>#REF!</v>
      </c>
      <c r="O41" s="206" t="e">
        <f t="shared" si="70"/>
        <v>#REF!</v>
      </c>
      <c r="P41" s="206" t="e">
        <f t="shared" si="70"/>
        <v>#REF!</v>
      </c>
      <c r="Q41" s="206" t="e">
        <f t="shared" si="70"/>
        <v>#REF!</v>
      </c>
      <c r="R41" s="206" t="e">
        <f t="shared" si="70"/>
        <v>#REF!</v>
      </c>
      <c r="S41" s="212" t="e">
        <f t="shared" si="70"/>
        <v>#REF!</v>
      </c>
      <c r="T41" s="206" t="e">
        <f t="shared" si="70"/>
        <v>#REF!</v>
      </c>
      <c r="U41" s="206" t="e">
        <f t="shared" si="70"/>
        <v>#REF!</v>
      </c>
      <c r="V41" s="206" t="e">
        <f t="shared" si="70"/>
        <v>#REF!</v>
      </c>
      <c r="W41" s="206" t="e">
        <f t="shared" si="70"/>
        <v>#REF!</v>
      </c>
      <c r="X41" s="212" t="e">
        <f t="shared" si="70"/>
        <v>#REF!</v>
      </c>
      <c r="Y41" s="206" t="e">
        <f t="shared" si="70"/>
        <v>#REF!</v>
      </c>
      <c r="Z41" s="206" t="e">
        <f t="shared" si="70"/>
        <v>#REF!</v>
      </c>
      <c r="AA41" s="206" t="e">
        <f t="shared" si="70"/>
        <v>#REF!</v>
      </c>
      <c r="AB41" s="206" t="e">
        <f t="shared" si="70"/>
        <v>#REF!</v>
      </c>
      <c r="AC41" s="212" t="e">
        <f t="shared" si="70"/>
        <v>#REF!</v>
      </c>
      <c r="AD41" s="206" t="e">
        <f t="shared" si="70"/>
        <v>#REF!</v>
      </c>
      <c r="AE41" s="206" t="e">
        <f t="shared" si="70"/>
        <v>#REF!</v>
      </c>
      <c r="AF41" s="206" t="e">
        <f t="shared" si="70"/>
        <v>#REF!</v>
      </c>
      <c r="AG41" s="206" t="e">
        <f t="shared" si="70"/>
        <v>#REF!</v>
      </c>
      <c r="AH41" s="212" t="e">
        <f t="shared" si="70"/>
        <v>#REF!</v>
      </c>
      <c r="AI41" s="206" t="e">
        <f t="shared" ref="AI41:BN41" si="71">SUM(AI35:AI40)</f>
        <v>#REF!</v>
      </c>
      <c r="AJ41" s="206" t="e">
        <f t="shared" si="71"/>
        <v>#REF!</v>
      </c>
      <c r="AK41" s="206" t="e">
        <f t="shared" si="71"/>
        <v>#REF!</v>
      </c>
      <c r="AL41" s="206" t="e">
        <f t="shared" si="71"/>
        <v>#REF!</v>
      </c>
      <c r="AM41" s="212" t="e">
        <f t="shared" si="71"/>
        <v>#REF!</v>
      </c>
      <c r="AN41" s="206" t="e">
        <f t="shared" si="71"/>
        <v>#REF!</v>
      </c>
      <c r="AO41" s="206" t="e">
        <f t="shared" si="71"/>
        <v>#REF!</v>
      </c>
      <c r="AP41" s="206" t="e">
        <f t="shared" si="71"/>
        <v>#REF!</v>
      </c>
      <c r="AQ41" s="206" t="e">
        <f t="shared" si="71"/>
        <v>#REF!</v>
      </c>
      <c r="AR41" s="212" t="e">
        <f t="shared" si="71"/>
        <v>#REF!</v>
      </c>
      <c r="AS41" s="206" t="e">
        <f t="shared" si="71"/>
        <v>#REF!</v>
      </c>
      <c r="AT41" s="206" t="e">
        <f t="shared" si="71"/>
        <v>#REF!</v>
      </c>
      <c r="AU41" s="206" t="e">
        <f t="shared" si="71"/>
        <v>#REF!</v>
      </c>
      <c r="AV41" s="206" t="e">
        <f t="shared" si="71"/>
        <v>#REF!</v>
      </c>
      <c r="AW41" s="212" t="e">
        <f t="shared" si="71"/>
        <v>#REF!</v>
      </c>
      <c r="AX41" s="206" t="e">
        <f t="shared" si="71"/>
        <v>#REF!</v>
      </c>
      <c r="AY41" s="206" t="e">
        <f t="shared" si="71"/>
        <v>#REF!</v>
      </c>
      <c r="AZ41" s="206" t="e">
        <f t="shared" si="71"/>
        <v>#REF!</v>
      </c>
      <c r="BA41" s="206" t="e">
        <f t="shared" si="71"/>
        <v>#REF!</v>
      </c>
      <c r="BB41" s="212" t="e">
        <f t="shared" si="71"/>
        <v>#REF!</v>
      </c>
      <c r="BC41" s="206" t="e">
        <f t="shared" si="71"/>
        <v>#REF!</v>
      </c>
      <c r="BD41" s="206" t="e">
        <f t="shared" si="71"/>
        <v>#REF!</v>
      </c>
      <c r="BE41" s="206" t="e">
        <f t="shared" si="71"/>
        <v>#REF!</v>
      </c>
      <c r="BF41" s="206" t="e">
        <f t="shared" si="71"/>
        <v>#REF!</v>
      </c>
      <c r="BG41" s="212" t="e">
        <f t="shared" si="71"/>
        <v>#REF!</v>
      </c>
      <c r="BH41" s="206" t="e">
        <f t="shared" si="71"/>
        <v>#REF!</v>
      </c>
      <c r="BI41" s="206" t="e">
        <f t="shared" si="71"/>
        <v>#REF!</v>
      </c>
      <c r="BJ41" s="206" t="e">
        <f t="shared" si="71"/>
        <v>#REF!</v>
      </c>
      <c r="BK41" s="206" t="e">
        <f t="shared" si="71"/>
        <v>#REF!</v>
      </c>
      <c r="BL41" s="212" t="e">
        <f t="shared" si="71"/>
        <v>#REF!</v>
      </c>
      <c r="BM41" s="206" t="e">
        <f t="shared" si="71"/>
        <v>#REF!</v>
      </c>
      <c r="BN41" s="206" t="e">
        <f t="shared" si="71"/>
        <v>#REF!</v>
      </c>
      <c r="BO41" s="206" t="e">
        <f t="shared" ref="BO41:CS41" si="72">SUM(BO35:BO40)</f>
        <v>#REF!</v>
      </c>
      <c r="BP41" s="206" t="e">
        <f t="shared" si="72"/>
        <v>#REF!</v>
      </c>
      <c r="BQ41" s="212" t="e">
        <f t="shared" si="72"/>
        <v>#REF!</v>
      </c>
      <c r="BR41" s="206" t="e">
        <f t="shared" si="72"/>
        <v>#REF!</v>
      </c>
      <c r="BS41" s="206" t="e">
        <f t="shared" si="72"/>
        <v>#REF!</v>
      </c>
      <c r="BT41" s="206" t="e">
        <f t="shared" si="72"/>
        <v>#REF!</v>
      </c>
      <c r="BU41" s="206" t="e">
        <f t="shared" si="72"/>
        <v>#REF!</v>
      </c>
      <c r="BV41" s="212" t="e">
        <f t="shared" si="72"/>
        <v>#REF!</v>
      </c>
      <c r="BW41" s="206" t="e">
        <f t="shared" si="72"/>
        <v>#REF!</v>
      </c>
      <c r="BX41" s="206" t="e">
        <f t="shared" si="72"/>
        <v>#REF!</v>
      </c>
      <c r="BY41" s="206" t="e">
        <f t="shared" si="72"/>
        <v>#REF!</v>
      </c>
      <c r="BZ41" s="206" t="e">
        <f t="shared" si="72"/>
        <v>#REF!</v>
      </c>
      <c r="CA41" s="212" t="e">
        <f t="shared" si="72"/>
        <v>#REF!</v>
      </c>
      <c r="CB41" s="206" t="e">
        <f t="shared" si="72"/>
        <v>#REF!</v>
      </c>
      <c r="CC41" s="206" t="e">
        <f t="shared" si="72"/>
        <v>#REF!</v>
      </c>
      <c r="CD41" s="206" t="e">
        <f t="shared" si="72"/>
        <v>#REF!</v>
      </c>
      <c r="CE41" s="206" t="e">
        <f t="shared" si="72"/>
        <v>#REF!</v>
      </c>
      <c r="CF41" s="212" t="e">
        <f t="shared" si="72"/>
        <v>#REF!</v>
      </c>
      <c r="CG41" s="206" t="e">
        <f t="shared" si="72"/>
        <v>#REF!</v>
      </c>
      <c r="CH41" s="206" t="e">
        <f t="shared" si="72"/>
        <v>#REF!</v>
      </c>
      <c r="CI41" s="206" t="e">
        <f t="shared" si="72"/>
        <v>#REF!</v>
      </c>
      <c r="CJ41" s="206" t="e">
        <f t="shared" si="72"/>
        <v>#REF!</v>
      </c>
      <c r="CK41" s="212" t="e">
        <f t="shared" si="72"/>
        <v>#REF!</v>
      </c>
      <c r="CL41" s="206" t="e">
        <f t="shared" si="72"/>
        <v>#REF!</v>
      </c>
      <c r="CM41" s="206" t="e">
        <f t="shared" si="72"/>
        <v>#REF!</v>
      </c>
      <c r="CN41" s="206" t="e">
        <f t="shared" si="72"/>
        <v>#REF!</v>
      </c>
      <c r="CO41" s="206" t="e">
        <f t="shared" si="72"/>
        <v>#REF!</v>
      </c>
      <c r="CP41" s="212" t="e">
        <f t="shared" si="72"/>
        <v>#REF!</v>
      </c>
      <c r="CQ41" s="212" t="e">
        <f t="shared" si="72"/>
        <v>#REF!</v>
      </c>
      <c r="CR41" s="212" t="e">
        <f t="shared" si="72"/>
        <v>#REF!</v>
      </c>
      <c r="CS41" s="212" t="e">
        <f t="shared" si="72"/>
        <v>#REF!</v>
      </c>
    </row>
    <row r="42" spans="1:97" ht="12" customHeight="1">
      <c r="B42" s="368" t="s">
        <v>60</v>
      </c>
      <c r="C42" s="369" t="e">
        <f t="shared" ref="C42:AH42" si="73">C41+C34</f>
        <v>#REF!</v>
      </c>
      <c r="D42" s="369" t="e">
        <f t="shared" si="73"/>
        <v>#REF!</v>
      </c>
      <c r="E42" s="369" t="e">
        <f t="shared" si="73"/>
        <v>#REF!</v>
      </c>
      <c r="F42" s="369" t="e">
        <f t="shared" si="73"/>
        <v>#REF!</v>
      </c>
      <c r="G42" s="369" t="e">
        <f t="shared" si="73"/>
        <v>#REF!</v>
      </c>
      <c r="H42" s="369" t="e">
        <f t="shared" si="73"/>
        <v>#REF!</v>
      </c>
      <c r="I42" s="369" t="e">
        <f t="shared" si="73"/>
        <v>#REF!</v>
      </c>
      <c r="J42" s="370" t="e">
        <f t="shared" si="73"/>
        <v>#REF!</v>
      </c>
      <c r="K42" s="370" t="e">
        <f t="shared" si="73"/>
        <v>#REF!</v>
      </c>
      <c r="L42" s="370" t="e">
        <f t="shared" si="73"/>
        <v>#REF!</v>
      </c>
      <c r="M42" s="370" t="e">
        <f t="shared" si="73"/>
        <v>#REF!</v>
      </c>
      <c r="N42" s="369" t="e">
        <f t="shared" si="73"/>
        <v>#REF!</v>
      </c>
      <c r="O42" s="370" t="e">
        <f t="shared" si="73"/>
        <v>#REF!</v>
      </c>
      <c r="P42" s="370" t="e">
        <f t="shared" si="73"/>
        <v>#REF!</v>
      </c>
      <c r="Q42" s="370" t="e">
        <f t="shared" si="73"/>
        <v>#REF!</v>
      </c>
      <c r="R42" s="370" t="e">
        <f t="shared" si="73"/>
        <v>#REF!</v>
      </c>
      <c r="S42" s="369" t="e">
        <f t="shared" si="73"/>
        <v>#REF!</v>
      </c>
      <c r="T42" s="370" t="e">
        <f t="shared" si="73"/>
        <v>#REF!</v>
      </c>
      <c r="U42" s="370" t="e">
        <f t="shared" si="73"/>
        <v>#REF!</v>
      </c>
      <c r="V42" s="370" t="e">
        <f t="shared" si="73"/>
        <v>#REF!</v>
      </c>
      <c r="W42" s="370" t="e">
        <f t="shared" si="73"/>
        <v>#REF!</v>
      </c>
      <c r="X42" s="369" t="e">
        <f t="shared" si="73"/>
        <v>#REF!</v>
      </c>
      <c r="Y42" s="370" t="e">
        <f t="shared" si="73"/>
        <v>#REF!</v>
      </c>
      <c r="Z42" s="370" t="e">
        <f t="shared" si="73"/>
        <v>#REF!</v>
      </c>
      <c r="AA42" s="370" t="e">
        <f t="shared" si="73"/>
        <v>#REF!</v>
      </c>
      <c r="AB42" s="370" t="e">
        <f t="shared" si="73"/>
        <v>#REF!</v>
      </c>
      <c r="AC42" s="369" t="e">
        <f t="shared" si="73"/>
        <v>#REF!</v>
      </c>
      <c r="AD42" s="370" t="e">
        <f t="shared" si="73"/>
        <v>#REF!</v>
      </c>
      <c r="AE42" s="370" t="e">
        <f t="shared" si="73"/>
        <v>#REF!</v>
      </c>
      <c r="AF42" s="370" t="e">
        <f t="shared" si="73"/>
        <v>#REF!</v>
      </c>
      <c r="AG42" s="370" t="e">
        <f t="shared" si="73"/>
        <v>#REF!</v>
      </c>
      <c r="AH42" s="369" t="e">
        <f t="shared" si="73"/>
        <v>#REF!</v>
      </c>
      <c r="AI42" s="370" t="e">
        <f t="shared" ref="AI42:BN42" si="74">AI41+AI34</f>
        <v>#REF!</v>
      </c>
      <c r="AJ42" s="370" t="e">
        <f t="shared" si="74"/>
        <v>#REF!</v>
      </c>
      <c r="AK42" s="370" t="e">
        <f t="shared" si="74"/>
        <v>#REF!</v>
      </c>
      <c r="AL42" s="370" t="e">
        <f t="shared" si="74"/>
        <v>#REF!</v>
      </c>
      <c r="AM42" s="369" t="e">
        <f t="shared" si="74"/>
        <v>#REF!</v>
      </c>
      <c r="AN42" s="370" t="e">
        <f t="shared" si="74"/>
        <v>#REF!</v>
      </c>
      <c r="AO42" s="370" t="e">
        <f t="shared" si="74"/>
        <v>#REF!</v>
      </c>
      <c r="AP42" s="370" t="e">
        <f t="shared" si="74"/>
        <v>#REF!</v>
      </c>
      <c r="AQ42" s="370" t="e">
        <f t="shared" si="74"/>
        <v>#REF!</v>
      </c>
      <c r="AR42" s="369" t="e">
        <f t="shared" si="74"/>
        <v>#REF!</v>
      </c>
      <c r="AS42" s="370" t="e">
        <f t="shared" si="74"/>
        <v>#REF!</v>
      </c>
      <c r="AT42" s="370" t="e">
        <f t="shared" si="74"/>
        <v>#REF!</v>
      </c>
      <c r="AU42" s="370" t="e">
        <f t="shared" si="74"/>
        <v>#REF!</v>
      </c>
      <c r="AV42" s="370" t="e">
        <f t="shared" si="74"/>
        <v>#REF!</v>
      </c>
      <c r="AW42" s="369" t="e">
        <f t="shared" si="74"/>
        <v>#REF!</v>
      </c>
      <c r="AX42" s="371" t="e">
        <f t="shared" si="74"/>
        <v>#REF!</v>
      </c>
      <c r="AY42" s="371" t="e">
        <f t="shared" si="74"/>
        <v>#REF!</v>
      </c>
      <c r="AZ42" s="371" t="e">
        <f t="shared" si="74"/>
        <v>#REF!</v>
      </c>
      <c r="BA42" s="370" t="e">
        <f t="shared" si="74"/>
        <v>#REF!</v>
      </c>
      <c r="BB42" s="369" t="e">
        <f t="shared" si="74"/>
        <v>#REF!</v>
      </c>
      <c r="BC42" s="370" t="e">
        <f t="shared" si="74"/>
        <v>#REF!</v>
      </c>
      <c r="BD42" s="370" t="e">
        <f t="shared" si="74"/>
        <v>#REF!</v>
      </c>
      <c r="BE42" s="370" t="e">
        <f t="shared" si="74"/>
        <v>#REF!</v>
      </c>
      <c r="BF42" s="370" t="e">
        <f t="shared" si="74"/>
        <v>#REF!</v>
      </c>
      <c r="BG42" s="369" t="e">
        <f t="shared" si="74"/>
        <v>#REF!</v>
      </c>
      <c r="BH42" s="370" t="e">
        <f t="shared" si="74"/>
        <v>#REF!</v>
      </c>
      <c r="BI42" s="370" t="e">
        <f t="shared" si="74"/>
        <v>#REF!</v>
      </c>
      <c r="BJ42" s="370" t="e">
        <f t="shared" si="74"/>
        <v>#REF!</v>
      </c>
      <c r="BK42" s="370" t="e">
        <f t="shared" si="74"/>
        <v>#REF!</v>
      </c>
      <c r="BL42" s="369" t="e">
        <f t="shared" si="74"/>
        <v>#REF!</v>
      </c>
      <c r="BM42" s="370" t="e">
        <f t="shared" si="74"/>
        <v>#REF!</v>
      </c>
      <c r="BN42" s="370" t="e">
        <f t="shared" si="74"/>
        <v>#REF!</v>
      </c>
      <c r="BO42" s="370" t="e">
        <f t="shared" ref="BO42:CS42" si="75">BO41+BO34</f>
        <v>#REF!</v>
      </c>
      <c r="BP42" s="370" t="e">
        <f t="shared" si="75"/>
        <v>#REF!</v>
      </c>
      <c r="BQ42" s="369" t="e">
        <f t="shared" si="75"/>
        <v>#REF!</v>
      </c>
      <c r="BR42" s="370" t="e">
        <f t="shared" si="75"/>
        <v>#REF!</v>
      </c>
      <c r="BS42" s="370" t="e">
        <f t="shared" si="75"/>
        <v>#REF!</v>
      </c>
      <c r="BT42" s="370" t="e">
        <f t="shared" si="75"/>
        <v>#REF!</v>
      </c>
      <c r="BU42" s="370" t="e">
        <f t="shared" si="75"/>
        <v>#REF!</v>
      </c>
      <c r="BV42" s="369" t="e">
        <f t="shared" si="75"/>
        <v>#REF!</v>
      </c>
      <c r="BW42" s="370" t="e">
        <f t="shared" si="75"/>
        <v>#REF!</v>
      </c>
      <c r="BX42" s="370" t="e">
        <f t="shared" si="75"/>
        <v>#REF!</v>
      </c>
      <c r="BY42" s="370" t="e">
        <f t="shared" si="75"/>
        <v>#REF!</v>
      </c>
      <c r="BZ42" s="370" t="e">
        <f t="shared" si="75"/>
        <v>#REF!</v>
      </c>
      <c r="CA42" s="369" t="e">
        <f t="shared" si="75"/>
        <v>#REF!</v>
      </c>
      <c r="CB42" s="370" t="e">
        <f t="shared" si="75"/>
        <v>#REF!</v>
      </c>
      <c r="CC42" s="370" t="e">
        <f t="shared" si="75"/>
        <v>#REF!</v>
      </c>
      <c r="CD42" s="370" t="e">
        <f t="shared" si="75"/>
        <v>#REF!</v>
      </c>
      <c r="CE42" s="370" t="e">
        <f t="shared" si="75"/>
        <v>#REF!</v>
      </c>
      <c r="CF42" s="369" t="e">
        <f t="shared" si="75"/>
        <v>#REF!</v>
      </c>
      <c r="CG42" s="370" t="e">
        <f t="shared" si="75"/>
        <v>#REF!</v>
      </c>
      <c r="CH42" s="370" t="e">
        <f t="shared" si="75"/>
        <v>#REF!</v>
      </c>
      <c r="CI42" s="370" t="e">
        <f t="shared" si="75"/>
        <v>#REF!</v>
      </c>
      <c r="CJ42" s="370" t="e">
        <f t="shared" si="75"/>
        <v>#REF!</v>
      </c>
      <c r="CK42" s="369" t="e">
        <f t="shared" si="75"/>
        <v>#REF!</v>
      </c>
      <c r="CL42" s="370" t="e">
        <f t="shared" si="75"/>
        <v>#REF!</v>
      </c>
      <c r="CM42" s="370" t="e">
        <f t="shared" si="75"/>
        <v>#REF!</v>
      </c>
      <c r="CN42" s="370" t="e">
        <f t="shared" si="75"/>
        <v>#REF!</v>
      </c>
      <c r="CO42" s="370" t="e">
        <f t="shared" si="75"/>
        <v>#REF!</v>
      </c>
      <c r="CP42" s="369" t="e">
        <f t="shared" si="75"/>
        <v>#REF!</v>
      </c>
      <c r="CQ42" s="369" t="e">
        <f t="shared" si="75"/>
        <v>#REF!</v>
      </c>
      <c r="CR42" s="369" t="e">
        <f t="shared" si="75"/>
        <v>#REF!</v>
      </c>
      <c r="CS42" s="369" t="e">
        <f t="shared" si="75"/>
        <v>#REF!</v>
      </c>
    </row>
    <row r="43" spans="1:97" ht="12" customHeight="1">
      <c r="C43" s="205"/>
      <c r="D43" s="205"/>
      <c r="E43" s="205"/>
      <c r="F43" s="205"/>
      <c r="G43" s="205"/>
      <c r="H43" s="205"/>
      <c r="I43" s="205"/>
      <c r="N43" s="205"/>
      <c r="S43" s="205"/>
      <c r="X43" s="205"/>
      <c r="AC43" s="205"/>
      <c r="AH43" s="205"/>
      <c r="AM43" s="205"/>
      <c r="AR43" s="205"/>
      <c r="AW43" s="205"/>
      <c r="BB43" s="205"/>
      <c r="BG43" s="205"/>
      <c r="BL43" s="205"/>
      <c r="BQ43" s="205"/>
      <c r="BV43" s="205"/>
      <c r="CA43" s="205"/>
      <c r="CF43" s="205"/>
      <c r="CK43" s="205"/>
      <c r="CP43" s="205"/>
      <c r="CQ43" s="205"/>
      <c r="CR43" s="205"/>
      <c r="CS43" s="205"/>
    </row>
    <row r="44" spans="1:97" ht="3" customHeight="1">
      <c r="A44" s="374"/>
      <c r="B44" s="374"/>
      <c r="C44" s="375"/>
      <c r="D44" s="375"/>
      <c r="E44" s="375"/>
      <c r="F44" s="375"/>
      <c r="G44" s="375"/>
      <c r="H44" s="375"/>
      <c r="I44" s="375"/>
      <c r="J44" s="374"/>
      <c r="K44" s="374"/>
      <c r="L44" s="374"/>
      <c r="M44" s="374"/>
      <c r="N44" s="375"/>
      <c r="O44" s="374"/>
      <c r="P44" s="374"/>
      <c r="Q44" s="374"/>
      <c r="R44" s="374"/>
      <c r="S44" s="375"/>
      <c r="T44" s="374"/>
      <c r="U44" s="374"/>
      <c r="V44" s="374"/>
      <c r="W44" s="374"/>
      <c r="X44" s="375"/>
      <c r="Y44" s="374"/>
      <c r="Z44" s="374"/>
      <c r="AA44" s="374"/>
      <c r="AB44" s="374"/>
      <c r="AC44" s="375"/>
      <c r="AD44" s="374"/>
      <c r="AE44" s="374"/>
      <c r="AF44" s="374"/>
      <c r="AG44" s="374"/>
      <c r="AH44" s="375"/>
      <c r="AI44" s="374"/>
      <c r="AJ44" s="374"/>
      <c r="AK44" s="374"/>
      <c r="AL44" s="374"/>
      <c r="AM44" s="375"/>
      <c r="AN44" s="374"/>
      <c r="AO44" s="374"/>
      <c r="AP44" s="374"/>
      <c r="AQ44" s="374"/>
      <c r="AR44" s="375"/>
      <c r="AS44" s="374"/>
      <c r="AT44" s="374"/>
      <c r="AU44" s="374"/>
      <c r="AV44" s="374"/>
      <c r="AW44" s="375"/>
      <c r="AX44" s="374"/>
      <c r="AY44" s="374"/>
      <c r="AZ44" s="374"/>
      <c r="BA44" s="374"/>
      <c r="BB44" s="375"/>
      <c r="BC44" s="374"/>
      <c r="BD44" s="374"/>
      <c r="BE44" s="374"/>
      <c r="BF44" s="374"/>
      <c r="BG44" s="375"/>
      <c r="BH44" s="374"/>
      <c r="BI44" s="374"/>
      <c r="BJ44" s="374"/>
      <c r="BK44" s="374"/>
      <c r="BL44" s="375"/>
      <c r="BM44" s="374"/>
      <c r="BN44" s="374"/>
      <c r="BO44" s="374"/>
      <c r="BP44" s="374"/>
      <c r="BQ44" s="375"/>
      <c r="BR44" s="374"/>
      <c r="BS44" s="374"/>
      <c r="BT44" s="374"/>
      <c r="BU44" s="374"/>
      <c r="BV44" s="375"/>
      <c r="BW44" s="374"/>
      <c r="BX44" s="374"/>
      <c r="BY44" s="374"/>
      <c r="BZ44" s="374"/>
      <c r="CA44" s="375"/>
      <c r="CB44" s="374"/>
      <c r="CC44" s="374"/>
      <c r="CD44" s="374"/>
      <c r="CE44" s="374"/>
      <c r="CF44" s="375"/>
      <c r="CG44" s="374"/>
      <c r="CH44" s="374"/>
      <c r="CI44" s="374"/>
      <c r="CJ44" s="374"/>
      <c r="CK44" s="375"/>
      <c r="CL44" s="374"/>
      <c r="CM44" s="374"/>
      <c r="CN44" s="374"/>
      <c r="CO44" s="374"/>
      <c r="CP44" s="375"/>
      <c r="CQ44" s="375"/>
      <c r="CR44" s="375"/>
      <c r="CS44" s="375"/>
    </row>
    <row r="45" spans="1:97" ht="12" customHeight="1">
      <c r="C45" s="205"/>
      <c r="D45" s="205"/>
      <c r="E45" s="205"/>
      <c r="F45" s="205"/>
      <c r="G45" s="205"/>
      <c r="H45" s="205"/>
      <c r="I45" s="205"/>
      <c r="N45" s="205"/>
      <c r="S45" s="205"/>
      <c r="X45" s="205"/>
      <c r="AC45" s="205"/>
      <c r="AH45" s="205"/>
      <c r="AM45" s="205"/>
      <c r="AR45" s="205"/>
      <c r="AW45" s="205"/>
      <c r="BB45" s="205"/>
      <c r="BG45" s="205"/>
      <c r="BL45" s="205"/>
      <c r="BQ45" s="205"/>
      <c r="BV45" s="205"/>
      <c r="CA45" s="205"/>
      <c r="CF45" s="205"/>
      <c r="CK45" s="205"/>
      <c r="CP45" s="205"/>
      <c r="CQ45" s="205"/>
      <c r="CR45" s="205"/>
      <c r="CS45" s="205"/>
    </row>
    <row r="46" spans="1:97" ht="12" customHeight="1">
      <c r="B46" s="360" t="s">
        <v>200</v>
      </c>
      <c r="C46" s="205"/>
      <c r="D46" s="205"/>
      <c r="E46" s="205"/>
      <c r="F46" s="205"/>
      <c r="G46" s="205"/>
      <c r="H46" s="205"/>
      <c r="I46" s="205"/>
      <c r="N46" s="205"/>
      <c r="S46" s="205"/>
      <c r="X46" s="205"/>
      <c r="AC46" s="205"/>
      <c r="AH46" s="205"/>
      <c r="AM46" s="205"/>
      <c r="AR46" s="205"/>
      <c r="AW46" s="205"/>
      <c r="BB46" s="205"/>
      <c r="BG46" s="205"/>
      <c r="BL46" s="205"/>
      <c r="BQ46" s="205"/>
      <c r="BV46" s="205"/>
      <c r="CA46" s="205"/>
      <c r="CF46" s="205"/>
      <c r="CK46" s="205"/>
      <c r="CP46" s="205"/>
      <c r="CQ46" s="205"/>
      <c r="CR46" s="205"/>
      <c r="CS46" s="205"/>
    </row>
    <row r="47" spans="1:97" ht="12" customHeight="1">
      <c r="B47" s="197" t="s">
        <v>201</v>
      </c>
      <c r="C47" s="205">
        <f>'Data (2)'!C203</f>
        <v>35.85</v>
      </c>
      <c r="D47" s="205">
        <f>'Data (2)'!D203</f>
        <v>68.644000000000005</v>
      </c>
      <c r="E47" s="205">
        <f>'Data (2)'!E203</f>
        <v>66.400000000000006</v>
      </c>
      <c r="F47" s="205">
        <f>'Data (2)'!F203</f>
        <v>73.900000000000006</v>
      </c>
      <c r="G47" s="205">
        <f>'Data (2)'!G203</f>
        <v>84</v>
      </c>
      <c r="H47" s="205">
        <f>'Data (2)'!H203</f>
        <v>92.4</v>
      </c>
      <c r="I47" s="205">
        <f>'Data (2)'!I203</f>
        <v>72.5</v>
      </c>
      <c r="N47" s="205">
        <f>'Data (2)'!N203</f>
        <v>135.10000000000002</v>
      </c>
      <c r="S47" s="205">
        <f>'Data (2)'!S203</f>
        <v>142.80000000000001</v>
      </c>
      <c r="X47" s="205">
        <f>'Data (2)'!X203</f>
        <v>171.8</v>
      </c>
      <c r="AC47" s="205">
        <f>'Data (2)'!AC203</f>
        <v>153.4</v>
      </c>
      <c r="AH47" s="205">
        <f>'Data (2)'!AH203</f>
        <v>114.5</v>
      </c>
      <c r="AM47" s="205">
        <f>'Data (2)'!AM203</f>
        <v>157.9</v>
      </c>
      <c r="AO47" s="213"/>
      <c r="AQ47" s="213"/>
      <c r="AR47" s="205">
        <f>'Data (2)'!AR203</f>
        <v>161.9</v>
      </c>
      <c r="AS47" s="213"/>
      <c r="AT47" s="213"/>
      <c r="AU47" s="213"/>
      <c r="AV47" s="213"/>
      <c r="AW47" s="205">
        <f>'Data (2)'!AW203</f>
        <v>173.20000000000002</v>
      </c>
      <c r="AX47" s="213"/>
      <c r="AY47" s="213"/>
      <c r="AZ47" s="213"/>
      <c r="BB47" s="205">
        <f>'Data (2)'!BB203</f>
        <v>203.4</v>
      </c>
      <c r="BD47" s="213"/>
      <c r="BE47" s="213"/>
      <c r="BF47" s="213"/>
      <c r="BG47" s="205">
        <f>'Data (2)'!BG203</f>
        <v>204.6</v>
      </c>
      <c r="BH47" s="213"/>
      <c r="BI47" s="213"/>
      <c r="BJ47" s="213"/>
      <c r="BK47" s="213"/>
      <c r="BL47" s="205">
        <f>'Data (2)'!BL203</f>
        <v>198.9</v>
      </c>
      <c r="BM47" s="213"/>
      <c r="BN47" s="213"/>
      <c r="BO47" s="213"/>
      <c r="BP47" s="213"/>
      <c r="BQ47" s="205">
        <f>'Data (2)'!BQ203</f>
        <v>180.5</v>
      </c>
      <c r="BR47" s="213"/>
      <c r="BS47" s="213"/>
      <c r="BT47" s="213"/>
      <c r="BU47" s="213"/>
      <c r="BV47" s="205">
        <f>'Data (2)'!BV203</f>
        <v>183.79999999999998</v>
      </c>
      <c r="BW47" s="213"/>
      <c r="BX47" s="213"/>
      <c r="BY47" s="213"/>
      <c r="BZ47" s="213"/>
      <c r="CA47" s="205">
        <f>'Data (2)'!CA203</f>
        <v>210.9</v>
      </c>
      <c r="CB47" s="213"/>
      <c r="CC47" s="213"/>
      <c r="CD47" s="213"/>
      <c r="CE47" s="213"/>
      <c r="CF47" s="205">
        <f>'Data (2)'!CF203</f>
        <v>179.1</v>
      </c>
      <c r="CG47" s="213"/>
      <c r="CH47" s="213"/>
      <c r="CI47" s="213"/>
      <c r="CJ47" s="213"/>
      <c r="CK47" s="205">
        <f>'Data (2)'!CK203</f>
        <v>208.9</v>
      </c>
      <c r="CL47" s="213"/>
      <c r="CM47" s="213"/>
      <c r="CN47" s="213"/>
      <c r="CO47" s="213"/>
      <c r="CP47" s="214"/>
      <c r="CQ47" s="214"/>
      <c r="CR47" s="214"/>
      <c r="CS47" s="214"/>
    </row>
    <row r="48" spans="1:97" s="269" customFormat="1" ht="12" customHeight="1">
      <c r="A48" s="197"/>
      <c r="B48" s="197" t="s">
        <v>202</v>
      </c>
      <c r="C48" s="366">
        <f>'Data (2)'!C204</f>
        <v>14.317</v>
      </c>
      <c r="D48" s="366">
        <f>'Data (2)'!D204</f>
        <v>63.243000000000002</v>
      </c>
      <c r="E48" s="366">
        <f>'Data (2)'!E204</f>
        <v>79.8</v>
      </c>
      <c r="F48" s="366">
        <f>'Data (2)'!F204</f>
        <v>75.099999999999994</v>
      </c>
      <c r="G48" s="366">
        <f>'Data (2)'!G204</f>
        <v>66.400000000000006</v>
      </c>
      <c r="H48" s="366">
        <f>'Data (2)'!H204</f>
        <v>59.3</v>
      </c>
      <c r="I48" s="366">
        <f>'Data (2)'!I204</f>
        <v>1.5</v>
      </c>
      <c r="J48" s="211"/>
      <c r="K48" s="211"/>
      <c r="L48" s="211"/>
      <c r="M48" s="211"/>
      <c r="N48" s="366">
        <f>'Data (2)'!N204</f>
        <v>86.800000000000011</v>
      </c>
      <c r="O48" s="211"/>
      <c r="P48" s="211"/>
      <c r="Q48" s="211"/>
      <c r="R48" s="211"/>
      <c r="S48" s="366">
        <f>'Data (2)'!S204</f>
        <v>97</v>
      </c>
      <c r="T48" s="211"/>
      <c r="U48" s="211"/>
      <c r="V48" s="211"/>
      <c r="W48" s="211"/>
      <c r="X48" s="366">
        <f>'Data (2)'!X204</f>
        <v>121.5</v>
      </c>
      <c r="Y48" s="211"/>
      <c r="Z48" s="211"/>
      <c r="AA48" s="211"/>
      <c r="AB48" s="211"/>
      <c r="AC48" s="366">
        <f>'Data (2)'!AC204</f>
        <v>120</v>
      </c>
      <c r="AD48" s="211"/>
      <c r="AE48" s="211"/>
      <c r="AF48" s="211"/>
      <c r="AG48" s="211"/>
      <c r="AH48" s="366">
        <f>'Data (2)'!AH204</f>
        <v>74.2</v>
      </c>
      <c r="AI48" s="211"/>
      <c r="AJ48" s="211"/>
      <c r="AK48" s="211"/>
      <c r="AL48" s="211"/>
      <c r="AM48" s="366">
        <f>'Data (2)'!AM204</f>
        <v>93.3</v>
      </c>
      <c r="AN48" s="211"/>
      <c r="AO48" s="372"/>
      <c r="AP48" s="211"/>
      <c r="AQ48" s="372"/>
      <c r="AR48" s="366">
        <f>'Data (2)'!AR204</f>
        <v>106.9</v>
      </c>
      <c r="AS48" s="372"/>
      <c r="AT48" s="372"/>
      <c r="AU48" s="372"/>
      <c r="AV48" s="372"/>
      <c r="AW48" s="366">
        <f>'Data (2)'!AW204</f>
        <v>110.8</v>
      </c>
      <c r="AX48" s="372"/>
      <c r="AY48" s="372"/>
      <c r="AZ48" s="372"/>
      <c r="BA48" s="211"/>
      <c r="BB48" s="366">
        <f>'Data (2)'!BB204</f>
        <v>128.30000000000001</v>
      </c>
      <c r="BC48" s="211"/>
      <c r="BD48" s="372"/>
      <c r="BE48" s="372"/>
      <c r="BF48" s="372"/>
      <c r="BG48" s="366">
        <f>'Data (2)'!BG204</f>
        <v>149.30000000000001</v>
      </c>
      <c r="BH48" s="372"/>
      <c r="BI48" s="372"/>
      <c r="BJ48" s="372"/>
      <c r="BK48" s="372"/>
      <c r="BL48" s="366">
        <f>'Data (2)'!BL204</f>
        <v>165.6</v>
      </c>
      <c r="BM48" s="372"/>
      <c r="BN48" s="372"/>
      <c r="BO48" s="372"/>
      <c r="BP48" s="372"/>
      <c r="BQ48" s="366">
        <f>'Data (2)'!BQ204</f>
        <v>160.4</v>
      </c>
      <c r="BR48" s="372"/>
      <c r="BS48" s="372"/>
      <c r="BT48" s="372"/>
      <c r="BU48" s="372"/>
      <c r="BV48" s="366">
        <f>'Data (2)'!BV204</f>
        <v>171.4</v>
      </c>
      <c r="BW48" s="372"/>
      <c r="BX48" s="372"/>
      <c r="BY48" s="372"/>
      <c r="BZ48" s="372"/>
      <c r="CA48" s="366">
        <f>'Data (2)'!CA204</f>
        <v>201.8</v>
      </c>
      <c r="CB48" s="372"/>
      <c r="CC48" s="372"/>
      <c r="CD48" s="372"/>
      <c r="CE48" s="372"/>
      <c r="CF48" s="366">
        <f>'Data (2)'!CF204</f>
        <v>184.3</v>
      </c>
      <c r="CG48" s="372"/>
      <c r="CH48" s="372"/>
      <c r="CI48" s="372"/>
      <c r="CJ48" s="372"/>
      <c r="CK48" s="366">
        <f>'Data (2)'!CK204</f>
        <v>214.3</v>
      </c>
      <c r="CL48" s="372"/>
      <c r="CM48" s="372"/>
      <c r="CN48" s="372"/>
      <c r="CO48" s="372"/>
      <c r="CP48" s="373"/>
      <c r="CQ48" s="373"/>
      <c r="CR48" s="373"/>
      <c r="CS48" s="373"/>
    </row>
    <row r="49" spans="2:97" ht="12" customHeight="1">
      <c r="B49" s="197" t="s">
        <v>203</v>
      </c>
      <c r="C49" s="205">
        <f t="shared" ref="C49:I49" si="76">C48-C47</f>
        <v>-21.533000000000001</v>
      </c>
      <c r="D49" s="205">
        <f t="shared" si="76"/>
        <v>-5.4010000000000034</v>
      </c>
      <c r="E49" s="205">
        <f t="shared" si="76"/>
        <v>13.399999999999991</v>
      </c>
      <c r="F49" s="205">
        <f t="shared" si="76"/>
        <v>1.1999999999999886</v>
      </c>
      <c r="G49" s="205">
        <f t="shared" si="76"/>
        <v>-17.599999999999994</v>
      </c>
      <c r="H49" s="205">
        <f t="shared" si="76"/>
        <v>-33.100000000000009</v>
      </c>
      <c r="I49" s="205">
        <f t="shared" si="76"/>
        <v>-71</v>
      </c>
      <c r="J49" s="197">
        <f t="shared" ref="J49:M50" si="77">I49</f>
        <v>-71</v>
      </c>
      <c r="K49" s="197">
        <f t="shared" si="77"/>
        <v>-71</v>
      </c>
      <c r="L49" s="197">
        <f t="shared" si="77"/>
        <v>-71</v>
      </c>
      <c r="M49" s="197">
        <f t="shared" si="77"/>
        <v>-71</v>
      </c>
      <c r="N49" s="205">
        <f>N48-N47</f>
        <v>-48.300000000000011</v>
      </c>
      <c r="O49" s="197">
        <f t="shared" ref="O49:R50" si="78">N49</f>
        <v>-48.300000000000011</v>
      </c>
      <c r="P49" s="197">
        <f t="shared" si="78"/>
        <v>-48.300000000000011</v>
      </c>
      <c r="Q49" s="197">
        <f t="shared" si="78"/>
        <v>-48.300000000000011</v>
      </c>
      <c r="R49" s="197">
        <f t="shared" si="78"/>
        <v>-48.300000000000011</v>
      </c>
      <c r="S49" s="205">
        <f>S48-S47</f>
        <v>-45.800000000000011</v>
      </c>
      <c r="T49" s="197">
        <f t="shared" ref="T49:W50" si="79">S49</f>
        <v>-45.800000000000011</v>
      </c>
      <c r="U49" s="197">
        <f t="shared" si="79"/>
        <v>-45.800000000000011</v>
      </c>
      <c r="V49" s="197">
        <f t="shared" si="79"/>
        <v>-45.800000000000011</v>
      </c>
      <c r="W49" s="197">
        <f t="shared" si="79"/>
        <v>-45.800000000000011</v>
      </c>
      <c r="X49" s="205">
        <f>X48-X47</f>
        <v>-50.300000000000011</v>
      </c>
      <c r="Y49" s="197">
        <f t="shared" ref="Y49:AB50" si="80">X49</f>
        <v>-50.300000000000011</v>
      </c>
      <c r="Z49" s="197">
        <f t="shared" si="80"/>
        <v>-50.300000000000011</v>
      </c>
      <c r="AA49" s="197">
        <f t="shared" si="80"/>
        <v>-50.300000000000011</v>
      </c>
      <c r="AB49" s="197">
        <f t="shared" si="80"/>
        <v>-50.300000000000011</v>
      </c>
      <c r="AC49" s="205">
        <f>AC48-AC47</f>
        <v>-33.400000000000006</v>
      </c>
      <c r="AD49" s="197">
        <f t="shared" ref="AD49:AG50" si="81">AC49</f>
        <v>-33.400000000000006</v>
      </c>
      <c r="AE49" s="197">
        <f t="shared" si="81"/>
        <v>-33.400000000000006</v>
      </c>
      <c r="AF49" s="197">
        <f t="shared" si="81"/>
        <v>-33.400000000000006</v>
      </c>
      <c r="AG49" s="197">
        <f t="shared" si="81"/>
        <v>-33.400000000000006</v>
      </c>
      <c r="AH49" s="205">
        <f>AH48-AH47</f>
        <v>-40.299999999999997</v>
      </c>
      <c r="AI49" s="197">
        <f t="shared" ref="AI49:AL50" si="82">AH49</f>
        <v>-40.299999999999997</v>
      </c>
      <c r="AJ49" s="197">
        <f t="shared" si="82"/>
        <v>-40.299999999999997</v>
      </c>
      <c r="AK49" s="197">
        <f t="shared" si="82"/>
        <v>-40.299999999999997</v>
      </c>
      <c r="AL49" s="197">
        <f t="shared" si="82"/>
        <v>-40.299999999999997</v>
      </c>
      <c r="AM49" s="205">
        <f>AM48-AM47</f>
        <v>-64.600000000000009</v>
      </c>
      <c r="AN49" s="197">
        <f t="shared" ref="AN49:AQ50" si="83">AM49</f>
        <v>-64.600000000000009</v>
      </c>
      <c r="AO49" s="197">
        <f t="shared" si="83"/>
        <v>-64.600000000000009</v>
      </c>
      <c r="AP49" s="197">
        <f t="shared" si="83"/>
        <v>-64.600000000000009</v>
      </c>
      <c r="AQ49" s="197">
        <f t="shared" si="83"/>
        <v>-64.600000000000009</v>
      </c>
      <c r="AR49" s="205">
        <f>AR48-AR47</f>
        <v>-55</v>
      </c>
      <c r="AS49" s="197">
        <f t="shared" ref="AS49:AV50" si="84">AR49</f>
        <v>-55</v>
      </c>
      <c r="AT49" s="197">
        <f t="shared" si="84"/>
        <v>-55</v>
      </c>
      <c r="AU49" s="197">
        <f t="shared" si="84"/>
        <v>-55</v>
      </c>
      <c r="AV49" s="197">
        <f t="shared" si="84"/>
        <v>-55</v>
      </c>
      <c r="AW49" s="205">
        <f>AW48-AW47</f>
        <v>-62.40000000000002</v>
      </c>
      <c r="AX49" s="197">
        <f t="shared" ref="AX49:BA50" si="85">AW49</f>
        <v>-62.40000000000002</v>
      </c>
      <c r="AY49" s="197">
        <f t="shared" si="85"/>
        <v>-62.40000000000002</v>
      </c>
      <c r="AZ49" s="197">
        <f t="shared" si="85"/>
        <v>-62.40000000000002</v>
      </c>
      <c r="BA49" s="197">
        <f t="shared" si="85"/>
        <v>-62.40000000000002</v>
      </c>
      <c r="BB49" s="205">
        <f>BB48-BB47</f>
        <v>-75.099999999999994</v>
      </c>
      <c r="BC49" s="197">
        <f t="shared" ref="BC49:BF50" si="86">BB49</f>
        <v>-75.099999999999994</v>
      </c>
      <c r="BD49" s="197">
        <f t="shared" si="86"/>
        <v>-75.099999999999994</v>
      </c>
      <c r="BE49" s="197">
        <f t="shared" si="86"/>
        <v>-75.099999999999994</v>
      </c>
      <c r="BF49" s="197">
        <f t="shared" si="86"/>
        <v>-75.099999999999994</v>
      </c>
      <c r="BG49" s="205">
        <f>BG48-BG47</f>
        <v>-55.299999999999983</v>
      </c>
      <c r="BH49" s="197">
        <f t="shared" ref="BH49:BK50" si="87">BG49</f>
        <v>-55.299999999999983</v>
      </c>
      <c r="BI49" s="197">
        <f t="shared" si="87"/>
        <v>-55.299999999999983</v>
      </c>
      <c r="BJ49" s="197">
        <f t="shared" si="87"/>
        <v>-55.299999999999983</v>
      </c>
      <c r="BK49" s="197">
        <f t="shared" si="87"/>
        <v>-55.299999999999983</v>
      </c>
      <c r="BL49" s="205">
        <f>BL48-BL47</f>
        <v>-33.300000000000011</v>
      </c>
      <c r="BM49" s="197">
        <f t="shared" ref="BM49:BP50" si="88">BL49</f>
        <v>-33.300000000000011</v>
      </c>
      <c r="BN49" s="197">
        <f t="shared" si="88"/>
        <v>-33.300000000000011</v>
      </c>
      <c r="BO49" s="197">
        <f t="shared" si="88"/>
        <v>-33.300000000000011</v>
      </c>
      <c r="BP49" s="197">
        <f t="shared" si="88"/>
        <v>-33.300000000000011</v>
      </c>
      <c r="BQ49" s="205">
        <f>BQ48-BQ47</f>
        <v>-20.099999999999994</v>
      </c>
      <c r="BR49" s="197">
        <f t="shared" ref="BR49:BU50" si="89">BQ49</f>
        <v>-20.099999999999994</v>
      </c>
      <c r="BS49" s="197">
        <f t="shared" si="89"/>
        <v>-20.099999999999994</v>
      </c>
      <c r="BT49" s="197">
        <f t="shared" si="89"/>
        <v>-20.099999999999994</v>
      </c>
      <c r="BU49" s="197">
        <f t="shared" si="89"/>
        <v>-20.099999999999994</v>
      </c>
      <c r="BV49" s="205">
        <f>BV48-BV47</f>
        <v>-12.399999999999977</v>
      </c>
      <c r="BW49" s="197">
        <f t="shared" ref="BW49:BZ50" si="90">BV49</f>
        <v>-12.399999999999977</v>
      </c>
      <c r="BX49" s="197">
        <f t="shared" si="90"/>
        <v>-12.399999999999977</v>
      </c>
      <c r="BY49" s="197">
        <f t="shared" si="90"/>
        <v>-12.399999999999977</v>
      </c>
      <c r="BZ49" s="197">
        <f t="shared" si="90"/>
        <v>-12.399999999999977</v>
      </c>
      <c r="CA49" s="205">
        <f>CA48-CA47</f>
        <v>-9.0999999999999943</v>
      </c>
      <c r="CB49" s="197">
        <f t="shared" ref="CB49:CE50" si="91">CA49</f>
        <v>-9.0999999999999943</v>
      </c>
      <c r="CC49" s="197">
        <f t="shared" si="91"/>
        <v>-9.0999999999999943</v>
      </c>
      <c r="CD49" s="197">
        <f t="shared" si="91"/>
        <v>-9.0999999999999943</v>
      </c>
      <c r="CE49" s="197">
        <f t="shared" si="91"/>
        <v>-9.0999999999999943</v>
      </c>
      <c r="CF49" s="205">
        <f>CF48-CF47</f>
        <v>5.2000000000000171</v>
      </c>
      <c r="CG49" s="197">
        <f t="shared" ref="CG49:CJ50" si="92">CF49</f>
        <v>5.2000000000000171</v>
      </c>
      <c r="CH49" s="197">
        <f t="shared" si="92"/>
        <v>5.2000000000000171</v>
      </c>
      <c r="CI49" s="197">
        <f t="shared" si="92"/>
        <v>5.2000000000000171</v>
      </c>
      <c r="CJ49" s="197">
        <f t="shared" si="92"/>
        <v>5.2000000000000171</v>
      </c>
      <c r="CK49" s="205">
        <f>CK48-CK47</f>
        <v>5.4000000000000057</v>
      </c>
      <c r="CL49" s="197">
        <f t="shared" ref="CL49:CO50" si="93">CK49</f>
        <v>5.4000000000000057</v>
      </c>
      <c r="CM49" s="197">
        <f t="shared" si="93"/>
        <v>5.4000000000000057</v>
      </c>
      <c r="CN49" s="197">
        <f t="shared" si="93"/>
        <v>5.4000000000000057</v>
      </c>
      <c r="CO49" s="197">
        <f t="shared" si="93"/>
        <v>5.4000000000000057</v>
      </c>
      <c r="CP49" s="214">
        <f>-(CP32-CP17)</f>
        <v>-106.69999999999999</v>
      </c>
      <c r="CQ49" s="214">
        <f>-(CQ32-CQ17)</f>
        <v>-106.69999999999999</v>
      </c>
      <c r="CR49" s="214">
        <f>-(CR32-CR17)</f>
        <v>-106.69999999999999</v>
      </c>
      <c r="CS49" s="214">
        <f>-(CS32-CS17)</f>
        <v>-106.69999999999999</v>
      </c>
    </row>
    <row r="50" spans="2:97" ht="12" customHeight="1">
      <c r="B50" s="197" t="s">
        <v>219</v>
      </c>
      <c r="C50" s="205">
        <f>'Data (2)'!C206</f>
        <v>0</v>
      </c>
      <c r="D50" s="205">
        <f>'Data (2)'!D206</f>
        <v>0</v>
      </c>
      <c r="E50" s="205">
        <f>'Data (2)'!E206</f>
        <v>0</v>
      </c>
      <c r="F50" s="205">
        <f>'Data (2)'!F206</f>
        <v>0</v>
      </c>
      <c r="G50" s="205">
        <f>'Data (2)'!G206</f>
        <v>-6.7</v>
      </c>
      <c r="H50" s="205">
        <f>'Data (2)'!H206</f>
        <v>-17.100000000000001</v>
      </c>
      <c r="I50" s="205">
        <f>'Data (2)'!I206</f>
        <v>-8.8000000000000007</v>
      </c>
      <c r="J50" s="197">
        <f t="shared" si="77"/>
        <v>-8.8000000000000007</v>
      </c>
      <c r="K50" s="197">
        <f t="shared" si="77"/>
        <v>-8.8000000000000007</v>
      </c>
      <c r="L50" s="197">
        <f t="shared" si="77"/>
        <v>-8.8000000000000007</v>
      </c>
      <c r="M50" s="197">
        <f t="shared" si="77"/>
        <v>-8.8000000000000007</v>
      </c>
      <c r="N50" s="205">
        <f>'Data (2)'!N206</f>
        <v>-15.4</v>
      </c>
      <c r="O50" s="197">
        <f t="shared" si="78"/>
        <v>-15.4</v>
      </c>
      <c r="P50" s="197">
        <f t="shared" si="78"/>
        <v>-15.4</v>
      </c>
      <c r="Q50" s="197">
        <f t="shared" si="78"/>
        <v>-15.4</v>
      </c>
      <c r="R50" s="197">
        <f t="shared" si="78"/>
        <v>-15.4</v>
      </c>
      <c r="S50" s="205">
        <f>'Data (2)'!S206</f>
        <v>-11.2</v>
      </c>
      <c r="T50" s="197">
        <f t="shared" si="79"/>
        <v>-11.2</v>
      </c>
      <c r="U50" s="197">
        <f t="shared" si="79"/>
        <v>-11.2</v>
      </c>
      <c r="V50" s="197">
        <f t="shared" si="79"/>
        <v>-11.2</v>
      </c>
      <c r="W50" s="197">
        <f t="shared" si="79"/>
        <v>-11.2</v>
      </c>
      <c r="X50" s="205">
        <f>'Data (2)'!X206</f>
        <v>-32.799999999999997</v>
      </c>
      <c r="Y50" s="197">
        <f t="shared" si="80"/>
        <v>-32.799999999999997</v>
      </c>
      <c r="Z50" s="197">
        <f t="shared" si="80"/>
        <v>-32.799999999999997</v>
      </c>
      <c r="AA50" s="197">
        <f t="shared" si="80"/>
        <v>-32.799999999999997</v>
      </c>
      <c r="AB50" s="197">
        <f t="shared" si="80"/>
        <v>-32.799999999999997</v>
      </c>
      <c r="AC50" s="205">
        <f>'Data (2)'!AC206</f>
        <v>-11.4</v>
      </c>
      <c r="AD50" s="197">
        <f t="shared" si="81"/>
        <v>-11.4</v>
      </c>
      <c r="AE50" s="197">
        <f t="shared" si="81"/>
        <v>-11.4</v>
      </c>
      <c r="AF50" s="156">
        <f t="shared" si="81"/>
        <v>-11.4</v>
      </c>
      <c r="AG50" s="282">
        <f t="shared" si="81"/>
        <v>-11.4</v>
      </c>
      <c r="AH50" s="205">
        <f>'Data (2)'!AH206</f>
        <v>-13</v>
      </c>
      <c r="AI50" s="197">
        <f t="shared" si="82"/>
        <v>-13</v>
      </c>
      <c r="AJ50" s="197">
        <f t="shared" si="82"/>
        <v>-13</v>
      </c>
      <c r="AK50" s="197">
        <f t="shared" si="82"/>
        <v>-13</v>
      </c>
      <c r="AL50" s="197">
        <f t="shared" si="82"/>
        <v>-13</v>
      </c>
      <c r="AM50" s="205">
        <f>'Data (2)'!AM206</f>
        <v>-28.1</v>
      </c>
      <c r="AN50" s="197">
        <f t="shared" si="83"/>
        <v>-28.1</v>
      </c>
      <c r="AO50" s="197">
        <f t="shared" si="83"/>
        <v>-28.1</v>
      </c>
      <c r="AP50" s="197">
        <f t="shared" si="83"/>
        <v>-28.1</v>
      </c>
      <c r="AQ50" s="197">
        <f t="shared" si="83"/>
        <v>-28.1</v>
      </c>
      <c r="AR50" s="205">
        <f>'Data (2)'!AR206</f>
        <v>-20.8</v>
      </c>
      <c r="AS50" s="197">
        <f t="shared" si="84"/>
        <v>-20.8</v>
      </c>
      <c r="AT50" s="197">
        <f t="shared" si="84"/>
        <v>-20.8</v>
      </c>
      <c r="AU50" s="197">
        <f t="shared" si="84"/>
        <v>-20.8</v>
      </c>
      <c r="AV50" s="197">
        <f t="shared" si="84"/>
        <v>-20.8</v>
      </c>
      <c r="AW50" s="205">
        <f>'Data (2)'!AW206</f>
        <v>-30.4</v>
      </c>
      <c r="AX50" s="197">
        <f t="shared" si="85"/>
        <v>-30.4</v>
      </c>
      <c r="AY50" s="197">
        <f t="shared" si="85"/>
        <v>-30.4</v>
      </c>
      <c r="AZ50" s="197">
        <f t="shared" si="85"/>
        <v>-30.4</v>
      </c>
      <c r="BA50" s="197">
        <f t="shared" si="85"/>
        <v>-30.4</v>
      </c>
      <c r="BB50" s="205">
        <f>'Data (2)'!BB206</f>
        <v>-41.2</v>
      </c>
      <c r="BC50" s="197">
        <f t="shared" si="86"/>
        <v>-41.2</v>
      </c>
      <c r="BD50" s="197">
        <f t="shared" si="86"/>
        <v>-41.2</v>
      </c>
      <c r="BE50" s="197">
        <f t="shared" si="86"/>
        <v>-41.2</v>
      </c>
      <c r="BF50" s="197">
        <f t="shared" si="86"/>
        <v>-41.2</v>
      </c>
      <c r="BG50" s="205">
        <f>'Data (2)'!BG206</f>
        <v>-24.2</v>
      </c>
      <c r="BH50" s="197">
        <f t="shared" si="87"/>
        <v>-24.2</v>
      </c>
      <c r="BI50" s="197">
        <f t="shared" si="87"/>
        <v>-24.2</v>
      </c>
      <c r="BJ50" s="197">
        <f t="shared" si="87"/>
        <v>-24.2</v>
      </c>
      <c r="BK50" s="197">
        <f t="shared" si="87"/>
        <v>-24.2</v>
      </c>
      <c r="BL50" s="205">
        <f>'Data (2)'!BL206</f>
        <v>-27.6</v>
      </c>
      <c r="BM50" s="197">
        <f t="shared" si="88"/>
        <v>-27.6</v>
      </c>
      <c r="BN50" s="197">
        <f t="shared" si="88"/>
        <v>-27.6</v>
      </c>
      <c r="BO50" s="197">
        <f t="shared" si="88"/>
        <v>-27.6</v>
      </c>
      <c r="BP50" s="197">
        <f t="shared" si="88"/>
        <v>-27.6</v>
      </c>
      <c r="BQ50" s="205">
        <f>'Data (2)'!BQ206</f>
        <v>-22.7</v>
      </c>
      <c r="BR50" s="197">
        <f t="shared" si="89"/>
        <v>-22.7</v>
      </c>
      <c r="BS50" s="197">
        <f t="shared" si="89"/>
        <v>-22.7</v>
      </c>
      <c r="BT50" s="197">
        <f t="shared" si="89"/>
        <v>-22.7</v>
      </c>
      <c r="BU50" s="197">
        <f t="shared" si="89"/>
        <v>-22.7</v>
      </c>
      <c r="BV50" s="205">
        <f>'Data (2)'!BV206</f>
        <v>-14.6</v>
      </c>
      <c r="BW50" s="197">
        <f t="shared" si="90"/>
        <v>-14.6</v>
      </c>
      <c r="BX50" s="197">
        <f t="shared" si="90"/>
        <v>-14.6</v>
      </c>
      <c r="BY50" s="197">
        <f t="shared" si="90"/>
        <v>-14.6</v>
      </c>
      <c r="BZ50" s="197">
        <f t="shared" si="90"/>
        <v>-14.6</v>
      </c>
      <c r="CA50" s="205">
        <f>'Data (2)'!CA206</f>
        <v>-45</v>
      </c>
      <c r="CB50" s="197">
        <f t="shared" si="91"/>
        <v>-45</v>
      </c>
      <c r="CC50" s="197">
        <f t="shared" si="91"/>
        <v>-45</v>
      </c>
      <c r="CD50" s="197">
        <f t="shared" si="91"/>
        <v>-45</v>
      </c>
      <c r="CE50" s="197">
        <f t="shared" si="91"/>
        <v>-45</v>
      </c>
      <c r="CF50" s="205">
        <f>'Data (2)'!CF206</f>
        <v>-108</v>
      </c>
      <c r="CG50" s="197">
        <f t="shared" si="92"/>
        <v>-108</v>
      </c>
      <c r="CH50" s="197">
        <f t="shared" si="92"/>
        <v>-108</v>
      </c>
      <c r="CI50" s="197">
        <f t="shared" si="92"/>
        <v>-108</v>
      </c>
      <c r="CJ50" s="197">
        <f t="shared" si="92"/>
        <v>-108</v>
      </c>
      <c r="CK50" s="205">
        <f>'Data (2)'!CK206</f>
        <v>-118.7</v>
      </c>
      <c r="CL50" s="197">
        <f t="shared" si="93"/>
        <v>-118.7</v>
      </c>
      <c r="CM50" s="197">
        <f t="shared" si="93"/>
        <v>-118.7</v>
      </c>
      <c r="CN50" s="197">
        <f t="shared" si="93"/>
        <v>-118.7</v>
      </c>
      <c r="CO50" s="197">
        <f t="shared" si="93"/>
        <v>-118.7</v>
      </c>
      <c r="CP50" s="214">
        <f>CP39-CK39+CK50</f>
        <v>-305.75831563787142</v>
      </c>
      <c r="CQ50" s="214">
        <f>CQ39-CP39+CP50</f>
        <v>-271.38549572047714</v>
      </c>
      <c r="CR50" s="214">
        <f>CR39-CQ39+CQ50</f>
        <v>-201.44447822982829</v>
      </c>
      <c r="CS50" s="214">
        <f>CS39-CR39+CR50</f>
        <v>-103.44842559737253</v>
      </c>
    </row>
    <row r="51" spans="2:97" ht="12" customHeight="1">
      <c r="C51" s="205"/>
      <c r="D51" s="205"/>
      <c r="E51" s="205"/>
      <c r="F51" s="205"/>
      <c r="G51" s="205"/>
      <c r="H51" s="205"/>
      <c r="I51" s="205"/>
      <c r="N51" s="205"/>
      <c r="S51" s="205"/>
      <c r="X51" s="205"/>
      <c r="AC51" s="205"/>
      <c r="AH51" s="205"/>
      <c r="AM51" s="205"/>
      <c r="AR51" s="205"/>
      <c r="AW51" s="205"/>
      <c r="BB51" s="205"/>
      <c r="BG51" s="205"/>
      <c r="BL51" s="205"/>
      <c r="BQ51" s="205"/>
      <c r="BV51" s="205"/>
      <c r="CA51" s="205"/>
      <c r="CF51" s="205"/>
      <c r="CK51" s="205"/>
      <c r="CP51" s="205"/>
      <c r="CQ51" s="205"/>
      <c r="CR51" s="205"/>
      <c r="CS51" s="205"/>
    </row>
    <row r="52" spans="2:97" ht="12" customHeight="1">
      <c r="B52" s="360" t="s">
        <v>143</v>
      </c>
      <c r="C52" s="205"/>
      <c r="D52" s="205"/>
      <c r="E52" s="205"/>
      <c r="F52" s="205"/>
      <c r="G52" s="205"/>
      <c r="H52" s="205"/>
      <c r="I52" s="205"/>
      <c r="N52" s="205"/>
      <c r="S52" s="205"/>
      <c r="X52" s="205"/>
      <c r="AC52" s="205"/>
      <c r="AH52" s="205"/>
      <c r="AM52" s="205"/>
      <c r="AR52" s="205"/>
      <c r="AW52" s="205"/>
      <c r="BB52" s="205"/>
      <c r="BG52" s="205"/>
      <c r="BL52" s="205"/>
      <c r="BQ52" s="205"/>
      <c r="BV52" s="205"/>
      <c r="CA52" s="205"/>
      <c r="CF52" s="205"/>
      <c r="CK52" s="205"/>
      <c r="CP52" s="205"/>
      <c r="CQ52" s="205"/>
      <c r="CR52" s="205"/>
      <c r="CS52" s="205"/>
    </row>
    <row r="53" spans="2:97" ht="12" customHeight="1">
      <c r="B53" s="197" t="s">
        <v>144</v>
      </c>
      <c r="C53" s="205">
        <f t="shared" ref="C53:AH53" si="94">C7</f>
        <v>9.0329999999999995</v>
      </c>
      <c r="D53" s="205">
        <f t="shared" si="94"/>
        <v>7.5039999999999996</v>
      </c>
      <c r="E53" s="205">
        <f t="shared" si="94"/>
        <v>0.2</v>
      </c>
      <c r="F53" s="205">
        <f t="shared" si="94"/>
        <v>5.0999999999999996</v>
      </c>
      <c r="G53" s="205">
        <f t="shared" si="94"/>
        <v>11.6</v>
      </c>
      <c r="H53" s="205">
        <f t="shared" si="94"/>
        <v>8.1999999999999993</v>
      </c>
      <c r="I53" s="205">
        <f t="shared" si="94"/>
        <v>41.7</v>
      </c>
      <c r="J53" s="197">
        <f t="shared" si="94"/>
        <v>24</v>
      </c>
      <c r="K53" s="197">
        <f t="shared" si="94"/>
        <v>45.1</v>
      </c>
      <c r="L53" s="197">
        <f t="shared" si="94"/>
        <v>51.5</v>
      </c>
      <c r="M53" s="197">
        <f t="shared" si="94"/>
        <v>57.2</v>
      </c>
      <c r="N53" s="205">
        <f t="shared" si="94"/>
        <v>57.2</v>
      </c>
      <c r="O53" s="376">
        <f t="shared" si="94"/>
        <v>26.2</v>
      </c>
      <c r="P53" s="376">
        <f t="shared" si="94"/>
        <v>18.5</v>
      </c>
      <c r="Q53" s="376">
        <f t="shared" si="94"/>
        <v>12.3</v>
      </c>
      <c r="R53" s="376">
        <f t="shared" si="94"/>
        <v>21</v>
      </c>
      <c r="S53" s="377">
        <f t="shared" si="94"/>
        <v>21</v>
      </c>
      <c r="T53" s="376">
        <f t="shared" si="94"/>
        <v>23.9</v>
      </c>
      <c r="U53" s="376">
        <f t="shared" si="94"/>
        <v>8.8000000000000007</v>
      </c>
      <c r="V53" s="376">
        <f t="shared" si="94"/>
        <v>13</v>
      </c>
      <c r="W53" s="376">
        <f t="shared" si="94"/>
        <v>25.7</v>
      </c>
      <c r="X53" s="377">
        <f t="shared" si="94"/>
        <v>25.7</v>
      </c>
      <c r="Y53" s="376">
        <f t="shared" si="94"/>
        <v>33.5</v>
      </c>
      <c r="Z53" s="376">
        <f t="shared" si="94"/>
        <v>36</v>
      </c>
      <c r="AA53" s="376">
        <f t="shared" si="94"/>
        <v>31.4</v>
      </c>
      <c r="AB53" s="376">
        <f t="shared" si="94"/>
        <v>28.1</v>
      </c>
      <c r="AC53" s="377">
        <f t="shared" si="94"/>
        <v>28.1</v>
      </c>
      <c r="AD53" s="376">
        <f t="shared" si="94"/>
        <v>26.4</v>
      </c>
      <c r="AE53" s="376">
        <f t="shared" si="94"/>
        <v>19.3</v>
      </c>
      <c r="AF53" s="376">
        <f t="shared" si="94"/>
        <v>48.7</v>
      </c>
      <c r="AG53" s="376">
        <f t="shared" si="94"/>
        <v>50.9</v>
      </c>
      <c r="AH53" s="377">
        <f t="shared" si="94"/>
        <v>50.9</v>
      </c>
      <c r="AI53" s="376">
        <f t="shared" ref="AI53:BN53" si="95">AI7</f>
        <v>27</v>
      </c>
      <c r="AJ53" s="376">
        <f t="shared" si="95"/>
        <v>72.599999999999994</v>
      </c>
      <c r="AK53" s="376">
        <f t="shared" si="95"/>
        <v>94.7</v>
      </c>
      <c r="AL53" s="376">
        <f t="shared" si="95"/>
        <v>110.1</v>
      </c>
      <c r="AM53" s="377">
        <f t="shared" si="95"/>
        <v>110.1</v>
      </c>
      <c r="AN53" s="376">
        <f t="shared" si="95"/>
        <v>65.7</v>
      </c>
      <c r="AO53" s="376">
        <f t="shared" si="95"/>
        <v>84</v>
      </c>
      <c r="AP53" s="376">
        <f t="shared" si="95"/>
        <v>78.5</v>
      </c>
      <c r="AQ53" s="376">
        <f t="shared" si="95"/>
        <v>117.2</v>
      </c>
      <c r="AR53" s="377">
        <f t="shared" si="95"/>
        <v>117.2</v>
      </c>
      <c r="AS53" s="376">
        <f t="shared" si="95"/>
        <v>50.6</v>
      </c>
      <c r="AT53" s="376">
        <f t="shared" si="95"/>
        <v>55.9</v>
      </c>
      <c r="AU53" s="376">
        <f t="shared" si="95"/>
        <v>48.4</v>
      </c>
      <c r="AV53" s="376">
        <f t="shared" si="95"/>
        <v>49.5</v>
      </c>
      <c r="AW53" s="377">
        <f t="shared" si="95"/>
        <v>49.5</v>
      </c>
      <c r="AX53" s="376">
        <f t="shared" si="95"/>
        <v>48.7</v>
      </c>
      <c r="AY53" s="376">
        <f t="shared" si="95"/>
        <v>32.6</v>
      </c>
      <c r="AZ53" s="376">
        <f t="shared" si="95"/>
        <v>43.2</v>
      </c>
      <c r="BA53" s="376">
        <f t="shared" si="95"/>
        <v>32.6</v>
      </c>
      <c r="BB53" s="377">
        <f t="shared" si="95"/>
        <v>32.6</v>
      </c>
      <c r="BC53" s="376">
        <f t="shared" si="95"/>
        <v>18.3</v>
      </c>
      <c r="BD53" s="376">
        <f t="shared" si="95"/>
        <v>56.7</v>
      </c>
      <c r="BE53" s="376">
        <f t="shared" si="95"/>
        <v>59.7</v>
      </c>
      <c r="BF53" s="376">
        <f t="shared" si="95"/>
        <v>65.5</v>
      </c>
      <c r="BG53" s="377">
        <f t="shared" si="95"/>
        <v>65.5</v>
      </c>
      <c r="BH53" s="376">
        <f t="shared" si="95"/>
        <v>50</v>
      </c>
      <c r="BI53" s="376">
        <f t="shared" si="95"/>
        <v>43.8</v>
      </c>
      <c r="BJ53" s="376">
        <f t="shared" si="95"/>
        <v>37.700000000000003</v>
      </c>
      <c r="BK53" s="376">
        <f t="shared" si="95"/>
        <v>70.900000000000006</v>
      </c>
      <c r="BL53" s="377">
        <f t="shared" si="95"/>
        <v>70.900000000000006</v>
      </c>
      <c r="BM53" s="376">
        <f t="shared" si="95"/>
        <v>22.7</v>
      </c>
      <c r="BN53" s="376">
        <f t="shared" si="95"/>
        <v>35.299999999999997</v>
      </c>
      <c r="BO53" s="376">
        <f t="shared" ref="BO53:CS53" si="96">BO7</f>
        <v>43.2</v>
      </c>
      <c r="BP53" s="376">
        <f t="shared" si="96"/>
        <v>51.8</v>
      </c>
      <c r="BQ53" s="377">
        <f t="shared" si="96"/>
        <v>51.8</v>
      </c>
      <c r="BR53" s="376">
        <f t="shared" si="96"/>
        <v>24.2</v>
      </c>
      <c r="BS53" s="376">
        <f t="shared" si="96"/>
        <v>38.9</v>
      </c>
      <c r="BT53" s="376">
        <f t="shared" si="96"/>
        <v>45.7</v>
      </c>
      <c r="BU53" s="376">
        <f t="shared" si="96"/>
        <v>35.200000000000003</v>
      </c>
      <c r="BV53" s="377">
        <f t="shared" si="96"/>
        <v>35.200000000000003</v>
      </c>
      <c r="BW53" s="376">
        <f t="shared" si="96"/>
        <v>82.1</v>
      </c>
      <c r="BX53" s="376">
        <f t="shared" si="96"/>
        <v>45.5</v>
      </c>
      <c r="BY53" s="376">
        <f t="shared" si="96"/>
        <v>119.1</v>
      </c>
      <c r="BZ53" s="376">
        <f t="shared" si="96"/>
        <v>60.1</v>
      </c>
      <c r="CA53" s="377">
        <f t="shared" si="96"/>
        <v>60.1</v>
      </c>
      <c r="CB53" s="376">
        <f t="shared" si="96"/>
        <v>49.8</v>
      </c>
      <c r="CC53" s="376">
        <f t="shared" si="96"/>
        <v>39.1</v>
      </c>
      <c r="CD53" s="376">
        <f t="shared" si="96"/>
        <v>47.2</v>
      </c>
      <c r="CE53" s="376">
        <f t="shared" si="96"/>
        <v>32.700000000000003</v>
      </c>
      <c r="CF53" s="377">
        <f t="shared" si="96"/>
        <v>32.700000000000003</v>
      </c>
      <c r="CG53" s="376">
        <f t="shared" si="96"/>
        <v>43.7</v>
      </c>
      <c r="CH53" s="376">
        <f t="shared" si="96"/>
        <v>55.4</v>
      </c>
      <c r="CI53" s="376">
        <f t="shared" si="96"/>
        <v>47</v>
      </c>
      <c r="CJ53" s="376">
        <f t="shared" si="96"/>
        <v>64.400000000000006</v>
      </c>
      <c r="CK53" s="377">
        <f t="shared" si="96"/>
        <v>64.400000000000006</v>
      </c>
      <c r="CL53" s="376">
        <f t="shared" si="96"/>
        <v>329.3</v>
      </c>
      <c r="CM53" s="376">
        <f t="shared" si="96"/>
        <v>295.5</v>
      </c>
      <c r="CN53" s="376">
        <f t="shared" si="96"/>
        <v>311.7</v>
      </c>
      <c r="CO53" s="376">
        <f t="shared" si="96"/>
        <v>397.9</v>
      </c>
      <c r="CP53" s="377">
        <f t="shared" si="96"/>
        <v>397.9</v>
      </c>
      <c r="CQ53" s="377">
        <f t="shared" si="96"/>
        <v>252.96999999999997</v>
      </c>
      <c r="CR53" s="377">
        <f t="shared" si="96"/>
        <v>227.74499999999995</v>
      </c>
      <c r="CS53" s="377">
        <f t="shared" si="96"/>
        <v>246.51062499999995</v>
      </c>
    </row>
    <row r="54" spans="2:97" ht="12" customHeight="1">
      <c r="B54" s="197" t="s">
        <v>145</v>
      </c>
      <c r="C54" s="378">
        <f>C53/'IS (2)'!C35</f>
        <v>0.19638237276344109</v>
      </c>
      <c r="D54" s="378">
        <f>D53/'IS (2)'!D35</f>
        <v>0.16430557684307329</v>
      </c>
      <c r="E54" s="378">
        <f>E53/'IS (2)'!E35</f>
        <v>5.4945054945054949E-3</v>
      </c>
      <c r="F54" s="378">
        <f>F53/'IS (2)'!F35</f>
        <v>0.11159737417943105</v>
      </c>
      <c r="G54" s="378">
        <f>G53/'IS (2)'!G35</f>
        <v>0.30851063829787234</v>
      </c>
      <c r="H54" s="378">
        <f>H53/'IS (2)'!H35</f>
        <v>0.21354166666666666</v>
      </c>
      <c r="I54" s="378">
        <f>I53/'IS (2)'!I35</f>
        <v>1.0803108808290156</v>
      </c>
      <c r="J54" s="379">
        <f>J53/'IS (2)'!J35</f>
        <v>0.264026402640264</v>
      </c>
      <c r="K54" s="379">
        <f>K53/'IS (2)'!K35</f>
        <v>0.49397590361445787</v>
      </c>
      <c r="L54" s="379">
        <f>L53/'IS (2)'!L35</f>
        <v>0.56284153005464477</v>
      </c>
      <c r="M54" s="379">
        <f>M53/'IS (2)'!M35</f>
        <v>0.625136612021858</v>
      </c>
      <c r="N54" s="378">
        <f>N53/'IS (2)'!N35</f>
        <v>0.62650602409638556</v>
      </c>
      <c r="O54" s="379">
        <f>O53/'IS (2)'!O35</f>
        <v>0.27754237288135591</v>
      </c>
      <c r="P54" s="379">
        <f>P53/'IS (2)'!P35</f>
        <v>0.19494204425711273</v>
      </c>
      <c r="Q54" s="379">
        <f>Q53/'IS (2)'!Q35</f>
        <v>0.12961011591148577</v>
      </c>
      <c r="R54" s="379">
        <f>R53/'IS (2)'!R35</f>
        <v>0.22128556375131717</v>
      </c>
      <c r="S54" s="378">
        <f>S53/'IS (2)'!S35</f>
        <v>0.22411953041622198</v>
      </c>
      <c r="T54" s="379">
        <f>T53/'IS (2)'!T35</f>
        <v>0.25131440588853837</v>
      </c>
      <c r="U54" s="379">
        <f>U53/'IS (2)'!U35</f>
        <v>9.2146596858638755E-2</v>
      </c>
      <c r="V54" s="379">
        <f>V53/'IS (2)'!V35</f>
        <v>0.13655462184873948</v>
      </c>
      <c r="W54" s="379">
        <f>W53/'IS (2)'!W35</f>
        <v>0.26715176715176708</v>
      </c>
      <c r="X54" s="378">
        <f>X53/'IS (2)'!X35</f>
        <v>0.26910994764397905</v>
      </c>
      <c r="Y54" s="379">
        <f>Y53/'IS (2)'!Y35</f>
        <v>0.34859521331945892</v>
      </c>
      <c r="Z54" s="379">
        <f>Z53/'IS (2)'!Z35</f>
        <v>0.37383177570093457</v>
      </c>
      <c r="AA54" s="379">
        <f>AA53/'IS (2)'!AA35</f>
        <v>0.32471561530506721</v>
      </c>
      <c r="AB54" s="379">
        <f>AB53/'IS (2)'!AB35</f>
        <v>0.28998968008255932</v>
      </c>
      <c r="AC54" s="378">
        <f>AC53/'IS (2)'!AC35</f>
        <v>0.29119170984455961</v>
      </c>
      <c r="AD54" s="379">
        <f>AD53/'IS (2)'!AD35</f>
        <v>0.27021494370522003</v>
      </c>
      <c r="AE54" s="379">
        <f>AE53/'IS (2)'!AE35</f>
        <v>0.19734151329243355</v>
      </c>
      <c r="AF54" s="379">
        <f>AF53/'IS (2)'!AF35</f>
        <v>0.49795501022494892</v>
      </c>
      <c r="AG54" s="379">
        <f>AG53/'IS (2)'!AG35</f>
        <v>0.52420185375901163</v>
      </c>
      <c r="AH54" s="378">
        <f>AH53/'IS (2)'!AH35</f>
        <v>0.52151639344262302</v>
      </c>
      <c r="AI54" s="379">
        <f>AI53/'IS (2)'!AI35</f>
        <v>0.27777777777777779</v>
      </c>
      <c r="AJ54" s="379">
        <f>AJ53/'IS (2)'!AJ35</f>
        <v>0.74233128834355822</v>
      </c>
      <c r="AK54" s="379">
        <f>AK53/'IS (2)'!AK35</f>
        <v>0.96534148827726818</v>
      </c>
      <c r="AL54" s="379">
        <f>AL53/'IS (2)'!AL35</f>
        <v>1.1177664974619288</v>
      </c>
      <c r="AM54" s="378">
        <f>AM53/'IS (2)'!AM35</f>
        <v>1.12461695607763</v>
      </c>
      <c r="AN54" s="379">
        <f>AN53/'IS (2)'!AN35</f>
        <v>0.66363636363636369</v>
      </c>
      <c r="AO54" s="379">
        <f>AO53/'IS (2)'!AO35</f>
        <v>0.84252758274824469</v>
      </c>
      <c r="AP54" s="379">
        <f>AP53/'IS (2)'!AP35</f>
        <v>0.78500000000000003</v>
      </c>
      <c r="AQ54" s="379">
        <f>AQ53/'IS (2)'!AQ35</f>
        <v>1.1615460852329036</v>
      </c>
      <c r="AR54" s="378">
        <f>AR53/'IS (2)'!AR35</f>
        <v>1.1731731731731732</v>
      </c>
      <c r="AS54" s="379">
        <f>AS53/'IS (2)'!AS35</f>
        <v>0.50398406374501992</v>
      </c>
      <c r="AT54" s="379">
        <f>AT53/'IS (2)'!AT35</f>
        <v>0.55511420059582917</v>
      </c>
      <c r="AU54" s="379">
        <f>AU53/'IS (2)'!AU35</f>
        <v>0.47873392680514343</v>
      </c>
      <c r="AV54" s="379">
        <f>AV53/'IS (2)'!AV35</f>
        <v>0.48864758144126358</v>
      </c>
      <c r="AW54" s="378">
        <f>AW53/'IS (2)'!AW35</f>
        <v>0.49155908639523338</v>
      </c>
      <c r="AX54" s="379">
        <f>AX53/'IS (2)'!AX35</f>
        <v>0.47885939036381514</v>
      </c>
      <c r="AY54" s="379">
        <f>AY53/'IS (2)'!AY35</f>
        <v>0.31960784313725493</v>
      </c>
      <c r="AZ54" s="379">
        <f>AZ53/'IS (2)'!AZ35</f>
        <v>0.42311459353574932</v>
      </c>
      <c r="BA54" s="379">
        <f>BA53/'IS (2)'!BA35</f>
        <v>0.31898238747553814</v>
      </c>
      <c r="BB54" s="378">
        <f>BB53/'IS (2)'!BB35</f>
        <v>0.31960784313725499</v>
      </c>
      <c r="BC54" s="379">
        <f>BC53/'IS (2)'!BC35</f>
        <v>0.1792360430950049</v>
      </c>
      <c r="BD54" s="379">
        <f>BD53/'IS (2)'!BD35</f>
        <v>0.55697445972495097</v>
      </c>
      <c r="BE54" s="379">
        <f>BE53/'IS (2)'!BE35</f>
        <v>0.58702064896755168</v>
      </c>
      <c r="BF54" s="379">
        <f>BF53/'IS (2)'!BF35</f>
        <v>0.64278704612365056</v>
      </c>
      <c r="BG54" s="378">
        <f>BG53/'IS (2)'!BG35</f>
        <v>0.64294478527607357</v>
      </c>
      <c r="BH54" s="379">
        <f>BH53/'IS (2)'!BH35</f>
        <v>0.49701789264413521</v>
      </c>
      <c r="BI54" s="379">
        <f>BI53/'IS (2)'!BI35</f>
        <v>0.44153225806451607</v>
      </c>
      <c r="BJ54" s="379">
        <f>BJ53/'IS (2)'!BJ35</f>
        <v>0.38587512794268169</v>
      </c>
      <c r="BK54" s="379">
        <f>BK53/'IS (2)'!BK35</f>
        <v>0.72717948717948722</v>
      </c>
      <c r="BL54" s="378">
        <f>BL53/'IS (2)'!BL35</f>
        <v>0.71797468354430383</v>
      </c>
      <c r="BM54" s="379">
        <f>BM53/'IS (2)'!BM35</f>
        <v>0.23186925434116443</v>
      </c>
      <c r="BN54" s="379">
        <f>BN53/'IS (2)'!BN35</f>
        <v>0.35947046843177183</v>
      </c>
      <c r="BO54" s="379">
        <f>BO53/'IS (2)'!BO35</f>
        <v>0.4439876670092498</v>
      </c>
      <c r="BP54" s="379">
        <f>BP53/'IS (2)'!BP35</f>
        <v>0.54070981210855951</v>
      </c>
      <c r="BQ54" s="378">
        <f>BQ53/'IS (2)'!BQ35</f>
        <v>0.53237410071942437</v>
      </c>
      <c r="BR54" s="379">
        <f>BR53/'IS (2)'!BR35</f>
        <v>0.25527426160337552</v>
      </c>
      <c r="BS54" s="379">
        <f>BS53/'IS (2)'!BS35</f>
        <v>0.41120507399577166</v>
      </c>
      <c r="BT54" s="379">
        <f>BT53/'IS (2)'!BT35</f>
        <v>0.48565356004250804</v>
      </c>
      <c r="BU54" s="379">
        <f>BU53/'IS (2)'!BU35</f>
        <v>0.37727759914255093</v>
      </c>
      <c r="BV54" s="378">
        <f>BV53/'IS (2)'!BV35</f>
        <v>0.37367303609341829</v>
      </c>
      <c r="BW54" s="379">
        <f>BW53/'IS (2)'!BW35</f>
        <v>0.88374596340150691</v>
      </c>
      <c r="BX54" s="379">
        <f>BX53/'IS (2)'!BX35</f>
        <v>0.49456521739130432</v>
      </c>
      <c r="BY54" s="379">
        <f>BY53/'IS (2)'!BY35</f>
        <v>1.3030634573304156</v>
      </c>
      <c r="BZ54" s="379">
        <f>BZ53/'IS (2)'!BZ35</f>
        <v>0.65683060109289615</v>
      </c>
      <c r="CA54" s="378">
        <f>CA53/'IS (2)'!CA35</f>
        <v>0.65361609570418711</v>
      </c>
      <c r="CB54" s="379">
        <f>CB53/'IS (2)'!CB35</f>
        <v>0.54605263157894735</v>
      </c>
      <c r="CC54" s="379">
        <f>CC53/'IS (2)'!CC35</f>
        <v>0.43473426728930403</v>
      </c>
      <c r="CD54" s="379">
        <f>CD53/'IS (2)'!CD35</f>
        <v>0.53575482406356423</v>
      </c>
      <c r="CE54" s="379">
        <f>CE53/'IS (2)'!CE35</f>
        <v>0.37629459148446492</v>
      </c>
      <c r="CF54" s="378">
        <f>CF53/'IS (2)'!CF35</f>
        <v>0.36741573033707869</v>
      </c>
      <c r="CG54" s="379">
        <f>CG53/'IS (2)'!CG35</f>
        <v>0.50813953488372099</v>
      </c>
      <c r="CH54" s="379">
        <f>CH53/'IS (2)'!CH35</f>
        <v>0.64269141531322505</v>
      </c>
      <c r="CI54" s="379">
        <f>CI53/'IS (2)'!CI35</f>
        <v>0.54587688734030204</v>
      </c>
      <c r="CJ54" s="379">
        <f>CJ53/'IS (2)'!CJ35</f>
        <v>0.755868544600939</v>
      </c>
      <c r="CK54" s="378">
        <f>CK53/'IS (2)'!CK35</f>
        <v>0.7505827505827507</v>
      </c>
      <c r="CL54" s="379">
        <f>CL53/'IS (2)'!CL35</f>
        <v>3.9062870699881378</v>
      </c>
      <c r="CM54" s="379">
        <f>CM53/'IS (2)'!CM35</f>
        <v>3.5095011876484561</v>
      </c>
      <c r="CN54" s="379">
        <f>CN53/'IS (2)'!CN35</f>
        <v>3.7063020214030908</v>
      </c>
      <c r="CO54" s="379">
        <f>CO53/'IS (2)'!CO35</f>
        <v>4.7482100238663474</v>
      </c>
      <c r="CP54" s="378">
        <f>CP53/'IS (2)'!CP35</f>
        <v>4.7312722948870389</v>
      </c>
      <c r="CQ54" s="378">
        <f>CQ53/'IS (2)'!CQ35</f>
        <v>3.0441636582430798</v>
      </c>
      <c r="CR54" s="378">
        <f>CR53/'IS (2)'!CR35</f>
        <v>2.82562034739454</v>
      </c>
      <c r="CS54" s="378">
        <f>CS53/'IS (2)'!CS35</f>
        <v>3.1890119663648111</v>
      </c>
    </row>
    <row r="55" spans="2:97" ht="12" customHeight="1">
      <c r="B55" s="197" t="s">
        <v>146</v>
      </c>
      <c r="C55" s="377" t="e">
        <f t="shared" ref="C55:AH55" si="97">C41</f>
        <v>#REF!</v>
      </c>
      <c r="D55" s="377" t="e">
        <f t="shared" si="97"/>
        <v>#REF!</v>
      </c>
      <c r="E55" s="377" t="e">
        <f t="shared" si="97"/>
        <v>#REF!</v>
      </c>
      <c r="F55" s="377" t="e">
        <f t="shared" si="97"/>
        <v>#REF!</v>
      </c>
      <c r="G55" s="377" t="e">
        <f t="shared" si="97"/>
        <v>#REF!</v>
      </c>
      <c r="H55" s="377" t="e">
        <f t="shared" si="97"/>
        <v>#REF!</v>
      </c>
      <c r="I55" s="377" t="e">
        <f t="shared" si="97"/>
        <v>#REF!</v>
      </c>
      <c r="J55" s="376" t="e">
        <f t="shared" si="97"/>
        <v>#REF!</v>
      </c>
      <c r="K55" s="376" t="e">
        <f t="shared" si="97"/>
        <v>#REF!</v>
      </c>
      <c r="L55" s="376" t="e">
        <f t="shared" si="97"/>
        <v>#REF!</v>
      </c>
      <c r="M55" s="376" t="e">
        <f t="shared" si="97"/>
        <v>#REF!</v>
      </c>
      <c r="N55" s="377" t="e">
        <f t="shared" si="97"/>
        <v>#REF!</v>
      </c>
      <c r="O55" s="376" t="e">
        <f t="shared" si="97"/>
        <v>#REF!</v>
      </c>
      <c r="P55" s="376" t="e">
        <f t="shared" si="97"/>
        <v>#REF!</v>
      </c>
      <c r="Q55" s="376" t="e">
        <f t="shared" si="97"/>
        <v>#REF!</v>
      </c>
      <c r="R55" s="376" t="e">
        <f t="shared" si="97"/>
        <v>#REF!</v>
      </c>
      <c r="S55" s="377" t="e">
        <f t="shared" si="97"/>
        <v>#REF!</v>
      </c>
      <c r="T55" s="376" t="e">
        <f t="shared" si="97"/>
        <v>#REF!</v>
      </c>
      <c r="U55" s="376" t="e">
        <f t="shared" si="97"/>
        <v>#REF!</v>
      </c>
      <c r="V55" s="376" t="e">
        <f t="shared" si="97"/>
        <v>#REF!</v>
      </c>
      <c r="W55" s="376" t="e">
        <f t="shared" si="97"/>
        <v>#REF!</v>
      </c>
      <c r="X55" s="377" t="e">
        <f t="shared" si="97"/>
        <v>#REF!</v>
      </c>
      <c r="Y55" s="376" t="e">
        <f t="shared" si="97"/>
        <v>#REF!</v>
      </c>
      <c r="Z55" s="376" t="e">
        <f t="shared" si="97"/>
        <v>#REF!</v>
      </c>
      <c r="AA55" s="376" t="e">
        <f t="shared" si="97"/>
        <v>#REF!</v>
      </c>
      <c r="AB55" s="376" t="e">
        <f t="shared" si="97"/>
        <v>#REF!</v>
      </c>
      <c r="AC55" s="377" t="e">
        <f t="shared" si="97"/>
        <v>#REF!</v>
      </c>
      <c r="AD55" s="376" t="e">
        <f t="shared" si="97"/>
        <v>#REF!</v>
      </c>
      <c r="AE55" s="376" t="e">
        <f t="shared" si="97"/>
        <v>#REF!</v>
      </c>
      <c r="AF55" s="376" t="e">
        <f t="shared" si="97"/>
        <v>#REF!</v>
      </c>
      <c r="AG55" s="376" t="e">
        <f t="shared" si="97"/>
        <v>#REF!</v>
      </c>
      <c r="AH55" s="377" t="e">
        <f t="shared" si="97"/>
        <v>#REF!</v>
      </c>
      <c r="AI55" s="376" t="e">
        <f t="shared" ref="AI55:BN55" si="98">AI41</f>
        <v>#REF!</v>
      </c>
      <c r="AJ55" s="376" t="e">
        <f t="shared" si="98"/>
        <v>#REF!</v>
      </c>
      <c r="AK55" s="376" t="e">
        <f t="shared" si="98"/>
        <v>#REF!</v>
      </c>
      <c r="AL55" s="376" t="e">
        <f t="shared" si="98"/>
        <v>#REF!</v>
      </c>
      <c r="AM55" s="377" t="e">
        <f t="shared" si="98"/>
        <v>#REF!</v>
      </c>
      <c r="AN55" s="376" t="e">
        <f t="shared" si="98"/>
        <v>#REF!</v>
      </c>
      <c r="AO55" s="376" t="e">
        <f t="shared" si="98"/>
        <v>#REF!</v>
      </c>
      <c r="AP55" s="376" t="e">
        <f t="shared" si="98"/>
        <v>#REF!</v>
      </c>
      <c r="AQ55" s="376" t="e">
        <f t="shared" si="98"/>
        <v>#REF!</v>
      </c>
      <c r="AR55" s="377" t="e">
        <f t="shared" si="98"/>
        <v>#REF!</v>
      </c>
      <c r="AS55" s="376" t="e">
        <f t="shared" si="98"/>
        <v>#REF!</v>
      </c>
      <c r="AT55" s="376" t="e">
        <f t="shared" si="98"/>
        <v>#REF!</v>
      </c>
      <c r="AU55" s="376" t="e">
        <f t="shared" si="98"/>
        <v>#REF!</v>
      </c>
      <c r="AV55" s="376" t="e">
        <f t="shared" si="98"/>
        <v>#REF!</v>
      </c>
      <c r="AW55" s="377" t="e">
        <f t="shared" si="98"/>
        <v>#REF!</v>
      </c>
      <c r="AX55" s="376" t="e">
        <f t="shared" si="98"/>
        <v>#REF!</v>
      </c>
      <c r="AY55" s="376" t="e">
        <f t="shared" si="98"/>
        <v>#REF!</v>
      </c>
      <c r="AZ55" s="376" t="e">
        <f t="shared" si="98"/>
        <v>#REF!</v>
      </c>
      <c r="BA55" s="376" t="e">
        <f t="shared" si="98"/>
        <v>#REF!</v>
      </c>
      <c r="BB55" s="377" t="e">
        <f t="shared" si="98"/>
        <v>#REF!</v>
      </c>
      <c r="BC55" s="376" t="e">
        <f t="shared" si="98"/>
        <v>#REF!</v>
      </c>
      <c r="BD55" s="376" t="e">
        <f t="shared" si="98"/>
        <v>#REF!</v>
      </c>
      <c r="BE55" s="376" t="e">
        <f t="shared" si="98"/>
        <v>#REF!</v>
      </c>
      <c r="BF55" s="376" t="e">
        <f t="shared" si="98"/>
        <v>#REF!</v>
      </c>
      <c r="BG55" s="377" t="e">
        <f t="shared" si="98"/>
        <v>#REF!</v>
      </c>
      <c r="BH55" s="376" t="e">
        <f t="shared" si="98"/>
        <v>#REF!</v>
      </c>
      <c r="BI55" s="376" t="e">
        <f t="shared" si="98"/>
        <v>#REF!</v>
      </c>
      <c r="BJ55" s="376" t="e">
        <f t="shared" si="98"/>
        <v>#REF!</v>
      </c>
      <c r="BK55" s="376" t="e">
        <f t="shared" si="98"/>
        <v>#REF!</v>
      </c>
      <c r="BL55" s="377" t="e">
        <f t="shared" si="98"/>
        <v>#REF!</v>
      </c>
      <c r="BM55" s="376" t="e">
        <f t="shared" si="98"/>
        <v>#REF!</v>
      </c>
      <c r="BN55" s="376" t="e">
        <f t="shared" si="98"/>
        <v>#REF!</v>
      </c>
      <c r="BO55" s="376" t="e">
        <f t="shared" ref="BO55:CS55" si="99">BO41</f>
        <v>#REF!</v>
      </c>
      <c r="BP55" s="376" t="e">
        <f t="shared" si="99"/>
        <v>#REF!</v>
      </c>
      <c r="BQ55" s="377" t="e">
        <f t="shared" si="99"/>
        <v>#REF!</v>
      </c>
      <c r="BR55" s="376" t="e">
        <f t="shared" si="99"/>
        <v>#REF!</v>
      </c>
      <c r="BS55" s="376" t="e">
        <f t="shared" si="99"/>
        <v>#REF!</v>
      </c>
      <c r="BT55" s="376" t="e">
        <f t="shared" si="99"/>
        <v>#REF!</v>
      </c>
      <c r="BU55" s="376" t="e">
        <f t="shared" si="99"/>
        <v>#REF!</v>
      </c>
      <c r="BV55" s="377" t="e">
        <f t="shared" si="99"/>
        <v>#REF!</v>
      </c>
      <c r="BW55" s="376" t="e">
        <f t="shared" si="99"/>
        <v>#REF!</v>
      </c>
      <c r="BX55" s="376" t="e">
        <f t="shared" si="99"/>
        <v>#REF!</v>
      </c>
      <c r="BY55" s="376" t="e">
        <f t="shared" si="99"/>
        <v>#REF!</v>
      </c>
      <c r="BZ55" s="376" t="e">
        <f t="shared" si="99"/>
        <v>#REF!</v>
      </c>
      <c r="CA55" s="377" t="e">
        <f t="shared" si="99"/>
        <v>#REF!</v>
      </c>
      <c r="CB55" s="376" t="e">
        <f t="shared" si="99"/>
        <v>#REF!</v>
      </c>
      <c r="CC55" s="376" t="e">
        <f t="shared" si="99"/>
        <v>#REF!</v>
      </c>
      <c r="CD55" s="376" t="e">
        <f t="shared" si="99"/>
        <v>#REF!</v>
      </c>
      <c r="CE55" s="376" t="e">
        <f t="shared" si="99"/>
        <v>#REF!</v>
      </c>
      <c r="CF55" s="377" t="e">
        <f t="shared" si="99"/>
        <v>#REF!</v>
      </c>
      <c r="CG55" s="376" t="e">
        <f t="shared" si="99"/>
        <v>#REF!</v>
      </c>
      <c r="CH55" s="376" t="e">
        <f t="shared" si="99"/>
        <v>#REF!</v>
      </c>
      <c r="CI55" s="376" t="e">
        <f t="shared" si="99"/>
        <v>#REF!</v>
      </c>
      <c r="CJ55" s="376" t="e">
        <f t="shared" si="99"/>
        <v>#REF!</v>
      </c>
      <c r="CK55" s="377" t="e">
        <f t="shared" si="99"/>
        <v>#REF!</v>
      </c>
      <c r="CL55" s="376" t="e">
        <f t="shared" si="99"/>
        <v>#REF!</v>
      </c>
      <c r="CM55" s="376" t="e">
        <f t="shared" si="99"/>
        <v>#REF!</v>
      </c>
      <c r="CN55" s="376" t="e">
        <f t="shared" si="99"/>
        <v>#REF!</v>
      </c>
      <c r="CO55" s="376" t="e">
        <f t="shared" si="99"/>
        <v>#REF!</v>
      </c>
      <c r="CP55" s="377" t="e">
        <f t="shared" si="99"/>
        <v>#REF!</v>
      </c>
      <c r="CQ55" s="377" t="e">
        <f t="shared" si="99"/>
        <v>#REF!</v>
      </c>
      <c r="CR55" s="377" t="e">
        <f t="shared" si="99"/>
        <v>#REF!</v>
      </c>
      <c r="CS55" s="377" t="e">
        <f t="shared" si="99"/>
        <v>#REF!</v>
      </c>
    </row>
    <row r="56" spans="2:97" ht="12" customHeight="1">
      <c r="B56" s="197" t="s">
        <v>147</v>
      </c>
      <c r="C56" s="377">
        <f t="shared" ref="C56:AH56" si="100">C30</f>
        <v>304.54599999999999</v>
      </c>
      <c r="D56" s="377">
        <f t="shared" si="100"/>
        <v>802.37599999999998</v>
      </c>
      <c r="E56" s="377">
        <f t="shared" si="100"/>
        <v>712.5</v>
      </c>
      <c r="F56" s="377">
        <f t="shared" si="100"/>
        <v>627.1</v>
      </c>
      <c r="G56" s="377">
        <f t="shared" si="100"/>
        <v>668.5</v>
      </c>
      <c r="H56" s="377">
        <f t="shared" si="100"/>
        <v>0</v>
      </c>
      <c r="I56" s="377">
        <f t="shared" si="100"/>
        <v>481.3</v>
      </c>
      <c r="J56" s="376">
        <f t="shared" si="100"/>
        <v>469.8</v>
      </c>
      <c r="K56" s="376">
        <f t="shared" si="100"/>
        <v>465.1</v>
      </c>
      <c r="L56" s="376">
        <f t="shared" si="100"/>
        <v>453.6</v>
      </c>
      <c r="M56" s="376">
        <f t="shared" si="100"/>
        <v>430.4</v>
      </c>
      <c r="N56" s="377">
        <f t="shared" si="100"/>
        <v>430.4</v>
      </c>
      <c r="O56" s="376">
        <f t="shared" si="100"/>
        <v>478.4</v>
      </c>
      <c r="P56" s="376">
        <f t="shared" si="100"/>
        <v>447.9</v>
      </c>
      <c r="Q56" s="376">
        <f t="shared" si="100"/>
        <v>422.4</v>
      </c>
      <c r="R56" s="376">
        <f t="shared" si="100"/>
        <v>416.8</v>
      </c>
      <c r="S56" s="377">
        <f t="shared" si="100"/>
        <v>416.8</v>
      </c>
      <c r="T56" s="376">
        <f t="shared" si="100"/>
        <v>446.3</v>
      </c>
      <c r="U56" s="376">
        <f t="shared" si="100"/>
        <v>422.5</v>
      </c>
      <c r="V56" s="376">
        <f t="shared" si="100"/>
        <v>426.8</v>
      </c>
      <c r="W56" s="376">
        <f t="shared" si="100"/>
        <v>409.8</v>
      </c>
      <c r="X56" s="377">
        <f t="shared" si="100"/>
        <v>409.8</v>
      </c>
      <c r="Y56" s="376">
        <f t="shared" si="100"/>
        <v>419.4</v>
      </c>
      <c r="Z56" s="376">
        <f t="shared" si="100"/>
        <v>401.9</v>
      </c>
      <c r="AA56" s="376">
        <f t="shared" si="100"/>
        <v>322.8</v>
      </c>
      <c r="AB56" s="376">
        <f t="shared" si="100"/>
        <v>315.5</v>
      </c>
      <c r="AC56" s="377">
        <f t="shared" si="100"/>
        <v>315.5</v>
      </c>
      <c r="AD56" s="376">
        <f t="shared" si="100"/>
        <v>371.1</v>
      </c>
      <c r="AE56" s="376">
        <f t="shared" si="100"/>
        <v>393.8</v>
      </c>
      <c r="AF56" s="376">
        <f t="shared" si="100"/>
        <v>393.1</v>
      </c>
      <c r="AG56" s="376">
        <f t="shared" si="100"/>
        <v>392.5</v>
      </c>
      <c r="AH56" s="377">
        <f t="shared" si="100"/>
        <v>392.5</v>
      </c>
      <c r="AI56" s="376">
        <f t="shared" ref="AI56:BN56" si="101">AI30</f>
        <v>392</v>
      </c>
      <c r="AJ56" s="376">
        <f t="shared" si="101"/>
        <v>390.8</v>
      </c>
      <c r="AK56" s="376">
        <f t="shared" si="101"/>
        <v>388.8</v>
      </c>
      <c r="AL56" s="376">
        <f t="shared" si="101"/>
        <v>358.8</v>
      </c>
      <c r="AM56" s="377">
        <f t="shared" si="101"/>
        <v>358.8</v>
      </c>
      <c r="AN56" s="376">
        <f t="shared" si="101"/>
        <v>358.6</v>
      </c>
      <c r="AO56" s="376">
        <f t="shared" si="101"/>
        <v>356.8</v>
      </c>
      <c r="AP56" s="376">
        <f t="shared" si="101"/>
        <v>321.10000000000002</v>
      </c>
      <c r="AQ56" s="376">
        <f t="shared" si="101"/>
        <v>304.60000000000002</v>
      </c>
      <c r="AR56" s="377">
        <f t="shared" si="101"/>
        <v>304.60000000000002</v>
      </c>
      <c r="AS56" s="376">
        <f t="shared" si="101"/>
        <v>268.39999999999998</v>
      </c>
      <c r="AT56" s="376">
        <f t="shared" si="101"/>
        <v>242.1</v>
      </c>
      <c r="AU56" s="376">
        <f t="shared" si="101"/>
        <v>236.9</v>
      </c>
      <c r="AV56" s="376">
        <f t="shared" si="101"/>
        <v>238.3</v>
      </c>
      <c r="AW56" s="377">
        <f t="shared" si="101"/>
        <v>238.3</v>
      </c>
      <c r="AX56" s="376">
        <f t="shared" si="101"/>
        <v>294.8</v>
      </c>
      <c r="AY56" s="376">
        <f t="shared" si="101"/>
        <v>280.7</v>
      </c>
      <c r="AZ56" s="376">
        <f t="shared" si="101"/>
        <v>279.3</v>
      </c>
      <c r="BA56" s="376">
        <f t="shared" si="101"/>
        <v>240</v>
      </c>
      <c r="BB56" s="377">
        <f t="shared" si="101"/>
        <v>240</v>
      </c>
      <c r="BC56" s="376">
        <f t="shared" si="101"/>
        <v>258.5</v>
      </c>
      <c r="BD56" s="376">
        <f t="shared" si="101"/>
        <v>309</v>
      </c>
      <c r="BE56" s="376">
        <f t="shared" si="101"/>
        <v>262</v>
      </c>
      <c r="BF56" s="376">
        <f t="shared" si="101"/>
        <v>292</v>
      </c>
      <c r="BG56" s="377">
        <f t="shared" si="101"/>
        <v>292</v>
      </c>
      <c r="BH56" s="376">
        <f t="shared" si="101"/>
        <v>352</v>
      </c>
      <c r="BI56" s="376">
        <f t="shared" si="101"/>
        <v>395</v>
      </c>
      <c r="BJ56" s="376">
        <f t="shared" si="101"/>
        <v>430</v>
      </c>
      <c r="BK56" s="376">
        <f t="shared" si="101"/>
        <v>415</v>
      </c>
      <c r="BL56" s="377">
        <f t="shared" si="101"/>
        <v>415</v>
      </c>
      <c r="BM56" s="376">
        <f t="shared" si="101"/>
        <v>480</v>
      </c>
      <c r="BN56" s="376">
        <f t="shared" si="101"/>
        <v>508</v>
      </c>
      <c r="BO56" s="376">
        <f t="shared" ref="BO56:CS56" si="102">BO30</f>
        <v>596.4</v>
      </c>
      <c r="BP56" s="376">
        <f t="shared" si="102"/>
        <v>576.5</v>
      </c>
      <c r="BQ56" s="377">
        <f t="shared" si="102"/>
        <v>576.5</v>
      </c>
      <c r="BR56" s="376">
        <f t="shared" si="102"/>
        <v>688</v>
      </c>
      <c r="BS56" s="376">
        <f t="shared" si="102"/>
        <v>706.8</v>
      </c>
      <c r="BT56" s="376">
        <f t="shared" si="102"/>
        <v>670.2</v>
      </c>
      <c r="BU56" s="376">
        <f t="shared" si="102"/>
        <v>684.4</v>
      </c>
      <c r="BV56" s="377">
        <f t="shared" si="102"/>
        <v>684.4</v>
      </c>
      <c r="BW56" s="376">
        <f t="shared" si="102"/>
        <v>837</v>
      </c>
      <c r="BX56" s="376">
        <f t="shared" si="102"/>
        <v>817.3</v>
      </c>
      <c r="BY56" s="376">
        <f t="shared" si="102"/>
        <v>829.6</v>
      </c>
      <c r="BZ56" s="376">
        <f t="shared" si="102"/>
        <v>805.6</v>
      </c>
      <c r="CA56" s="377">
        <f t="shared" si="102"/>
        <v>805.6</v>
      </c>
      <c r="CB56" s="376">
        <f t="shared" si="102"/>
        <v>835.6</v>
      </c>
      <c r="CC56" s="376">
        <f t="shared" si="102"/>
        <v>930.1</v>
      </c>
      <c r="CD56" s="376">
        <f t="shared" si="102"/>
        <v>980.7</v>
      </c>
      <c r="CE56" s="376">
        <f t="shared" si="102"/>
        <v>947.4</v>
      </c>
      <c r="CF56" s="377">
        <f t="shared" si="102"/>
        <v>947.4</v>
      </c>
      <c r="CG56" s="376">
        <f t="shared" si="102"/>
        <v>1160</v>
      </c>
      <c r="CH56" s="376">
        <f t="shared" si="102"/>
        <v>1115.8</v>
      </c>
      <c r="CI56" s="376">
        <f t="shared" si="102"/>
        <v>1115.2</v>
      </c>
      <c r="CJ56" s="376">
        <f t="shared" si="102"/>
        <v>1050.5999999999999</v>
      </c>
      <c r="CK56" s="377">
        <f t="shared" si="102"/>
        <v>1050.5999999999999</v>
      </c>
      <c r="CL56" s="376">
        <f t="shared" si="102"/>
        <v>1389.5</v>
      </c>
      <c r="CM56" s="376">
        <f t="shared" si="102"/>
        <v>1389.5</v>
      </c>
      <c r="CN56" s="376">
        <f t="shared" si="102"/>
        <v>1364.5</v>
      </c>
      <c r="CO56" s="376">
        <f t="shared" si="102"/>
        <v>1314.5</v>
      </c>
      <c r="CP56" s="377">
        <f t="shared" si="102"/>
        <v>1314.5</v>
      </c>
      <c r="CQ56" s="377">
        <f t="shared" si="102"/>
        <v>1014.5</v>
      </c>
      <c r="CR56" s="377">
        <f t="shared" si="102"/>
        <v>914.5</v>
      </c>
      <c r="CS56" s="377">
        <f t="shared" si="102"/>
        <v>914.5</v>
      </c>
    </row>
    <row r="57" spans="2:97" ht="12" customHeight="1">
      <c r="B57" s="197" t="s">
        <v>148</v>
      </c>
      <c r="C57" s="377">
        <f t="shared" ref="C57:AH57" si="103">C56-C53</f>
        <v>295.51299999999998</v>
      </c>
      <c r="D57" s="377">
        <f t="shared" si="103"/>
        <v>794.87199999999996</v>
      </c>
      <c r="E57" s="377">
        <f t="shared" si="103"/>
        <v>712.3</v>
      </c>
      <c r="F57" s="377">
        <f t="shared" si="103"/>
        <v>622</v>
      </c>
      <c r="G57" s="377">
        <f t="shared" si="103"/>
        <v>656.9</v>
      </c>
      <c r="H57" s="377">
        <f t="shared" si="103"/>
        <v>-8.1999999999999993</v>
      </c>
      <c r="I57" s="377">
        <f t="shared" si="103"/>
        <v>439.6</v>
      </c>
      <c r="J57" s="376">
        <f t="shared" si="103"/>
        <v>445.8</v>
      </c>
      <c r="K57" s="376">
        <f t="shared" si="103"/>
        <v>420</v>
      </c>
      <c r="L57" s="376">
        <f t="shared" si="103"/>
        <v>402.1</v>
      </c>
      <c r="M57" s="376">
        <f t="shared" si="103"/>
        <v>373.2</v>
      </c>
      <c r="N57" s="377">
        <f t="shared" si="103"/>
        <v>373.2</v>
      </c>
      <c r="O57" s="376">
        <f t="shared" si="103"/>
        <v>452.2</v>
      </c>
      <c r="P57" s="376">
        <f t="shared" si="103"/>
        <v>429.4</v>
      </c>
      <c r="Q57" s="376">
        <f t="shared" si="103"/>
        <v>410.09999999999997</v>
      </c>
      <c r="R57" s="376">
        <f t="shared" si="103"/>
        <v>395.8</v>
      </c>
      <c r="S57" s="377">
        <f t="shared" si="103"/>
        <v>395.8</v>
      </c>
      <c r="T57" s="376">
        <f t="shared" si="103"/>
        <v>422.40000000000003</v>
      </c>
      <c r="U57" s="376">
        <f t="shared" si="103"/>
        <v>413.7</v>
      </c>
      <c r="V57" s="376">
        <f t="shared" si="103"/>
        <v>413.8</v>
      </c>
      <c r="W57" s="376">
        <f t="shared" si="103"/>
        <v>384.1</v>
      </c>
      <c r="X57" s="377">
        <f t="shared" si="103"/>
        <v>384.1</v>
      </c>
      <c r="Y57" s="376">
        <f t="shared" si="103"/>
        <v>385.9</v>
      </c>
      <c r="Z57" s="376">
        <f t="shared" si="103"/>
        <v>365.9</v>
      </c>
      <c r="AA57" s="376">
        <f t="shared" si="103"/>
        <v>291.40000000000003</v>
      </c>
      <c r="AB57" s="376">
        <f t="shared" si="103"/>
        <v>287.39999999999998</v>
      </c>
      <c r="AC57" s="377">
        <f t="shared" si="103"/>
        <v>287.39999999999998</v>
      </c>
      <c r="AD57" s="376">
        <f t="shared" si="103"/>
        <v>344.70000000000005</v>
      </c>
      <c r="AE57" s="376">
        <f t="shared" si="103"/>
        <v>374.5</v>
      </c>
      <c r="AF57" s="376">
        <f t="shared" si="103"/>
        <v>344.40000000000003</v>
      </c>
      <c r="AG57" s="376">
        <f t="shared" si="103"/>
        <v>341.6</v>
      </c>
      <c r="AH57" s="377">
        <f t="shared" si="103"/>
        <v>341.6</v>
      </c>
      <c r="AI57" s="376">
        <f t="shared" ref="AI57:BN57" si="104">AI56-AI53</f>
        <v>365</v>
      </c>
      <c r="AJ57" s="376">
        <f t="shared" si="104"/>
        <v>318.20000000000005</v>
      </c>
      <c r="AK57" s="376">
        <f t="shared" si="104"/>
        <v>294.10000000000002</v>
      </c>
      <c r="AL57" s="376">
        <f t="shared" si="104"/>
        <v>248.70000000000002</v>
      </c>
      <c r="AM57" s="377">
        <f t="shared" si="104"/>
        <v>248.70000000000002</v>
      </c>
      <c r="AN57" s="376">
        <f t="shared" si="104"/>
        <v>292.90000000000003</v>
      </c>
      <c r="AO57" s="376">
        <f t="shared" si="104"/>
        <v>272.8</v>
      </c>
      <c r="AP57" s="376">
        <f t="shared" si="104"/>
        <v>242.60000000000002</v>
      </c>
      <c r="AQ57" s="376">
        <f t="shared" si="104"/>
        <v>187.40000000000003</v>
      </c>
      <c r="AR57" s="377">
        <f t="shared" si="104"/>
        <v>187.40000000000003</v>
      </c>
      <c r="AS57" s="376">
        <f t="shared" si="104"/>
        <v>217.79999999999998</v>
      </c>
      <c r="AT57" s="376">
        <f t="shared" si="104"/>
        <v>186.2</v>
      </c>
      <c r="AU57" s="376">
        <f t="shared" si="104"/>
        <v>188.5</v>
      </c>
      <c r="AV57" s="376">
        <f t="shared" si="104"/>
        <v>188.8</v>
      </c>
      <c r="AW57" s="377">
        <f t="shared" si="104"/>
        <v>188.8</v>
      </c>
      <c r="AX57" s="376">
        <f t="shared" si="104"/>
        <v>246.10000000000002</v>
      </c>
      <c r="AY57" s="376">
        <f t="shared" si="104"/>
        <v>248.1</v>
      </c>
      <c r="AZ57" s="376">
        <f t="shared" si="104"/>
        <v>236.10000000000002</v>
      </c>
      <c r="BA57" s="376">
        <f t="shared" si="104"/>
        <v>207.4</v>
      </c>
      <c r="BB57" s="377">
        <f t="shared" si="104"/>
        <v>207.4</v>
      </c>
      <c r="BC57" s="376">
        <f t="shared" si="104"/>
        <v>240.2</v>
      </c>
      <c r="BD57" s="376">
        <f t="shared" si="104"/>
        <v>252.3</v>
      </c>
      <c r="BE57" s="376">
        <f t="shared" si="104"/>
        <v>202.3</v>
      </c>
      <c r="BF57" s="376">
        <f t="shared" si="104"/>
        <v>226.5</v>
      </c>
      <c r="BG57" s="377">
        <f t="shared" si="104"/>
        <v>226.5</v>
      </c>
      <c r="BH57" s="376">
        <f t="shared" si="104"/>
        <v>302</v>
      </c>
      <c r="BI57" s="376">
        <f t="shared" si="104"/>
        <v>351.2</v>
      </c>
      <c r="BJ57" s="376">
        <f t="shared" si="104"/>
        <v>392.3</v>
      </c>
      <c r="BK57" s="376">
        <f t="shared" si="104"/>
        <v>344.1</v>
      </c>
      <c r="BL57" s="377">
        <f t="shared" si="104"/>
        <v>344.1</v>
      </c>
      <c r="BM57" s="376">
        <f t="shared" si="104"/>
        <v>457.3</v>
      </c>
      <c r="BN57" s="376">
        <f t="shared" si="104"/>
        <v>472.7</v>
      </c>
      <c r="BO57" s="376">
        <f t="shared" ref="BO57:CS57" si="105">BO56-BO53</f>
        <v>553.19999999999993</v>
      </c>
      <c r="BP57" s="376">
        <f t="shared" si="105"/>
        <v>524.70000000000005</v>
      </c>
      <c r="BQ57" s="377">
        <f t="shared" si="105"/>
        <v>524.70000000000005</v>
      </c>
      <c r="BR57" s="376">
        <f t="shared" si="105"/>
        <v>663.8</v>
      </c>
      <c r="BS57" s="376">
        <f t="shared" si="105"/>
        <v>667.9</v>
      </c>
      <c r="BT57" s="376">
        <f t="shared" si="105"/>
        <v>624.5</v>
      </c>
      <c r="BU57" s="376">
        <f t="shared" si="105"/>
        <v>649.19999999999993</v>
      </c>
      <c r="BV57" s="377">
        <f t="shared" si="105"/>
        <v>649.19999999999993</v>
      </c>
      <c r="BW57" s="376">
        <f t="shared" si="105"/>
        <v>754.9</v>
      </c>
      <c r="BX57" s="376">
        <f t="shared" si="105"/>
        <v>771.8</v>
      </c>
      <c r="BY57" s="376">
        <f t="shared" si="105"/>
        <v>710.5</v>
      </c>
      <c r="BZ57" s="376">
        <f t="shared" si="105"/>
        <v>745.5</v>
      </c>
      <c r="CA57" s="377">
        <f t="shared" si="105"/>
        <v>745.5</v>
      </c>
      <c r="CB57" s="376">
        <f t="shared" si="105"/>
        <v>785.80000000000007</v>
      </c>
      <c r="CC57" s="376">
        <f t="shared" si="105"/>
        <v>891</v>
      </c>
      <c r="CD57" s="376">
        <f t="shared" si="105"/>
        <v>933.5</v>
      </c>
      <c r="CE57" s="376">
        <f t="shared" si="105"/>
        <v>914.69999999999993</v>
      </c>
      <c r="CF57" s="377">
        <f t="shared" si="105"/>
        <v>914.69999999999993</v>
      </c>
      <c r="CG57" s="376">
        <f t="shared" si="105"/>
        <v>1116.3</v>
      </c>
      <c r="CH57" s="376">
        <f t="shared" si="105"/>
        <v>1060.3999999999999</v>
      </c>
      <c r="CI57" s="376">
        <f t="shared" si="105"/>
        <v>1068.2</v>
      </c>
      <c r="CJ57" s="376">
        <f t="shared" si="105"/>
        <v>986.19999999999993</v>
      </c>
      <c r="CK57" s="377">
        <f t="shared" si="105"/>
        <v>986.19999999999993</v>
      </c>
      <c r="CL57" s="376">
        <f t="shared" si="105"/>
        <v>1060.2</v>
      </c>
      <c r="CM57" s="376">
        <f t="shared" si="105"/>
        <v>1094</v>
      </c>
      <c r="CN57" s="376">
        <f t="shared" si="105"/>
        <v>1052.8</v>
      </c>
      <c r="CO57" s="376">
        <f t="shared" si="105"/>
        <v>916.6</v>
      </c>
      <c r="CP57" s="377">
        <f t="shared" si="105"/>
        <v>916.6</v>
      </c>
      <c r="CQ57" s="377">
        <f t="shared" si="105"/>
        <v>761.53</v>
      </c>
      <c r="CR57" s="377">
        <f t="shared" si="105"/>
        <v>686.75500000000011</v>
      </c>
      <c r="CS57" s="377">
        <f t="shared" si="105"/>
        <v>667.98937500000011</v>
      </c>
    </row>
    <row r="58" spans="2:97" ht="12" customHeight="1">
      <c r="B58" s="197" t="s">
        <v>149</v>
      </c>
      <c r="C58" s="233" t="e">
        <f t="shared" ref="C58:AH58" si="106">C56/(C56+C55)</f>
        <v>#REF!</v>
      </c>
      <c r="D58" s="233" t="e">
        <f t="shared" si="106"/>
        <v>#REF!</v>
      </c>
      <c r="E58" s="233" t="e">
        <f t="shared" si="106"/>
        <v>#REF!</v>
      </c>
      <c r="F58" s="233" t="e">
        <f t="shared" si="106"/>
        <v>#REF!</v>
      </c>
      <c r="G58" s="233" t="e">
        <f t="shared" si="106"/>
        <v>#REF!</v>
      </c>
      <c r="H58" s="233" t="e">
        <f t="shared" si="106"/>
        <v>#REF!</v>
      </c>
      <c r="I58" s="233" t="e">
        <f t="shared" si="106"/>
        <v>#REF!</v>
      </c>
      <c r="J58" s="234" t="e">
        <f t="shared" si="106"/>
        <v>#REF!</v>
      </c>
      <c r="K58" s="234" t="e">
        <f t="shared" si="106"/>
        <v>#REF!</v>
      </c>
      <c r="L58" s="234" t="e">
        <f t="shared" si="106"/>
        <v>#REF!</v>
      </c>
      <c r="M58" s="234" t="e">
        <f t="shared" si="106"/>
        <v>#REF!</v>
      </c>
      <c r="N58" s="233" t="e">
        <f t="shared" si="106"/>
        <v>#REF!</v>
      </c>
      <c r="O58" s="234" t="e">
        <f t="shared" si="106"/>
        <v>#REF!</v>
      </c>
      <c r="P58" s="234" t="e">
        <f t="shared" si="106"/>
        <v>#REF!</v>
      </c>
      <c r="Q58" s="234" t="e">
        <f t="shared" si="106"/>
        <v>#REF!</v>
      </c>
      <c r="R58" s="234" t="e">
        <f t="shared" si="106"/>
        <v>#REF!</v>
      </c>
      <c r="S58" s="233" t="e">
        <f t="shared" si="106"/>
        <v>#REF!</v>
      </c>
      <c r="T58" s="234" t="e">
        <f t="shared" si="106"/>
        <v>#REF!</v>
      </c>
      <c r="U58" s="234" t="e">
        <f t="shared" si="106"/>
        <v>#REF!</v>
      </c>
      <c r="V58" s="234" t="e">
        <f t="shared" si="106"/>
        <v>#REF!</v>
      </c>
      <c r="W58" s="234" t="e">
        <f t="shared" si="106"/>
        <v>#REF!</v>
      </c>
      <c r="X58" s="233" t="e">
        <f t="shared" si="106"/>
        <v>#REF!</v>
      </c>
      <c r="Y58" s="234" t="e">
        <f t="shared" si="106"/>
        <v>#REF!</v>
      </c>
      <c r="Z58" s="234" t="e">
        <f t="shared" si="106"/>
        <v>#REF!</v>
      </c>
      <c r="AA58" s="234" t="e">
        <f t="shared" si="106"/>
        <v>#REF!</v>
      </c>
      <c r="AB58" s="234" t="e">
        <f t="shared" si="106"/>
        <v>#REF!</v>
      </c>
      <c r="AC58" s="233" t="e">
        <f t="shared" si="106"/>
        <v>#REF!</v>
      </c>
      <c r="AD58" s="234" t="e">
        <f t="shared" si="106"/>
        <v>#REF!</v>
      </c>
      <c r="AE58" s="234" t="e">
        <f t="shared" si="106"/>
        <v>#REF!</v>
      </c>
      <c r="AF58" s="234" t="e">
        <f t="shared" si="106"/>
        <v>#REF!</v>
      </c>
      <c r="AG58" s="234" t="e">
        <f t="shared" si="106"/>
        <v>#REF!</v>
      </c>
      <c r="AH58" s="233" t="e">
        <f t="shared" si="106"/>
        <v>#REF!</v>
      </c>
      <c r="AI58" s="234" t="e">
        <f t="shared" ref="AI58:BN58" si="107">AI56/(AI56+AI55)</f>
        <v>#REF!</v>
      </c>
      <c r="AJ58" s="234" t="e">
        <f t="shared" si="107"/>
        <v>#REF!</v>
      </c>
      <c r="AK58" s="234" t="e">
        <f t="shared" si="107"/>
        <v>#REF!</v>
      </c>
      <c r="AL58" s="234" t="e">
        <f t="shared" si="107"/>
        <v>#REF!</v>
      </c>
      <c r="AM58" s="233" t="e">
        <f t="shared" si="107"/>
        <v>#REF!</v>
      </c>
      <c r="AN58" s="234" t="e">
        <f t="shared" si="107"/>
        <v>#REF!</v>
      </c>
      <c r="AO58" s="234" t="e">
        <f t="shared" si="107"/>
        <v>#REF!</v>
      </c>
      <c r="AP58" s="234" t="e">
        <f t="shared" si="107"/>
        <v>#REF!</v>
      </c>
      <c r="AQ58" s="234" t="e">
        <f t="shared" si="107"/>
        <v>#REF!</v>
      </c>
      <c r="AR58" s="233" t="e">
        <f t="shared" si="107"/>
        <v>#REF!</v>
      </c>
      <c r="AS58" s="234" t="e">
        <f t="shared" si="107"/>
        <v>#REF!</v>
      </c>
      <c r="AT58" s="234" t="e">
        <f t="shared" si="107"/>
        <v>#REF!</v>
      </c>
      <c r="AU58" s="234" t="e">
        <f t="shared" si="107"/>
        <v>#REF!</v>
      </c>
      <c r="AV58" s="234" t="e">
        <f t="shared" si="107"/>
        <v>#REF!</v>
      </c>
      <c r="AW58" s="233" t="e">
        <f t="shared" si="107"/>
        <v>#REF!</v>
      </c>
      <c r="AX58" s="234" t="e">
        <f t="shared" si="107"/>
        <v>#REF!</v>
      </c>
      <c r="AY58" s="234" t="e">
        <f t="shared" si="107"/>
        <v>#REF!</v>
      </c>
      <c r="AZ58" s="234" t="e">
        <f t="shared" si="107"/>
        <v>#REF!</v>
      </c>
      <c r="BA58" s="234" t="e">
        <f t="shared" si="107"/>
        <v>#REF!</v>
      </c>
      <c r="BB58" s="233" t="e">
        <f t="shared" si="107"/>
        <v>#REF!</v>
      </c>
      <c r="BC58" s="234" t="e">
        <f t="shared" si="107"/>
        <v>#REF!</v>
      </c>
      <c r="BD58" s="234" t="e">
        <f t="shared" si="107"/>
        <v>#REF!</v>
      </c>
      <c r="BE58" s="234" t="e">
        <f t="shared" si="107"/>
        <v>#REF!</v>
      </c>
      <c r="BF58" s="234" t="e">
        <f t="shared" si="107"/>
        <v>#REF!</v>
      </c>
      <c r="BG58" s="233" t="e">
        <f t="shared" si="107"/>
        <v>#REF!</v>
      </c>
      <c r="BH58" s="234" t="e">
        <f t="shared" si="107"/>
        <v>#REF!</v>
      </c>
      <c r="BI58" s="234" t="e">
        <f t="shared" si="107"/>
        <v>#REF!</v>
      </c>
      <c r="BJ58" s="234" t="e">
        <f t="shared" si="107"/>
        <v>#REF!</v>
      </c>
      <c r="BK58" s="234" t="e">
        <f t="shared" si="107"/>
        <v>#REF!</v>
      </c>
      <c r="BL58" s="233" t="e">
        <f t="shared" si="107"/>
        <v>#REF!</v>
      </c>
      <c r="BM58" s="234" t="e">
        <f t="shared" si="107"/>
        <v>#REF!</v>
      </c>
      <c r="BN58" s="234" t="e">
        <f t="shared" si="107"/>
        <v>#REF!</v>
      </c>
      <c r="BO58" s="234" t="e">
        <f t="shared" ref="BO58:CS58" si="108">BO56/(BO56+BO55)</f>
        <v>#REF!</v>
      </c>
      <c r="BP58" s="234" t="e">
        <f t="shared" si="108"/>
        <v>#REF!</v>
      </c>
      <c r="BQ58" s="233" t="e">
        <f t="shared" si="108"/>
        <v>#REF!</v>
      </c>
      <c r="BR58" s="234" t="e">
        <f t="shared" si="108"/>
        <v>#REF!</v>
      </c>
      <c r="BS58" s="234" t="e">
        <f t="shared" si="108"/>
        <v>#REF!</v>
      </c>
      <c r="BT58" s="234" t="e">
        <f t="shared" si="108"/>
        <v>#REF!</v>
      </c>
      <c r="BU58" s="234" t="e">
        <f t="shared" si="108"/>
        <v>#REF!</v>
      </c>
      <c r="BV58" s="233" t="e">
        <f t="shared" si="108"/>
        <v>#REF!</v>
      </c>
      <c r="BW58" s="234" t="e">
        <f t="shared" si="108"/>
        <v>#REF!</v>
      </c>
      <c r="BX58" s="234" t="e">
        <f t="shared" si="108"/>
        <v>#REF!</v>
      </c>
      <c r="BY58" s="234" t="e">
        <f t="shared" si="108"/>
        <v>#REF!</v>
      </c>
      <c r="BZ58" s="234" t="e">
        <f t="shared" si="108"/>
        <v>#REF!</v>
      </c>
      <c r="CA58" s="233" t="e">
        <f t="shared" si="108"/>
        <v>#REF!</v>
      </c>
      <c r="CB58" s="234" t="e">
        <f t="shared" si="108"/>
        <v>#REF!</v>
      </c>
      <c r="CC58" s="234" t="e">
        <f t="shared" si="108"/>
        <v>#REF!</v>
      </c>
      <c r="CD58" s="234" t="e">
        <f t="shared" si="108"/>
        <v>#REF!</v>
      </c>
      <c r="CE58" s="234" t="e">
        <f t="shared" si="108"/>
        <v>#REF!</v>
      </c>
      <c r="CF58" s="233" t="e">
        <f t="shared" si="108"/>
        <v>#REF!</v>
      </c>
      <c r="CG58" s="234" t="e">
        <f t="shared" si="108"/>
        <v>#REF!</v>
      </c>
      <c r="CH58" s="234" t="e">
        <f t="shared" si="108"/>
        <v>#REF!</v>
      </c>
      <c r="CI58" s="234" t="e">
        <f t="shared" si="108"/>
        <v>#REF!</v>
      </c>
      <c r="CJ58" s="234" t="e">
        <f t="shared" si="108"/>
        <v>#REF!</v>
      </c>
      <c r="CK58" s="233" t="e">
        <f t="shared" si="108"/>
        <v>#REF!</v>
      </c>
      <c r="CL58" s="234" t="e">
        <f t="shared" si="108"/>
        <v>#REF!</v>
      </c>
      <c r="CM58" s="234" t="e">
        <f t="shared" si="108"/>
        <v>#REF!</v>
      </c>
      <c r="CN58" s="234" t="e">
        <f t="shared" si="108"/>
        <v>#REF!</v>
      </c>
      <c r="CO58" s="234" t="e">
        <f t="shared" si="108"/>
        <v>#REF!</v>
      </c>
      <c r="CP58" s="233" t="e">
        <f t="shared" si="108"/>
        <v>#REF!</v>
      </c>
      <c r="CQ58" s="233" t="e">
        <f t="shared" si="108"/>
        <v>#REF!</v>
      </c>
      <c r="CR58" s="233" t="e">
        <f t="shared" si="108"/>
        <v>#REF!</v>
      </c>
      <c r="CS58" s="233" t="e">
        <f t="shared" si="108"/>
        <v>#REF!</v>
      </c>
    </row>
    <row r="59" spans="2:97" ht="12" customHeight="1">
      <c r="B59" s="197" t="s">
        <v>150</v>
      </c>
      <c r="C59" s="233" t="e">
        <f t="shared" ref="C59:AH59" si="109">C57/(C56+C55)</f>
        <v>#REF!</v>
      </c>
      <c r="D59" s="233" t="e">
        <f t="shared" si="109"/>
        <v>#REF!</v>
      </c>
      <c r="E59" s="233" t="e">
        <f t="shared" si="109"/>
        <v>#REF!</v>
      </c>
      <c r="F59" s="233" t="e">
        <f t="shared" si="109"/>
        <v>#REF!</v>
      </c>
      <c r="G59" s="233" t="e">
        <f t="shared" si="109"/>
        <v>#REF!</v>
      </c>
      <c r="H59" s="233" t="e">
        <f t="shared" si="109"/>
        <v>#REF!</v>
      </c>
      <c r="I59" s="233" t="e">
        <f t="shared" si="109"/>
        <v>#REF!</v>
      </c>
      <c r="J59" s="234" t="e">
        <f t="shared" si="109"/>
        <v>#REF!</v>
      </c>
      <c r="K59" s="234" t="e">
        <f t="shared" si="109"/>
        <v>#REF!</v>
      </c>
      <c r="L59" s="234" t="e">
        <f t="shared" si="109"/>
        <v>#REF!</v>
      </c>
      <c r="M59" s="234" t="e">
        <f t="shared" si="109"/>
        <v>#REF!</v>
      </c>
      <c r="N59" s="233" t="e">
        <f t="shared" si="109"/>
        <v>#REF!</v>
      </c>
      <c r="O59" s="234" t="e">
        <f t="shared" si="109"/>
        <v>#REF!</v>
      </c>
      <c r="P59" s="234" t="e">
        <f t="shared" si="109"/>
        <v>#REF!</v>
      </c>
      <c r="Q59" s="234" t="e">
        <f t="shared" si="109"/>
        <v>#REF!</v>
      </c>
      <c r="R59" s="234" t="e">
        <f t="shared" si="109"/>
        <v>#REF!</v>
      </c>
      <c r="S59" s="233" t="e">
        <f t="shared" si="109"/>
        <v>#REF!</v>
      </c>
      <c r="T59" s="234" t="e">
        <f t="shared" si="109"/>
        <v>#REF!</v>
      </c>
      <c r="U59" s="234" t="e">
        <f t="shared" si="109"/>
        <v>#REF!</v>
      </c>
      <c r="V59" s="234" t="e">
        <f t="shared" si="109"/>
        <v>#REF!</v>
      </c>
      <c r="W59" s="234" t="e">
        <f t="shared" si="109"/>
        <v>#REF!</v>
      </c>
      <c r="X59" s="233" t="e">
        <f t="shared" si="109"/>
        <v>#REF!</v>
      </c>
      <c r="Y59" s="234" t="e">
        <f t="shared" si="109"/>
        <v>#REF!</v>
      </c>
      <c r="Z59" s="234" t="e">
        <f t="shared" si="109"/>
        <v>#REF!</v>
      </c>
      <c r="AA59" s="234" t="e">
        <f t="shared" si="109"/>
        <v>#REF!</v>
      </c>
      <c r="AB59" s="234" t="e">
        <f t="shared" si="109"/>
        <v>#REF!</v>
      </c>
      <c r="AC59" s="233" t="e">
        <f t="shared" si="109"/>
        <v>#REF!</v>
      </c>
      <c r="AD59" s="234" t="e">
        <f t="shared" si="109"/>
        <v>#REF!</v>
      </c>
      <c r="AE59" s="234" t="e">
        <f t="shared" si="109"/>
        <v>#REF!</v>
      </c>
      <c r="AF59" s="234" t="e">
        <f t="shared" si="109"/>
        <v>#REF!</v>
      </c>
      <c r="AG59" s="234" t="e">
        <f t="shared" si="109"/>
        <v>#REF!</v>
      </c>
      <c r="AH59" s="233" t="e">
        <f t="shared" si="109"/>
        <v>#REF!</v>
      </c>
      <c r="AI59" s="234" t="e">
        <f t="shared" ref="AI59:BN59" si="110">AI57/(AI56+AI55)</f>
        <v>#REF!</v>
      </c>
      <c r="AJ59" s="234" t="e">
        <f t="shared" si="110"/>
        <v>#REF!</v>
      </c>
      <c r="AK59" s="234" t="e">
        <f t="shared" si="110"/>
        <v>#REF!</v>
      </c>
      <c r="AL59" s="234" t="e">
        <f t="shared" si="110"/>
        <v>#REF!</v>
      </c>
      <c r="AM59" s="233" t="e">
        <f t="shared" si="110"/>
        <v>#REF!</v>
      </c>
      <c r="AN59" s="234" t="e">
        <f t="shared" si="110"/>
        <v>#REF!</v>
      </c>
      <c r="AO59" s="234" t="e">
        <f t="shared" si="110"/>
        <v>#REF!</v>
      </c>
      <c r="AP59" s="234" t="e">
        <f t="shared" si="110"/>
        <v>#REF!</v>
      </c>
      <c r="AQ59" s="234" t="e">
        <f t="shared" si="110"/>
        <v>#REF!</v>
      </c>
      <c r="AR59" s="233" t="e">
        <f t="shared" si="110"/>
        <v>#REF!</v>
      </c>
      <c r="AS59" s="234" t="e">
        <f t="shared" si="110"/>
        <v>#REF!</v>
      </c>
      <c r="AT59" s="234" t="e">
        <f t="shared" si="110"/>
        <v>#REF!</v>
      </c>
      <c r="AU59" s="234" t="e">
        <f t="shared" si="110"/>
        <v>#REF!</v>
      </c>
      <c r="AV59" s="234" t="e">
        <f t="shared" si="110"/>
        <v>#REF!</v>
      </c>
      <c r="AW59" s="233" t="e">
        <f t="shared" si="110"/>
        <v>#REF!</v>
      </c>
      <c r="AX59" s="234" t="e">
        <f t="shared" si="110"/>
        <v>#REF!</v>
      </c>
      <c r="AY59" s="234" t="e">
        <f t="shared" si="110"/>
        <v>#REF!</v>
      </c>
      <c r="AZ59" s="234" t="e">
        <f t="shared" si="110"/>
        <v>#REF!</v>
      </c>
      <c r="BA59" s="234" t="e">
        <f t="shared" si="110"/>
        <v>#REF!</v>
      </c>
      <c r="BB59" s="233" t="e">
        <f t="shared" si="110"/>
        <v>#REF!</v>
      </c>
      <c r="BC59" s="234" t="e">
        <f t="shared" si="110"/>
        <v>#REF!</v>
      </c>
      <c r="BD59" s="234" t="e">
        <f t="shared" si="110"/>
        <v>#REF!</v>
      </c>
      <c r="BE59" s="234" t="e">
        <f t="shared" si="110"/>
        <v>#REF!</v>
      </c>
      <c r="BF59" s="234" t="e">
        <f t="shared" si="110"/>
        <v>#REF!</v>
      </c>
      <c r="BG59" s="233" t="e">
        <f t="shared" si="110"/>
        <v>#REF!</v>
      </c>
      <c r="BH59" s="234" t="e">
        <f t="shared" si="110"/>
        <v>#REF!</v>
      </c>
      <c r="BI59" s="234" t="e">
        <f t="shared" si="110"/>
        <v>#REF!</v>
      </c>
      <c r="BJ59" s="234" t="e">
        <f t="shared" si="110"/>
        <v>#REF!</v>
      </c>
      <c r="BK59" s="234" t="e">
        <f t="shared" si="110"/>
        <v>#REF!</v>
      </c>
      <c r="BL59" s="233" t="e">
        <f t="shared" si="110"/>
        <v>#REF!</v>
      </c>
      <c r="BM59" s="234" t="e">
        <f t="shared" si="110"/>
        <v>#REF!</v>
      </c>
      <c r="BN59" s="234" t="e">
        <f t="shared" si="110"/>
        <v>#REF!</v>
      </c>
      <c r="BO59" s="234" t="e">
        <f t="shared" ref="BO59:CS59" si="111">BO57/(BO56+BO55)</f>
        <v>#REF!</v>
      </c>
      <c r="BP59" s="234" t="e">
        <f t="shared" si="111"/>
        <v>#REF!</v>
      </c>
      <c r="BQ59" s="233" t="e">
        <f t="shared" si="111"/>
        <v>#REF!</v>
      </c>
      <c r="BR59" s="234" t="e">
        <f t="shared" si="111"/>
        <v>#REF!</v>
      </c>
      <c r="BS59" s="234" t="e">
        <f t="shared" si="111"/>
        <v>#REF!</v>
      </c>
      <c r="BT59" s="234" t="e">
        <f t="shared" si="111"/>
        <v>#REF!</v>
      </c>
      <c r="BU59" s="234" t="e">
        <f t="shared" si="111"/>
        <v>#REF!</v>
      </c>
      <c r="BV59" s="233" t="e">
        <f t="shared" si="111"/>
        <v>#REF!</v>
      </c>
      <c r="BW59" s="234" t="e">
        <f t="shared" si="111"/>
        <v>#REF!</v>
      </c>
      <c r="BX59" s="234" t="e">
        <f t="shared" si="111"/>
        <v>#REF!</v>
      </c>
      <c r="BY59" s="234" t="e">
        <f t="shared" si="111"/>
        <v>#REF!</v>
      </c>
      <c r="BZ59" s="234" t="e">
        <f t="shared" si="111"/>
        <v>#REF!</v>
      </c>
      <c r="CA59" s="233" t="e">
        <f t="shared" si="111"/>
        <v>#REF!</v>
      </c>
      <c r="CB59" s="234" t="e">
        <f t="shared" si="111"/>
        <v>#REF!</v>
      </c>
      <c r="CC59" s="234" t="e">
        <f t="shared" si="111"/>
        <v>#REF!</v>
      </c>
      <c r="CD59" s="234" t="e">
        <f t="shared" si="111"/>
        <v>#REF!</v>
      </c>
      <c r="CE59" s="234" t="e">
        <f t="shared" si="111"/>
        <v>#REF!</v>
      </c>
      <c r="CF59" s="233" t="e">
        <f t="shared" si="111"/>
        <v>#REF!</v>
      </c>
      <c r="CG59" s="234" t="e">
        <f t="shared" si="111"/>
        <v>#REF!</v>
      </c>
      <c r="CH59" s="234" t="e">
        <f t="shared" si="111"/>
        <v>#REF!</v>
      </c>
      <c r="CI59" s="234" t="e">
        <f t="shared" si="111"/>
        <v>#REF!</v>
      </c>
      <c r="CJ59" s="234" t="e">
        <f t="shared" si="111"/>
        <v>#REF!</v>
      </c>
      <c r="CK59" s="233" t="e">
        <f t="shared" si="111"/>
        <v>#REF!</v>
      </c>
      <c r="CL59" s="234" t="e">
        <f t="shared" si="111"/>
        <v>#REF!</v>
      </c>
      <c r="CM59" s="234" t="e">
        <f t="shared" si="111"/>
        <v>#REF!</v>
      </c>
      <c r="CN59" s="234" t="e">
        <f t="shared" si="111"/>
        <v>#REF!</v>
      </c>
      <c r="CO59" s="234" t="e">
        <f t="shared" si="111"/>
        <v>#REF!</v>
      </c>
      <c r="CP59" s="233" t="e">
        <f t="shared" si="111"/>
        <v>#REF!</v>
      </c>
      <c r="CQ59" s="233" t="e">
        <f t="shared" si="111"/>
        <v>#REF!</v>
      </c>
      <c r="CR59" s="233" t="e">
        <f t="shared" si="111"/>
        <v>#REF!</v>
      </c>
      <c r="CS59" s="233" t="e">
        <f t="shared" si="111"/>
        <v>#REF!</v>
      </c>
    </row>
    <row r="60" spans="2:97" ht="12" customHeight="1">
      <c r="C60" s="233"/>
      <c r="D60" s="233"/>
      <c r="E60" s="233"/>
      <c r="F60" s="233"/>
      <c r="G60" s="233"/>
      <c r="H60" s="233"/>
      <c r="I60" s="233"/>
      <c r="J60" s="234"/>
      <c r="K60" s="234"/>
      <c r="L60" s="234"/>
      <c r="M60" s="234"/>
      <c r="N60" s="233"/>
      <c r="O60" s="234"/>
      <c r="P60" s="234"/>
      <c r="Q60" s="234"/>
      <c r="R60" s="234"/>
      <c r="S60" s="233"/>
      <c r="T60" s="234"/>
      <c r="U60" s="234"/>
      <c r="V60" s="234"/>
      <c r="W60" s="234"/>
      <c r="X60" s="233"/>
      <c r="Y60" s="234"/>
      <c r="Z60" s="234"/>
      <c r="AA60" s="234"/>
      <c r="AB60" s="234"/>
      <c r="AC60" s="233"/>
      <c r="AD60" s="234"/>
      <c r="AE60" s="234"/>
      <c r="AF60" s="234"/>
      <c r="AG60" s="234"/>
      <c r="AH60" s="233"/>
      <c r="AI60" s="234"/>
      <c r="AJ60" s="234"/>
      <c r="AK60" s="234"/>
      <c r="AL60" s="234"/>
      <c r="AM60" s="205"/>
      <c r="AN60" s="234"/>
      <c r="AO60" s="157"/>
      <c r="AP60" s="234"/>
      <c r="AQ60" s="234"/>
      <c r="AR60" s="233"/>
      <c r="AS60" s="234"/>
      <c r="AT60" s="234"/>
      <c r="AU60" s="157"/>
      <c r="AV60" s="234"/>
      <c r="AW60" s="233"/>
      <c r="AX60" s="234"/>
      <c r="AY60" s="157"/>
      <c r="AZ60" s="157"/>
      <c r="BA60" s="234"/>
      <c r="BB60" s="233"/>
      <c r="BC60" s="157"/>
      <c r="BD60" s="234"/>
      <c r="BE60" s="157"/>
      <c r="BF60" s="234"/>
      <c r="BG60" s="233"/>
      <c r="BH60" s="157"/>
      <c r="BI60" s="234"/>
      <c r="BJ60" s="157"/>
      <c r="BK60" s="157"/>
      <c r="BL60" s="233"/>
      <c r="BM60" s="157"/>
      <c r="BN60" s="234"/>
      <c r="BO60" s="157"/>
      <c r="BP60" s="234"/>
      <c r="BQ60" s="233"/>
      <c r="BR60" s="157"/>
      <c r="BS60" s="234"/>
      <c r="BT60" s="234"/>
      <c r="BU60" s="234"/>
      <c r="BV60" s="233"/>
      <c r="BW60" s="157"/>
      <c r="BX60" s="234"/>
      <c r="BY60" s="234"/>
      <c r="BZ60" s="234"/>
      <c r="CA60" s="233"/>
      <c r="CB60" s="157"/>
      <c r="CC60" s="234"/>
      <c r="CD60" s="234"/>
      <c r="CE60" s="234"/>
      <c r="CF60" s="233"/>
      <c r="CG60" s="234"/>
      <c r="CH60" s="234"/>
      <c r="CI60" s="234"/>
      <c r="CJ60" s="234"/>
      <c r="CK60" s="233"/>
      <c r="CL60" s="234"/>
      <c r="CM60" s="234"/>
      <c r="CN60" s="234"/>
      <c r="CO60" s="234"/>
      <c r="CP60" s="233"/>
      <c r="CQ60" s="233"/>
      <c r="CR60" s="233"/>
      <c r="CS60" s="233"/>
    </row>
    <row r="61" spans="2:97" ht="12" customHeight="1">
      <c r="B61" s="197" t="s">
        <v>220</v>
      </c>
      <c r="C61" s="377" t="e">
        <f t="shared" ref="C61:AH61" si="112">IF(C50&gt;0,C55,C55-C50)</f>
        <v>#REF!</v>
      </c>
      <c r="D61" s="377" t="e">
        <f t="shared" si="112"/>
        <v>#REF!</v>
      </c>
      <c r="E61" s="377" t="e">
        <f t="shared" si="112"/>
        <v>#REF!</v>
      </c>
      <c r="F61" s="377" t="e">
        <f t="shared" si="112"/>
        <v>#REF!</v>
      </c>
      <c r="G61" s="377" t="e">
        <f t="shared" si="112"/>
        <v>#REF!</v>
      </c>
      <c r="H61" s="377" t="e">
        <f t="shared" si="112"/>
        <v>#REF!</v>
      </c>
      <c r="I61" s="377" t="e">
        <f t="shared" si="112"/>
        <v>#REF!</v>
      </c>
      <c r="J61" s="380" t="e">
        <f t="shared" si="112"/>
        <v>#REF!</v>
      </c>
      <c r="K61" s="250" t="e">
        <f t="shared" si="112"/>
        <v>#REF!</v>
      </c>
      <c r="L61" s="250" t="e">
        <f t="shared" si="112"/>
        <v>#REF!</v>
      </c>
      <c r="M61" s="381" t="e">
        <f t="shared" si="112"/>
        <v>#REF!</v>
      </c>
      <c r="N61" s="377" t="e">
        <f t="shared" si="112"/>
        <v>#REF!</v>
      </c>
      <c r="O61" s="380" t="e">
        <f t="shared" si="112"/>
        <v>#REF!</v>
      </c>
      <c r="P61" s="250" t="e">
        <f t="shared" si="112"/>
        <v>#REF!</v>
      </c>
      <c r="Q61" s="250" t="e">
        <f t="shared" si="112"/>
        <v>#REF!</v>
      </c>
      <c r="R61" s="381" t="e">
        <f t="shared" si="112"/>
        <v>#REF!</v>
      </c>
      <c r="S61" s="377" t="e">
        <f t="shared" si="112"/>
        <v>#REF!</v>
      </c>
      <c r="T61" s="380" t="e">
        <f t="shared" si="112"/>
        <v>#REF!</v>
      </c>
      <c r="U61" s="250" t="e">
        <f t="shared" si="112"/>
        <v>#REF!</v>
      </c>
      <c r="V61" s="250" t="e">
        <f t="shared" si="112"/>
        <v>#REF!</v>
      </c>
      <c r="W61" s="381" t="e">
        <f t="shared" si="112"/>
        <v>#REF!</v>
      </c>
      <c r="X61" s="377" t="e">
        <f t="shared" si="112"/>
        <v>#REF!</v>
      </c>
      <c r="Y61" s="380" t="e">
        <f t="shared" si="112"/>
        <v>#REF!</v>
      </c>
      <c r="Z61" s="250" t="e">
        <f t="shared" si="112"/>
        <v>#REF!</v>
      </c>
      <c r="AA61" s="250" t="e">
        <f t="shared" si="112"/>
        <v>#REF!</v>
      </c>
      <c r="AB61" s="381" t="e">
        <f t="shared" si="112"/>
        <v>#REF!</v>
      </c>
      <c r="AC61" s="377" t="e">
        <f t="shared" si="112"/>
        <v>#REF!</v>
      </c>
      <c r="AD61" s="380" t="e">
        <f t="shared" si="112"/>
        <v>#REF!</v>
      </c>
      <c r="AE61" s="250" t="e">
        <f t="shared" si="112"/>
        <v>#REF!</v>
      </c>
      <c r="AF61" s="250" t="e">
        <f t="shared" si="112"/>
        <v>#REF!</v>
      </c>
      <c r="AG61" s="381" t="e">
        <f t="shared" si="112"/>
        <v>#REF!</v>
      </c>
      <c r="AH61" s="377" t="e">
        <f t="shared" si="112"/>
        <v>#REF!</v>
      </c>
      <c r="AI61" s="380" t="e">
        <f t="shared" ref="AI61:BN61" si="113">IF(AI50&gt;0,AI55,AI55-AI50)</f>
        <v>#REF!</v>
      </c>
      <c r="AJ61" s="250" t="e">
        <f t="shared" si="113"/>
        <v>#REF!</v>
      </c>
      <c r="AK61" s="250" t="e">
        <f t="shared" si="113"/>
        <v>#REF!</v>
      </c>
      <c r="AL61" s="381" t="e">
        <f t="shared" si="113"/>
        <v>#REF!</v>
      </c>
      <c r="AM61" s="377" t="e">
        <f t="shared" si="113"/>
        <v>#REF!</v>
      </c>
      <c r="AN61" s="380" t="e">
        <f t="shared" si="113"/>
        <v>#REF!</v>
      </c>
      <c r="AO61" s="250" t="e">
        <f t="shared" si="113"/>
        <v>#REF!</v>
      </c>
      <c r="AP61" s="250" t="e">
        <f t="shared" si="113"/>
        <v>#REF!</v>
      </c>
      <c r="AQ61" s="381" t="e">
        <f t="shared" si="113"/>
        <v>#REF!</v>
      </c>
      <c r="AR61" s="377" t="e">
        <f t="shared" si="113"/>
        <v>#REF!</v>
      </c>
      <c r="AS61" s="380" t="e">
        <f t="shared" si="113"/>
        <v>#REF!</v>
      </c>
      <c r="AT61" s="250" t="e">
        <f t="shared" si="113"/>
        <v>#REF!</v>
      </c>
      <c r="AU61" s="250" t="e">
        <f t="shared" si="113"/>
        <v>#REF!</v>
      </c>
      <c r="AV61" s="381" t="e">
        <f t="shared" si="113"/>
        <v>#REF!</v>
      </c>
      <c r="AW61" s="377" t="e">
        <f t="shared" si="113"/>
        <v>#REF!</v>
      </c>
      <c r="AX61" s="380" t="e">
        <f t="shared" si="113"/>
        <v>#REF!</v>
      </c>
      <c r="AY61" s="250" t="e">
        <f t="shared" si="113"/>
        <v>#REF!</v>
      </c>
      <c r="AZ61" s="250" t="e">
        <f t="shared" si="113"/>
        <v>#REF!</v>
      </c>
      <c r="BA61" s="381" t="e">
        <f t="shared" si="113"/>
        <v>#REF!</v>
      </c>
      <c r="BB61" s="377" t="e">
        <f t="shared" si="113"/>
        <v>#REF!</v>
      </c>
      <c r="BC61" s="250" t="e">
        <f t="shared" si="113"/>
        <v>#REF!</v>
      </c>
      <c r="BD61" s="250" t="e">
        <f t="shared" si="113"/>
        <v>#REF!</v>
      </c>
      <c r="BE61" s="250" t="e">
        <f t="shared" si="113"/>
        <v>#REF!</v>
      </c>
      <c r="BF61" s="381" t="e">
        <f t="shared" si="113"/>
        <v>#REF!</v>
      </c>
      <c r="BG61" s="377" t="e">
        <f t="shared" si="113"/>
        <v>#REF!</v>
      </c>
      <c r="BH61" s="250" t="e">
        <f t="shared" si="113"/>
        <v>#REF!</v>
      </c>
      <c r="BI61" s="250" t="e">
        <f t="shared" si="113"/>
        <v>#REF!</v>
      </c>
      <c r="BJ61" s="250" t="e">
        <f t="shared" si="113"/>
        <v>#REF!</v>
      </c>
      <c r="BK61" s="250" t="e">
        <f t="shared" si="113"/>
        <v>#REF!</v>
      </c>
      <c r="BL61" s="377" t="e">
        <f t="shared" si="113"/>
        <v>#REF!</v>
      </c>
      <c r="BM61" s="250" t="e">
        <f t="shared" si="113"/>
        <v>#REF!</v>
      </c>
      <c r="BN61" s="250" t="e">
        <f t="shared" si="113"/>
        <v>#REF!</v>
      </c>
      <c r="BO61" s="250" t="e">
        <f t="shared" ref="BO61:CS61" si="114">IF(BO50&gt;0,BO55,BO55-BO50)</f>
        <v>#REF!</v>
      </c>
      <c r="BP61" s="381" t="e">
        <f t="shared" si="114"/>
        <v>#REF!</v>
      </c>
      <c r="BQ61" s="377" t="e">
        <f t="shared" si="114"/>
        <v>#REF!</v>
      </c>
      <c r="BR61" s="250" t="e">
        <f t="shared" si="114"/>
        <v>#REF!</v>
      </c>
      <c r="BS61" s="250" t="e">
        <f t="shared" si="114"/>
        <v>#REF!</v>
      </c>
      <c r="BT61" s="250" t="e">
        <f t="shared" si="114"/>
        <v>#REF!</v>
      </c>
      <c r="BU61" s="381" t="e">
        <f t="shared" si="114"/>
        <v>#REF!</v>
      </c>
      <c r="BV61" s="377" t="e">
        <f t="shared" si="114"/>
        <v>#REF!</v>
      </c>
      <c r="BW61" s="250" t="e">
        <f t="shared" si="114"/>
        <v>#REF!</v>
      </c>
      <c r="BX61" s="250" t="e">
        <f t="shared" si="114"/>
        <v>#REF!</v>
      </c>
      <c r="BY61" s="250" t="e">
        <f t="shared" si="114"/>
        <v>#REF!</v>
      </c>
      <c r="BZ61" s="381" t="e">
        <f t="shared" si="114"/>
        <v>#REF!</v>
      </c>
      <c r="CA61" s="377" t="e">
        <f t="shared" si="114"/>
        <v>#REF!</v>
      </c>
      <c r="CB61" s="250" t="e">
        <f t="shared" si="114"/>
        <v>#REF!</v>
      </c>
      <c r="CC61" s="250" t="e">
        <f t="shared" si="114"/>
        <v>#REF!</v>
      </c>
      <c r="CD61" s="250" t="e">
        <f t="shared" si="114"/>
        <v>#REF!</v>
      </c>
      <c r="CE61" s="381" t="e">
        <f t="shared" si="114"/>
        <v>#REF!</v>
      </c>
      <c r="CF61" s="377" t="e">
        <f t="shared" si="114"/>
        <v>#REF!</v>
      </c>
      <c r="CG61" s="250" t="e">
        <f t="shared" si="114"/>
        <v>#REF!</v>
      </c>
      <c r="CH61" s="250" t="e">
        <f t="shared" si="114"/>
        <v>#REF!</v>
      </c>
      <c r="CI61" s="250" t="e">
        <f t="shared" si="114"/>
        <v>#REF!</v>
      </c>
      <c r="CJ61" s="381" t="e">
        <f t="shared" si="114"/>
        <v>#REF!</v>
      </c>
      <c r="CK61" s="377" t="e">
        <f t="shared" si="114"/>
        <v>#REF!</v>
      </c>
      <c r="CL61" s="250" t="e">
        <f t="shared" si="114"/>
        <v>#REF!</v>
      </c>
      <c r="CM61" s="250" t="e">
        <f t="shared" si="114"/>
        <v>#REF!</v>
      </c>
      <c r="CN61" s="250" t="e">
        <f t="shared" si="114"/>
        <v>#REF!</v>
      </c>
      <c r="CO61" s="381" t="e">
        <f t="shared" si="114"/>
        <v>#REF!</v>
      </c>
      <c r="CP61" s="377" t="e">
        <f t="shared" si="114"/>
        <v>#REF!</v>
      </c>
      <c r="CQ61" s="377" t="e">
        <f t="shared" si="114"/>
        <v>#REF!</v>
      </c>
      <c r="CR61" s="377" t="e">
        <f t="shared" si="114"/>
        <v>#REF!</v>
      </c>
      <c r="CS61" s="377" t="e">
        <f t="shared" si="114"/>
        <v>#REF!</v>
      </c>
    </row>
    <row r="62" spans="2:97" ht="12" customHeight="1">
      <c r="B62" s="197" t="s">
        <v>221</v>
      </c>
      <c r="C62" s="377">
        <f t="shared" ref="C62:AH62" si="115">IF(C49&gt;0,C56,C56-C49)</f>
        <v>326.07900000000001</v>
      </c>
      <c r="D62" s="377">
        <f t="shared" si="115"/>
        <v>807.77699999999993</v>
      </c>
      <c r="E62" s="377">
        <f t="shared" si="115"/>
        <v>712.5</v>
      </c>
      <c r="F62" s="377">
        <f t="shared" si="115"/>
        <v>627.1</v>
      </c>
      <c r="G62" s="377">
        <f t="shared" si="115"/>
        <v>686.1</v>
      </c>
      <c r="H62" s="377">
        <f t="shared" si="115"/>
        <v>33.100000000000009</v>
      </c>
      <c r="I62" s="377">
        <f t="shared" si="115"/>
        <v>552.29999999999995</v>
      </c>
      <c r="J62" s="250">
        <f t="shared" si="115"/>
        <v>540.79999999999995</v>
      </c>
      <c r="K62" s="250">
        <f t="shared" si="115"/>
        <v>536.1</v>
      </c>
      <c r="L62" s="250">
        <f t="shared" si="115"/>
        <v>524.6</v>
      </c>
      <c r="M62" s="250">
        <f t="shared" si="115"/>
        <v>501.4</v>
      </c>
      <c r="N62" s="377">
        <f t="shared" si="115"/>
        <v>478.7</v>
      </c>
      <c r="O62" s="250">
        <f t="shared" si="115"/>
        <v>526.70000000000005</v>
      </c>
      <c r="P62" s="250">
        <f t="shared" si="115"/>
        <v>496.2</v>
      </c>
      <c r="Q62" s="250">
        <f t="shared" si="115"/>
        <v>470.7</v>
      </c>
      <c r="R62" s="250">
        <f t="shared" si="115"/>
        <v>465.1</v>
      </c>
      <c r="S62" s="377">
        <f t="shared" si="115"/>
        <v>462.6</v>
      </c>
      <c r="T62" s="250">
        <f t="shared" si="115"/>
        <v>492.1</v>
      </c>
      <c r="U62" s="250">
        <f t="shared" si="115"/>
        <v>468.3</v>
      </c>
      <c r="V62" s="250">
        <f t="shared" si="115"/>
        <v>472.6</v>
      </c>
      <c r="W62" s="250">
        <f t="shared" si="115"/>
        <v>455.6</v>
      </c>
      <c r="X62" s="377">
        <f t="shared" si="115"/>
        <v>460.1</v>
      </c>
      <c r="Y62" s="250">
        <f t="shared" si="115"/>
        <v>469.7</v>
      </c>
      <c r="Z62" s="250">
        <f t="shared" si="115"/>
        <v>452.2</v>
      </c>
      <c r="AA62" s="250">
        <f t="shared" si="115"/>
        <v>373.1</v>
      </c>
      <c r="AB62" s="250">
        <f t="shared" si="115"/>
        <v>365.8</v>
      </c>
      <c r="AC62" s="377">
        <f t="shared" si="115"/>
        <v>348.9</v>
      </c>
      <c r="AD62" s="250">
        <f t="shared" si="115"/>
        <v>404.5</v>
      </c>
      <c r="AE62" s="250">
        <f t="shared" si="115"/>
        <v>427.20000000000005</v>
      </c>
      <c r="AF62" s="250">
        <f t="shared" si="115"/>
        <v>426.5</v>
      </c>
      <c r="AG62" s="250">
        <f t="shared" si="115"/>
        <v>425.9</v>
      </c>
      <c r="AH62" s="377">
        <f t="shared" si="115"/>
        <v>432.8</v>
      </c>
      <c r="AI62" s="250">
        <f t="shared" ref="AI62:BN62" si="116">IF(AI49&gt;0,AI56,AI56-AI49)</f>
        <v>432.3</v>
      </c>
      <c r="AJ62" s="250">
        <f t="shared" si="116"/>
        <v>431.1</v>
      </c>
      <c r="AK62" s="250">
        <f t="shared" si="116"/>
        <v>429.1</v>
      </c>
      <c r="AL62" s="250">
        <f t="shared" si="116"/>
        <v>399.1</v>
      </c>
      <c r="AM62" s="377">
        <f t="shared" si="116"/>
        <v>423.40000000000003</v>
      </c>
      <c r="AN62" s="250">
        <f t="shared" si="116"/>
        <v>423.20000000000005</v>
      </c>
      <c r="AO62" s="250">
        <f t="shared" si="116"/>
        <v>421.40000000000003</v>
      </c>
      <c r="AP62" s="250">
        <f t="shared" si="116"/>
        <v>385.70000000000005</v>
      </c>
      <c r="AQ62" s="250">
        <f t="shared" si="116"/>
        <v>369.20000000000005</v>
      </c>
      <c r="AR62" s="377">
        <f t="shared" si="116"/>
        <v>359.6</v>
      </c>
      <c r="AS62" s="250">
        <f t="shared" si="116"/>
        <v>323.39999999999998</v>
      </c>
      <c r="AT62" s="250">
        <f t="shared" si="116"/>
        <v>297.10000000000002</v>
      </c>
      <c r="AU62" s="250">
        <f t="shared" si="116"/>
        <v>291.89999999999998</v>
      </c>
      <c r="AV62" s="250">
        <f t="shared" si="116"/>
        <v>293.3</v>
      </c>
      <c r="AW62" s="377">
        <f t="shared" si="116"/>
        <v>300.70000000000005</v>
      </c>
      <c r="AX62" s="250">
        <f t="shared" si="116"/>
        <v>357.20000000000005</v>
      </c>
      <c r="AY62" s="250">
        <f t="shared" si="116"/>
        <v>343.1</v>
      </c>
      <c r="AZ62" s="250">
        <f t="shared" si="116"/>
        <v>341.70000000000005</v>
      </c>
      <c r="BA62" s="250">
        <f t="shared" si="116"/>
        <v>302.40000000000003</v>
      </c>
      <c r="BB62" s="377">
        <f t="shared" si="116"/>
        <v>315.10000000000002</v>
      </c>
      <c r="BC62" s="250">
        <f t="shared" si="116"/>
        <v>333.6</v>
      </c>
      <c r="BD62" s="250">
        <f t="shared" si="116"/>
        <v>384.1</v>
      </c>
      <c r="BE62" s="250">
        <f t="shared" si="116"/>
        <v>337.1</v>
      </c>
      <c r="BF62" s="250">
        <f t="shared" si="116"/>
        <v>367.1</v>
      </c>
      <c r="BG62" s="377">
        <f t="shared" si="116"/>
        <v>347.29999999999995</v>
      </c>
      <c r="BH62" s="250">
        <f t="shared" si="116"/>
        <v>407.29999999999995</v>
      </c>
      <c r="BI62" s="250">
        <f t="shared" si="116"/>
        <v>450.29999999999995</v>
      </c>
      <c r="BJ62" s="250">
        <f t="shared" si="116"/>
        <v>485.29999999999995</v>
      </c>
      <c r="BK62" s="250">
        <f t="shared" si="116"/>
        <v>470.29999999999995</v>
      </c>
      <c r="BL62" s="377">
        <f t="shared" si="116"/>
        <v>448.3</v>
      </c>
      <c r="BM62" s="250">
        <f t="shared" si="116"/>
        <v>513.29999999999995</v>
      </c>
      <c r="BN62" s="250">
        <f t="shared" si="116"/>
        <v>541.29999999999995</v>
      </c>
      <c r="BO62" s="250">
        <f t="shared" ref="BO62:CS62" si="117">IF(BO49&gt;0,BO56,BO56-BO49)</f>
        <v>629.70000000000005</v>
      </c>
      <c r="BP62" s="250">
        <f t="shared" si="117"/>
        <v>609.79999999999995</v>
      </c>
      <c r="BQ62" s="377">
        <f t="shared" si="117"/>
        <v>596.6</v>
      </c>
      <c r="BR62" s="250">
        <f t="shared" si="117"/>
        <v>708.1</v>
      </c>
      <c r="BS62" s="250">
        <f t="shared" si="117"/>
        <v>726.9</v>
      </c>
      <c r="BT62" s="250">
        <f t="shared" si="117"/>
        <v>690.30000000000007</v>
      </c>
      <c r="BU62" s="250">
        <f t="shared" si="117"/>
        <v>704.5</v>
      </c>
      <c r="BV62" s="377">
        <f t="shared" si="117"/>
        <v>696.8</v>
      </c>
      <c r="BW62" s="250">
        <f t="shared" si="117"/>
        <v>849.4</v>
      </c>
      <c r="BX62" s="250">
        <f t="shared" si="117"/>
        <v>829.69999999999993</v>
      </c>
      <c r="BY62" s="250">
        <f t="shared" si="117"/>
        <v>842</v>
      </c>
      <c r="BZ62" s="250">
        <f t="shared" si="117"/>
        <v>818</v>
      </c>
      <c r="CA62" s="377">
        <f t="shared" si="117"/>
        <v>814.7</v>
      </c>
      <c r="CB62" s="250">
        <f t="shared" si="117"/>
        <v>844.7</v>
      </c>
      <c r="CC62" s="250">
        <f t="shared" si="117"/>
        <v>939.2</v>
      </c>
      <c r="CD62" s="250">
        <f t="shared" si="117"/>
        <v>989.80000000000007</v>
      </c>
      <c r="CE62" s="250">
        <f t="shared" si="117"/>
        <v>956.5</v>
      </c>
      <c r="CF62" s="377">
        <f t="shared" si="117"/>
        <v>947.4</v>
      </c>
      <c r="CG62" s="250">
        <f t="shared" si="117"/>
        <v>1160</v>
      </c>
      <c r="CH62" s="250">
        <f t="shared" si="117"/>
        <v>1115.8</v>
      </c>
      <c r="CI62" s="250">
        <f t="shared" si="117"/>
        <v>1115.2</v>
      </c>
      <c r="CJ62" s="250">
        <f t="shared" si="117"/>
        <v>1050.5999999999999</v>
      </c>
      <c r="CK62" s="377">
        <f t="shared" si="117"/>
        <v>1050.5999999999999</v>
      </c>
      <c r="CL62" s="250">
        <f t="shared" si="117"/>
        <v>1389.5</v>
      </c>
      <c r="CM62" s="250">
        <f t="shared" si="117"/>
        <v>1389.5</v>
      </c>
      <c r="CN62" s="250">
        <f t="shared" si="117"/>
        <v>1364.5</v>
      </c>
      <c r="CO62" s="250">
        <f t="shared" si="117"/>
        <v>1314.5</v>
      </c>
      <c r="CP62" s="377">
        <f t="shared" si="117"/>
        <v>1421.2</v>
      </c>
      <c r="CQ62" s="377">
        <f t="shared" si="117"/>
        <v>1121.2</v>
      </c>
      <c r="CR62" s="377">
        <f t="shared" si="117"/>
        <v>1021.2</v>
      </c>
      <c r="CS62" s="377">
        <f t="shared" si="117"/>
        <v>1021.2</v>
      </c>
    </row>
    <row r="63" spans="2:97" ht="12" customHeight="1">
      <c r="B63" s="197" t="s">
        <v>148</v>
      </c>
      <c r="C63" s="377">
        <f t="shared" ref="C63:AH63" si="118">C62-C53</f>
        <v>317.04599999999999</v>
      </c>
      <c r="D63" s="377">
        <f t="shared" si="118"/>
        <v>800.27299999999991</v>
      </c>
      <c r="E63" s="377">
        <f t="shared" si="118"/>
        <v>712.3</v>
      </c>
      <c r="F63" s="377">
        <f t="shared" si="118"/>
        <v>622</v>
      </c>
      <c r="G63" s="377">
        <f t="shared" si="118"/>
        <v>674.5</v>
      </c>
      <c r="H63" s="377">
        <f t="shared" si="118"/>
        <v>24.900000000000009</v>
      </c>
      <c r="I63" s="377">
        <f t="shared" si="118"/>
        <v>510.59999999999997</v>
      </c>
      <c r="J63" s="376">
        <f t="shared" si="118"/>
        <v>516.79999999999995</v>
      </c>
      <c r="K63" s="376">
        <f t="shared" si="118"/>
        <v>491</v>
      </c>
      <c r="L63" s="376">
        <f t="shared" si="118"/>
        <v>473.1</v>
      </c>
      <c r="M63" s="376">
        <f t="shared" si="118"/>
        <v>444.2</v>
      </c>
      <c r="N63" s="377">
        <f t="shared" si="118"/>
        <v>421.5</v>
      </c>
      <c r="O63" s="376">
        <f t="shared" si="118"/>
        <v>500.50000000000006</v>
      </c>
      <c r="P63" s="376">
        <f t="shared" si="118"/>
        <v>477.7</v>
      </c>
      <c r="Q63" s="376">
        <f t="shared" si="118"/>
        <v>458.4</v>
      </c>
      <c r="R63" s="376">
        <f t="shared" si="118"/>
        <v>444.1</v>
      </c>
      <c r="S63" s="377">
        <f t="shared" si="118"/>
        <v>441.6</v>
      </c>
      <c r="T63" s="376">
        <f t="shared" si="118"/>
        <v>468.20000000000005</v>
      </c>
      <c r="U63" s="376">
        <f t="shared" si="118"/>
        <v>459.5</v>
      </c>
      <c r="V63" s="376">
        <f t="shared" si="118"/>
        <v>459.6</v>
      </c>
      <c r="W63" s="376">
        <f t="shared" si="118"/>
        <v>429.90000000000003</v>
      </c>
      <c r="X63" s="377">
        <f t="shared" si="118"/>
        <v>434.40000000000003</v>
      </c>
      <c r="Y63" s="376">
        <f t="shared" si="118"/>
        <v>436.2</v>
      </c>
      <c r="Z63" s="376">
        <f t="shared" si="118"/>
        <v>416.2</v>
      </c>
      <c r="AA63" s="376">
        <f t="shared" si="118"/>
        <v>341.70000000000005</v>
      </c>
      <c r="AB63" s="376">
        <f t="shared" si="118"/>
        <v>337.7</v>
      </c>
      <c r="AC63" s="377">
        <f t="shared" si="118"/>
        <v>320.79999999999995</v>
      </c>
      <c r="AD63" s="376">
        <f t="shared" si="118"/>
        <v>378.1</v>
      </c>
      <c r="AE63" s="250">
        <f t="shared" si="118"/>
        <v>407.90000000000003</v>
      </c>
      <c r="AF63" s="250">
        <f t="shared" si="118"/>
        <v>377.8</v>
      </c>
      <c r="AG63" s="376">
        <f t="shared" si="118"/>
        <v>375</v>
      </c>
      <c r="AH63" s="377">
        <f t="shared" si="118"/>
        <v>381.90000000000003</v>
      </c>
      <c r="AI63" s="376">
        <f t="shared" ref="AI63:BN63" si="119">AI62-AI53</f>
        <v>405.3</v>
      </c>
      <c r="AJ63" s="376">
        <f t="shared" si="119"/>
        <v>358.5</v>
      </c>
      <c r="AK63" s="376">
        <f t="shared" si="119"/>
        <v>334.40000000000003</v>
      </c>
      <c r="AL63" s="376">
        <f t="shared" si="119"/>
        <v>289</v>
      </c>
      <c r="AM63" s="377">
        <f t="shared" si="119"/>
        <v>313.30000000000007</v>
      </c>
      <c r="AN63" s="376">
        <f t="shared" si="119"/>
        <v>357.50000000000006</v>
      </c>
      <c r="AO63" s="376">
        <f t="shared" si="119"/>
        <v>337.40000000000003</v>
      </c>
      <c r="AP63" s="376">
        <f t="shared" si="119"/>
        <v>307.20000000000005</v>
      </c>
      <c r="AQ63" s="376">
        <f t="shared" si="119"/>
        <v>252.00000000000006</v>
      </c>
      <c r="AR63" s="377">
        <f t="shared" si="119"/>
        <v>242.40000000000003</v>
      </c>
      <c r="AS63" s="376">
        <f t="shared" si="119"/>
        <v>272.79999999999995</v>
      </c>
      <c r="AT63" s="376">
        <f t="shared" si="119"/>
        <v>241.20000000000002</v>
      </c>
      <c r="AU63" s="250">
        <f t="shared" si="119"/>
        <v>243.49999999999997</v>
      </c>
      <c r="AV63" s="376">
        <f t="shared" si="119"/>
        <v>243.8</v>
      </c>
      <c r="AW63" s="377">
        <f t="shared" si="119"/>
        <v>251.20000000000005</v>
      </c>
      <c r="AX63" s="376">
        <f t="shared" si="119"/>
        <v>308.50000000000006</v>
      </c>
      <c r="AY63" s="250">
        <f t="shared" si="119"/>
        <v>310.5</v>
      </c>
      <c r="AZ63" s="250">
        <f t="shared" si="119"/>
        <v>298.50000000000006</v>
      </c>
      <c r="BA63" s="376">
        <f t="shared" si="119"/>
        <v>269.8</v>
      </c>
      <c r="BB63" s="377">
        <f t="shared" si="119"/>
        <v>282.5</v>
      </c>
      <c r="BC63" s="250">
        <f t="shared" si="119"/>
        <v>315.3</v>
      </c>
      <c r="BD63" s="376">
        <f t="shared" si="119"/>
        <v>327.40000000000003</v>
      </c>
      <c r="BE63" s="250">
        <f t="shared" si="119"/>
        <v>277.40000000000003</v>
      </c>
      <c r="BF63" s="376">
        <f t="shared" si="119"/>
        <v>301.60000000000002</v>
      </c>
      <c r="BG63" s="377">
        <f t="shared" si="119"/>
        <v>281.79999999999995</v>
      </c>
      <c r="BH63" s="250">
        <f t="shared" si="119"/>
        <v>357.29999999999995</v>
      </c>
      <c r="BI63" s="376">
        <f t="shared" si="119"/>
        <v>406.49999999999994</v>
      </c>
      <c r="BJ63" s="250">
        <f t="shared" si="119"/>
        <v>447.59999999999997</v>
      </c>
      <c r="BK63" s="250">
        <f t="shared" si="119"/>
        <v>399.4</v>
      </c>
      <c r="BL63" s="377">
        <f t="shared" si="119"/>
        <v>377.4</v>
      </c>
      <c r="BM63" s="250">
        <f t="shared" si="119"/>
        <v>490.59999999999997</v>
      </c>
      <c r="BN63" s="376">
        <f t="shared" si="119"/>
        <v>505.99999999999994</v>
      </c>
      <c r="BO63" s="250">
        <f t="shared" ref="BO63:CS63" si="120">BO62-BO53</f>
        <v>586.5</v>
      </c>
      <c r="BP63" s="376">
        <f t="shared" si="120"/>
        <v>558</v>
      </c>
      <c r="BQ63" s="377">
        <f t="shared" si="120"/>
        <v>544.80000000000007</v>
      </c>
      <c r="BR63" s="250">
        <f t="shared" si="120"/>
        <v>683.9</v>
      </c>
      <c r="BS63" s="376">
        <f t="shared" si="120"/>
        <v>688</v>
      </c>
      <c r="BT63" s="376">
        <f t="shared" si="120"/>
        <v>644.6</v>
      </c>
      <c r="BU63" s="376">
        <f t="shared" si="120"/>
        <v>669.3</v>
      </c>
      <c r="BV63" s="377">
        <f t="shared" si="120"/>
        <v>661.59999999999991</v>
      </c>
      <c r="BW63" s="250">
        <f t="shared" si="120"/>
        <v>767.3</v>
      </c>
      <c r="BX63" s="376">
        <f t="shared" si="120"/>
        <v>784.19999999999993</v>
      </c>
      <c r="BY63" s="376">
        <f t="shared" si="120"/>
        <v>722.9</v>
      </c>
      <c r="BZ63" s="376">
        <f t="shared" si="120"/>
        <v>757.9</v>
      </c>
      <c r="CA63" s="377">
        <f t="shared" si="120"/>
        <v>754.6</v>
      </c>
      <c r="CB63" s="250">
        <f t="shared" si="120"/>
        <v>794.90000000000009</v>
      </c>
      <c r="CC63" s="376">
        <f t="shared" si="120"/>
        <v>900.1</v>
      </c>
      <c r="CD63" s="376">
        <f t="shared" si="120"/>
        <v>942.6</v>
      </c>
      <c r="CE63" s="376">
        <f t="shared" si="120"/>
        <v>923.8</v>
      </c>
      <c r="CF63" s="377">
        <f t="shared" si="120"/>
        <v>914.69999999999993</v>
      </c>
      <c r="CG63" s="376">
        <f t="shared" si="120"/>
        <v>1116.3</v>
      </c>
      <c r="CH63" s="376">
        <f t="shared" si="120"/>
        <v>1060.3999999999999</v>
      </c>
      <c r="CI63" s="376">
        <f t="shared" si="120"/>
        <v>1068.2</v>
      </c>
      <c r="CJ63" s="376">
        <f t="shared" si="120"/>
        <v>986.19999999999993</v>
      </c>
      <c r="CK63" s="377">
        <f t="shared" si="120"/>
        <v>986.19999999999993</v>
      </c>
      <c r="CL63" s="376">
        <f t="shared" si="120"/>
        <v>1060.2</v>
      </c>
      <c r="CM63" s="376">
        <f t="shared" si="120"/>
        <v>1094</v>
      </c>
      <c r="CN63" s="376">
        <f t="shared" si="120"/>
        <v>1052.8</v>
      </c>
      <c r="CO63" s="376">
        <f t="shared" si="120"/>
        <v>916.6</v>
      </c>
      <c r="CP63" s="377">
        <f t="shared" si="120"/>
        <v>1023.3000000000001</v>
      </c>
      <c r="CQ63" s="377">
        <f t="shared" si="120"/>
        <v>868.23</v>
      </c>
      <c r="CR63" s="377">
        <f t="shared" si="120"/>
        <v>793.45500000000015</v>
      </c>
      <c r="CS63" s="377">
        <f t="shared" si="120"/>
        <v>774.68937500000015</v>
      </c>
    </row>
    <row r="64" spans="2:97" ht="12" customHeight="1">
      <c r="B64" s="197" t="s">
        <v>149</v>
      </c>
      <c r="C64" s="233" t="e">
        <f t="shared" ref="C64:AH64" si="121">C62/(C62+C61)</f>
        <v>#REF!</v>
      </c>
      <c r="D64" s="233" t="e">
        <f t="shared" si="121"/>
        <v>#REF!</v>
      </c>
      <c r="E64" s="233" t="e">
        <f t="shared" si="121"/>
        <v>#REF!</v>
      </c>
      <c r="F64" s="233" t="e">
        <f t="shared" si="121"/>
        <v>#REF!</v>
      </c>
      <c r="G64" s="233" t="e">
        <f t="shared" si="121"/>
        <v>#REF!</v>
      </c>
      <c r="H64" s="233" t="e">
        <f t="shared" si="121"/>
        <v>#REF!</v>
      </c>
      <c r="I64" s="233" t="e">
        <f t="shared" si="121"/>
        <v>#REF!</v>
      </c>
      <c r="J64" s="234" t="e">
        <f t="shared" si="121"/>
        <v>#REF!</v>
      </c>
      <c r="K64" s="234" t="e">
        <f t="shared" si="121"/>
        <v>#REF!</v>
      </c>
      <c r="L64" s="234" t="e">
        <f t="shared" si="121"/>
        <v>#REF!</v>
      </c>
      <c r="M64" s="234" t="e">
        <f t="shared" si="121"/>
        <v>#REF!</v>
      </c>
      <c r="N64" s="233" t="e">
        <f t="shared" si="121"/>
        <v>#REF!</v>
      </c>
      <c r="O64" s="234" t="e">
        <f t="shared" si="121"/>
        <v>#REF!</v>
      </c>
      <c r="P64" s="234" t="e">
        <f t="shared" si="121"/>
        <v>#REF!</v>
      </c>
      <c r="Q64" s="234" t="e">
        <f t="shared" si="121"/>
        <v>#REF!</v>
      </c>
      <c r="R64" s="234" t="e">
        <f t="shared" si="121"/>
        <v>#REF!</v>
      </c>
      <c r="S64" s="233" t="e">
        <f t="shared" si="121"/>
        <v>#REF!</v>
      </c>
      <c r="T64" s="234" t="e">
        <f t="shared" si="121"/>
        <v>#REF!</v>
      </c>
      <c r="U64" s="234" t="e">
        <f t="shared" si="121"/>
        <v>#REF!</v>
      </c>
      <c r="V64" s="234" t="e">
        <f t="shared" si="121"/>
        <v>#REF!</v>
      </c>
      <c r="W64" s="234" t="e">
        <f t="shared" si="121"/>
        <v>#REF!</v>
      </c>
      <c r="X64" s="233" t="e">
        <f t="shared" si="121"/>
        <v>#REF!</v>
      </c>
      <c r="Y64" s="234" t="e">
        <f t="shared" si="121"/>
        <v>#REF!</v>
      </c>
      <c r="Z64" s="234" t="e">
        <f t="shared" si="121"/>
        <v>#REF!</v>
      </c>
      <c r="AA64" s="234" t="e">
        <f t="shared" si="121"/>
        <v>#REF!</v>
      </c>
      <c r="AB64" s="234" t="e">
        <f t="shared" si="121"/>
        <v>#REF!</v>
      </c>
      <c r="AC64" s="233" t="e">
        <f t="shared" si="121"/>
        <v>#REF!</v>
      </c>
      <c r="AD64" s="234" t="e">
        <f t="shared" si="121"/>
        <v>#REF!</v>
      </c>
      <c r="AE64" s="234" t="e">
        <f t="shared" si="121"/>
        <v>#REF!</v>
      </c>
      <c r="AF64" s="234" t="e">
        <f t="shared" si="121"/>
        <v>#REF!</v>
      </c>
      <c r="AG64" s="234" t="e">
        <f t="shared" si="121"/>
        <v>#REF!</v>
      </c>
      <c r="AH64" s="233" t="e">
        <f t="shared" si="121"/>
        <v>#REF!</v>
      </c>
      <c r="AI64" s="234" t="e">
        <f t="shared" ref="AI64:BN64" si="122">AI62/(AI62+AI61)</f>
        <v>#REF!</v>
      </c>
      <c r="AJ64" s="234" t="e">
        <f t="shared" si="122"/>
        <v>#REF!</v>
      </c>
      <c r="AK64" s="234" t="e">
        <f t="shared" si="122"/>
        <v>#REF!</v>
      </c>
      <c r="AL64" s="234" t="e">
        <f t="shared" si="122"/>
        <v>#REF!</v>
      </c>
      <c r="AM64" s="233" t="e">
        <f t="shared" si="122"/>
        <v>#REF!</v>
      </c>
      <c r="AN64" s="234" t="e">
        <f t="shared" si="122"/>
        <v>#REF!</v>
      </c>
      <c r="AO64" s="234" t="e">
        <f t="shared" si="122"/>
        <v>#REF!</v>
      </c>
      <c r="AP64" s="234" t="e">
        <f t="shared" si="122"/>
        <v>#REF!</v>
      </c>
      <c r="AQ64" s="234" t="e">
        <f t="shared" si="122"/>
        <v>#REF!</v>
      </c>
      <c r="AR64" s="233" t="e">
        <f t="shared" si="122"/>
        <v>#REF!</v>
      </c>
      <c r="AS64" s="234" t="e">
        <f t="shared" si="122"/>
        <v>#REF!</v>
      </c>
      <c r="AT64" s="234" t="e">
        <f t="shared" si="122"/>
        <v>#REF!</v>
      </c>
      <c r="AU64" s="234" t="e">
        <f t="shared" si="122"/>
        <v>#REF!</v>
      </c>
      <c r="AV64" s="234" t="e">
        <f t="shared" si="122"/>
        <v>#REF!</v>
      </c>
      <c r="AW64" s="233" t="e">
        <f t="shared" si="122"/>
        <v>#REF!</v>
      </c>
      <c r="AX64" s="234" t="e">
        <f t="shared" si="122"/>
        <v>#REF!</v>
      </c>
      <c r="AY64" s="234" t="e">
        <f t="shared" si="122"/>
        <v>#REF!</v>
      </c>
      <c r="AZ64" s="234" t="e">
        <f t="shared" si="122"/>
        <v>#REF!</v>
      </c>
      <c r="BA64" s="234" t="e">
        <f t="shared" si="122"/>
        <v>#REF!</v>
      </c>
      <c r="BB64" s="233" t="e">
        <f t="shared" si="122"/>
        <v>#REF!</v>
      </c>
      <c r="BC64" s="234" t="e">
        <f t="shared" si="122"/>
        <v>#REF!</v>
      </c>
      <c r="BD64" s="234" t="e">
        <f t="shared" si="122"/>
        <v>#REF!</v>
      </c>
      <c r="BE64" s="234" t="e">
        <f t="shared" si="122"/>
        <v>#REF!</v>
      </c>
      <c r="BF64" s="234" t="e">
        <f t="shared" si="122"/>
        <v>#REF!</v>
      </c>
      <c r="BG64" s="233" t="e">
        <f t="shared" si="122"/>
        <v>#REF!</v>
      </c>
      <c r="BH64" s="234" t="e">
        <f t="shared" si="122"/>
        <v>#REF!</v>
      </c>
      <c r="BI64" s="234" t="e">
        <f t="shared" si="122"/>
        <v>#REF!</v>
      </c>
      <c r="BJ64" s="234" t="e">
        <f t="shared" si="122"/>
        <v>#REF!</v>
      </c>
      <c r="BK64" s="234" t="e">
        <f t="shared" si="122"/>
        <v>#REF!</v>
      </c>
      <c r="BL64" s="233" t="e">
        <f t="shared" si="122"/>
        <v>#REF!</v>
      </c>
      <c r="BM64" s="234" t="e">
        <f t="shared" si="122"/>
        <v>#REF!</v>
      </c>
      <c r="BN64" s="234" t="e">
        <f t="shared" si="122"/>
        <v>#REF!</v>
      </c>
      <c r="BO64" s="234" t="e">
        <f t="shared" ref="BO64:CS64" si="123">BO62/(BO62+BO61)</f>
        <v>#REF!</v>
      </c>
      <c r="BP64" s="234" t="e">
        <f t="shared" si="123"/>
        <v>#REF!</v>
      </c>
      <c r="BQ64" s="233" t="e">
        <f t="shared" si="123"/>
        <v>#REF!</v>
      </c>
      <c r="BR64" s="234" t="e">
        <f t="shared" si="123"/>
        <v>#REF!</v>
      </c>
      <c r="BS64" s="234" t="e">
        <f t="shared" si="123"/>
        <v>#REF!</v>
      </c>
      <c r="BT64" s="234" t="e">
        <f t="shared" si="123"/>
        <v>#REF!</v>
      </c>
      <c r="BU64" s="234" t="e">
        <f t="shared" si="123"/>
        <v>#REF!</v>
      </c>
      <c r="BV64" s="233" t="e">
        <f t="shared" si="123"/>
        <v>#REF!</v>
      </c>
      <c r="BW64" s="234" t="e">
        <f t="shared" si="123"/>
        <v>#REF!</v>
      </c>
      <c r="BX64" s="234" t="e">
        <f t="shared" si="123"/>
        <v>#REF!</v>
      </c>
      <c r="BY64" s="234" t="e">
        <f t="shared" si="123"/>
        <v>#REF!</v>
      </c>
      <c r="BZ64" s="234" t="e">
        <f t="shared" si="123"/>
        <v>#REF!</v>
      </c>
      <c r="CA64" s="233" t="e">
        <f t="shared" si="123"/>
        <v>#REF!</v>
      </c>
      <c r="CB64" s="234" t="e">
        <f t="shared" si="123"/>
        <v>#REF!</v>
      </c>
      <c r="CC64" s="234" t="e">
        <f t="shared" si="123"/>
        <v>#REF!</v>
      </c>
      <c r="CD64" s="234" t="e">
        <f t="shared" si="123"/>
        <v>#REF!</v>
      </c>
      <c r="CE64" s="234" t="e">
        <f t="shared" si="123"/>
        <v>#REF!</v>
      </c>
      <c r="CF64" s="233" t="e">
        <f t="shared" si="123"/>
        <v>#REF!</v>
      </c>
      <c r="CG64" s="234" t="e">
        <f t="shared" si="123"/>
        <v>#REF!</v>
      </c>
      <c r="CH64" s="234" t="e">
        <f t="shared" si="123"/>
        <v>#REF!</v>
      </c>
      <c r="CI64" s="234" t="e">
        <f t="shared" si="123"/>
        <v>#REF!</v>
      </c>
      <c r="CJ64" s="234" t="e">
        <f t="shared" si="123"/>
        <v>#REF!</v>
      </c>
      <c r="CK64" s="233" t="e">
        <f t="shared" si="123"/>
        <v>#REF!</v>
      </c>
      <c r="CL64" s="234" t="e">
        <f t="shared" si="123"/>
        <v>#REF!</v>
      </c>
      <c r="CM64" s="234" t="e">
        <f t="shared" si="123"/>
        <v>#REF!</v>
      </c>
      <c r="CN64" s="234" t="e">
        <f t="shared" si="123"/>
        <v>#REF!</v>
      </c>
      <c r="CO64" s="234" t="e">
        <f t="shared" si="123"/>
        <v>#REF!</v>
      </c>
      <c r="CP64" s="233" t="e">
        <f t="shared" si="123"/>
        <v>#REF!</v>
      </c>
      <c r="CQ64" s="233" t="e">
        <f t="shared" si="123"/>
        <v>#REF!</v>
      </c>
      <c r="CR64" s="233" t="e">
        <f t="shared" si="123"/>
        <v>#REF!</v>
      </c>
      <c r="CS64" s="233" t="e">
        <f t="shared" si="123"/>
        <v>#REF!</v>
      </c>
    </row>
    <row r="65" spans="2:97" ht="12" customHeight="1">
      <c r="B65" s="197" t="s">
        <v>150</v>
      </c>
      <c r="C65" s="233" t="e">
        <f t="shared" ref="C65:AH65" si="124">C63/(C62+C61)</f>
        <v>#REF!</v>
      </c>
      <c r="D65" s="233" t="e">
        <f t="shared" si="124"/>
        <v>#REF!</v>
      </c>
      <c r="E65" s="233" t="e">
        <f t="shared" si="124"/>
        <v>#REF!</v>
      </c>
      <c r="F65" s="233" t="e">
        <f t="shared" si="124"/>
        <v>#REF!</v>
      </c>
      <c r="G65" s="233" t="e">
        <f t="shared" si="124"/>
        <v>#REF!</v>
      </c>
      <c r="H65" s="233" t="e">
        <f t="shared" si="124"/>
        <v>#REF!</v>
      </c>
      <c r="I65" s="233" t="e">
        <f t="shared" si="124"/>
        <v>#REF!</v>
      </c>
      <c r="J65" s="234" t="e">
        <f t="shared" si="124"/>
        <v>#REF!</v>
      </c>
      <c r="K65" s="234" t="e">
        <f t="shared" si="124"/>
        <v>#REF!</v>
      </c>
      <c r="L65" s="234" t="e">
        <f t="shared" si="124"/>
        <v>#REF!</v>
      </c>
      <c r="M65" s="234" t="e">
        <f t="shared" si="124"/>
        <v>#REF!</v>
      </c>
      <c r="N65" s="233" t="e">
        <f t="shared" si="124"/>
        <v>#REF!</v>
      </c>
      <c r="O65" s="234" t="e">
        <f t="shared" si="124"/>
        <v>#REF!</v>
      </c>
      <c r="P65" s="234" t="e">
        <f t="shared" si="124"/>
        <v>#REF!</v>
      </c>
      <c r="Q65" s="234" t="e">
        <f t="shared" si="124"/>
        <v>#REF!</v>
      </c>
      <c r="R65" s="234" t="e">
        <f t="shared" si="124"/>
        <v>#REF!</v>
      </c>
      <c r="S65" s="233" t="e">
        <f t="shared" si="124"/>
        <v>#REF!</v>
      </c>
      <c r="T65" s="234" t="e">
        <f t="shared" si="124"/>
        <v>#REF!</v>
      </c>
      <c r="U65" s="234" t="e">
        <f t="shared" si="124"/>
        <v>#REF!</v>
      </c>
      <c r="V65" s="234" t="e">
        <f t="shared" si="124"/>
        <v>#REF!</v>
      </c>
      <c r="W65" s="234" t="e">
        <f t="shared" si="124"/>
        <v>#REF!</v>
      </c>
      <c r="X65" s="233" t="e">
        <f t="shared" si="124"/>
        <v>#REF!</v>
      </c>
      <c r="Y65" s="234" t="e">
        <f t="shared" si="124"/>
        <v>#REF!</v>
      </c>
      <c r="Z65" s="234" t="e">
        <f t="shared" si="124"/>
        <v>#REF!</v>
      </c>
      <c r="AA65" s="234" t="e">
        <f t="shared" si="124"/>
        <v>#REF!</v>
      </c>
      <c r="AB65" s="234" t="e">
        <f t="shared" si="124"/>
        <v>#REF!</v>
      </c>
      <c r="AC65" s="233" t="e">
        <f t="shared" si="124"/>
        <v>#REF!</v>
      </c>
      <c r="AD65" s="234" t="e">
        <f t="shared" si="124"/>
        <v>#REF!</v>
      </c>
      <c r="AE65" s="234" t="e">
        <f t="shared" si="124"/>
        <v>#REF!</v>
      </c>
      <c r="AF65" s="234" t="e">
        <f t="shared" si="124"/>
        <v>#REF!</v>
      </c>
      <c r="AG65" s="234" t="e">
        <f t="shared" si="124"/>
        <v>#REF!</v>
      </c>
      <c r="AH65" s="233" t="e">
        <f t="shared" si="124"/>
        <v>#REF!</v>
      </c>
      <c r="AI65" s="234" t="e">
        <f t="shared" ref="AI65:BN65" si="125">AI63/(AI62+AI61)</f>
        <v>#REF!</v>
      </c>
      <c r="AJ65" s="234" t="e">
        <f t="shared" si="125"/>
        <v>#REF!</v>
      </c>
      <c r="AK65" s="234" t="e">
        <f t="shared" si="125"/>
        <v>#REF!</v>
      </c>
      <c r="AL65" s="234" t="e">
        <f t="shared" si="125"/>
        <v>#REF!</v>
      </c>
      <c r="AM65" s="233" t="e">
        <f t="shared" si="125"/>
        <v>#REF!</v>
      </c>
      <c r="AN65" s="234" t="e">
        <f t="shared" si="125"/>
        <v>#REF!</v>
      </c>
      <c r="AO65" s="234" t="e">
        <f t="shared" si="125"/>
        <v>#REF!</v>
      </c>
      <c r="AP65" s="234" t="e">
        <f t="shared" si="125"/>
        <v>#REF!</v>
      </c>
      <c r="AQ65" s="234" t="e">
        <f t="shared" si="125"/>
        <v>#REF!</v>
      </c>
      <c r="AR65" s="233" t="e">
        <f t="shared" si="125"/>
        <v>#REF!</v>
      </c>
      <c r="AS65" s="234" t="e">
        <f t="shared" si="125"/>
        <v>#REF!</v>
      </c>
      <c r="AT65" s="234" t="e">
        <f t="shared" si="125"/>
        <v>#REF!</v>
      </c>
      <c r="AU65" s="234" t="e">
        <f t="shared" si="125"/>
        <v>#REF!</v>
      </c>
      <c r="AV65" s="234" t="e">
        <f t="shared" si="125"/>
        <v>#REF!</v>
      </c>
      <c r="AW65" s="233" t="e">
        <f t="shared" si="125"/>
        <v>#REF!</v>
      </c>
      <c r="AX65" s="234" t="e">
        <f t="shared" si="125"/>
        <v>#REF!</v>
      </c>
      <c r="AY65" s="234" t="e">
        <f t="shared" si="125"/>
        <v>#REF!</v>
      </c>
      <c r="AZ65" s="234" t="e">
        <f t="shared" si="125"/>
        <v>#REF!</v>
      </c>
      <c r="BA65" s="234" t="e">
        <f t="shared" si="125"/>
        <v>#REF!</v>
      </c>
      <c r="BB65" s="233" t="e">
        <f t="shared" si="125"/>
        <v>#REF!</v>
      </c>
      <c r="BC65" s="234" t="e">
        <f t="shared" si="125"/>
        <v>#REF!</v>
      </c>
      <c r="BD65" s="234" t="e">
        <f t="shared" si="125"/>
        <v>#REF!</v>
      </c>
      <c r="BE65" s="234" t="e">
        <f t="shared" si="125"/>
        <v>#REF!</v>
      </c>
      <c r="BF65" s="234" t="e">
        <f t="shared" si="125"/>
        <v>#REF!</v>
      </c>
      <c r="BG65" s="233" t="e">
        <f t="shared" si="125"/>
        <v>#REF!</v>
      </c>
      <c r="BH65" s="234" t="e">
        <f t="shared" si="125"/>
        <v>#REF!</v>
      </c>
      <c r="BI65" s="234" t="e">
        <f t="shared" si="125"/>
        <v>#REF!</v>
      </c>
      <c r="BJ65" s="234" t="e">
        <f t="shared" si="125"/>
        <v>#REF!</v>
      </c>
      <c r="BK65" s="234" t="e">
        <f t="shared" si="125"/>
        <v>#REF!</v>
      </c>
      <c r="BL65" s="233" t="e">
        <f t="shared" si="125"/>
        <v>#REF!</v>
      </c>
      <c r="BM65" s="234" t="e">
        <f t="shared" si="125"/>
        <v>#REF!</v>
      </c>
      <c r="BN65" s="234" t="e">
        <f t="shared" si="125"/>
        <v>#REF!</v>
      </c>
      <c r="BO65" s="234" t="e">
        <f t="shared" ref="BO65:CS65" si="126">BO63/(BO62+BO61)</f>
        <v>#REF!</v>
      </c>
      <c r="BP65" s="234" t="e">
        <f t="shared" si="126"/>
        <v>#REF!</v>
      </c>
      <c r="BQ65" s="233" t="e">
        <f t="shared" si="126"/>
        <v>#REF!</v>
      </c>
      <c r="BR65" s="234" t="e">
        <f t="shared" si="126"/>
        <v>#REF!</v>
      </c>
      <c r="BS65" s="234" t="e">
        <f t="shared" si="126"/>
        <v>#REF!</v>
      </c>
      <c r="BT65" s="234" t="e">
        <f t="shared" si="126"/>
        <v>#REF!</v>
      </c>
      <c r="BU65" s="234" t="e">
        <f t="shared" si="126"/>
        <v>#REF!</v>
      </c>
      <c r="BV65" s="233" t="e">
        <f t="shared" si="126"/>
        <v>#REF!</v>
      </c>
      <c r="BW65" s="234" t="e">
        <f t="shared" si="126"/>
        <v>#REF!</v>
      </c>
      <c r="BX65" s="234" t="e">
        <f t="shared" si="126"/>
        <v>#REF!</v>
      </c>
      <c r="BY65" s="234" t="e">
        <f t="shared" si="126"/>
        <v>#REF!</v>
      </c>
      <c r="BZ65" s="234" t="e">
        <f t="shared" si="126"/>
        <v>#REF!</v>
      </c>
      <c r="CA65" s="233" t="e">
        <f t="shared" si="126"/>
        <v>#REF!</v>
      </c>
      <c r="CB65" s="234" t="e">
        <f t="shared" si="126"/>
        <v>#REF!</v>
      </c>
      <c r="CC65" s="234" t="e">
        <f t="shared" si="126"/>
        <v>#REF!</v>
      </c>
      <c r="CD65" s="234" t="e">
        <f t="shared" si="126"/>
        <v>#REF!</v>
      </c>
      <c r="CE65" s="234" t="e">
        <f t="shared" si="126"/>
        <v>#REF!</v>
      </c>
      <c r="CF65" s="233" t="e">
        <f t="shared" si="126"/>
        <v>#REF!</v>
      </c>
      <c r="CG65" s="234" t="e">
        <f t="shared" si="126"/>
        <v>#REF!</v>
      </c>
      <c r="CH65" s="234" t="e">
        <f t="shared" si="126"/>
        <v>#REF!</v>
      </c>
      <c r="CI65" s="234" t="e">
        <f t="shared" si="126"/>
        <v>#REF!</v>
      </c>
      <c r="CJ65" s="234" t="e">
        <f t="shared" si="126"/>
        <v>#REF!</v>
      </c>
      <c r="CK65" s="233" t="e">
        <f t="shared" si="126"/>
        <v>#REF!</v>
      </c>
      <c r="CL65" s="234" t="e">
        <f t="shared" si="126"/>
        <v>#REF!</v>
      </c>
      <c r="CM65" s="234" t="e">
        <f t="shared" si="126"/>
        <v>#REF!</v>
      </c>
      <c r="CN65" s="234" t="e">
        <f t="shared" si="126"/>
        <v>#REF!</v>
      </c>
      <c r="CO65" s="234" t="e">
        <f t="shared" si="126"/>
        <v>#REF!</v>
      </c>
      <c r="CP65" s="233" t="e">
        <f t="shared" si="126"/>
        <v>#REF!</v>
      </c>
      <c r="CQ65" s="233" t="e">
        <f t="shared" si="126"/>
        <v>#REF!</v>
      </c>
      <c r="CR65" s="233" t="e">
        <f t="shared" si="126"/>
        <v>#REF!</v>
      </c>
      <c r="CS65" s="233" t="e">
        <f t="shared" si="126"/>
        <v>#REF!</v>
      </c>
    </row>
    <row r="66" spans="2:97" ht="12" customHeight="1">
      <c r="C66" s="233"/>
      <c r="D66" s="233"/>
      <c r="E66" s="233"/>
      <c r="F66" s="233"/>
      <c r="G66" s="233"/>
      <c r="H66" s="233"/>
      <c r="I66" s="233"/>
      <c r="J66" s="234"/>
      <c r="K66" s="234"/>
      <c r="L66" s="234"/>
      <c r="M66" s="234"/>
      <c r="N66" s="233"/>
      <c r="O66" s="234"/>
      <c r="P66" s="234"/>
      <c r="Q66" s="234"/>
      <c r="R66" s="234"/>
      <c r="S66" s="233"/>
      <c r="T66" s="234"/>
      <c r="U66" s="234"/>
      <c r="V66" s="234"/>
      <c r="W66" s="234"/>
      <c r="X66" s="233"/>
      <c r="Y66" s="234"/>
      <c r="Z66" s="234"/>
      <c r="AA66" s="234"/>
      <c r="AB66" s="234"/>
      <c r="AC66" s="233"/>
      <c r="AD66" s="234"/>
      <c r="AE66" s="234"/>
      <c r="AF66" s="234"/>
      <c r="AG66" s="234"/>
      <c r="AH66" s="233"/>
      <c r="AI66" s="234"/>
      <c r="AJ66" s="234"/>
      <c r="AK66" s="234"/>
      <c r="AL66" s="234"/>
      <c r="AM66" s="233"/>
      <c r="AN66" s="234"/>
      <c r="AO66" s="234"/>
      <c r="AP66" s="234"/>
      <c r="AQ66" s="234"/>
      <c r="AR66" s="233"/>
      <c r="AS66" s="234"/>
      <c r="AT66" s="234"/>
      <c r="AU66" s="234"/>
      <c r="AV66" s="234"/>
      <c r="AW66" s="233"/>
      <c r="AX66" s="234"/>
      <c r="AY66" s="234"/>
      <c r="AZ66" s="234"/>
      <c r="BA66" s="234"/>
      <c r="BB66" s="233"/>
      <c r="BC66" s="234"/>
      <c r="BD66" s="234"/>
      <c r="BE66" s="234"/>
      <c r="BF66" s="234"/>
      <c r="BG66" s="233"/>
      <c r="BH66" s="234"/>
      <c r="BI66" s="234"/>
      <c r="BJ66" s="234"/>
      <c r="BK66" s="234"/>
      <c r="BL66" s="233"/>
      <c r="BM66" s="234"/>
      <c r="BN66" s="234"/>
      <c r="BO66" s="234"/>
      <c r="BP66" s="234"/>
      <c r="BQ66" s="233"/>
      <c r="BR66" s="234"/>
      <c r="BS66" s="234"/>
      <c r="BT66" s="234"/>
      <c r="BU66" s="234"/>
      <c r="BV66" s="233"/>
      <c r="BW66" s="234"/>
      <c r="BX66" s="234"/>
      <c r="BY66" s="234"/>
      <c r="BZ66" s="234"/>
      <c r="CA66" s="233"/>
      <c r="CB66" s="234"/>
      <c r="CC66" s="234"/>
      <c r="CD66" s="234"/>
      <c r="CE66" s="234"/>
      <c r="CF66" s="233"/>
      <c r="CG66" s="234"/>
      <c r="CH66" s="234"/>
      <c r="CI66" s="234"/>
      <c r="CJ66" s="234"/>
      <c r="CK66" s="233"/>
      <c r="CL66" s="234"/>
      <c r="CM66" s="234"/>
      <c r="CN66" s="234"/>
      <c r="CO66" s="234"/>
      <c r="CP66" s="233"/>
      <c r="CQ66" s="233"/>
      <c r="CR66" s="233"/>
      <c r="CS66" s="233"/>
    </row>
    <row r="67" spans="2:97" ht="12" customHeight="1">
      <c r="B67" s="360" t="s">
        <v>151</v>
      </c>
      <c r="C67" s="205"/>
      <c r="D67" s="205"/>
      <c r="E67" s="205"/>
      <c r="F67" s="205"/>
      <c r="G67" s="205"/>
      <c r="H67" s="205"/>
      <c r="I67" s="205"/>
      <c r="N67" s="205"/>
      <c r="S67" s="205"/>
      <c r="X67" s="205"/>
      <c r="AC67" s="205"/>
      <c r="AH67" s="205"/>
      <c r="AM67" s="205"/>
      <c r="AR67" s="205"/>
      <c r="AW67" s="205"/>
      <c r="BB67" s="205"/>
      <c r="BG67" s="205"/>
      <c r="BL67" s="205"/>
      <c r="BQ67" s="205"/>
      <c r="BV67" s="205"/>
      <c r="CA67" s="205"/>
      <c r="CF67" s="205"/>
      <c r="CK67" s="205"/>
      <c r="CP67" s="205"/>
      <c r="CQ67" s="205"/>
      <c r="CR67" s="205"/>
      <c r="CS67" s="205"/>
    </row>
    <row r="68" spans="2:97" ht="12" customHeight="1">
      <c r="B68" s="197" t="s">
        <v>152</v>
      </c>
      <c r="C68" s="382"/>
      <c r="D68" s="205">
        <f t="shared" ref="D68:AI68" si="127">D12-D29</f>
        <v>219.58199999999999</v>
      </c>
      <c r="E68" s="205">
        <f t="shared" si="127"/>
        <v>117.30000000000001</v>
      </c>
      <c r="F68" s="205">
        <f t="shared" si="127"/>
        <v>128.1</v>
      </c>
      <c r="G68" s="205">
        <f t="shared" si="127"/>
        <v>80.499999999999915</v>
      </c>
      <c r="H68" s="205">
        <f t="shared" si="127"/>
        <v>-530.80000000000007</v>
      </c>
      <c r="I68" s="205">
        <f t="shared" si="127"/>
        <v>140.69999999999999</v>
      </c>
      <c r="J68" s="156">
        <f t="shared" si="127"/>
        <v>143.00000000000006</v>
      </c>
      <c r="K68" s="156">
        <f t="shared" si="127"/>
        <v>161.39999999999998</v>
      </c>
      <c r="L68" s="156">
        <f t="shared" si="127"/>
        <v>160.4</v>
      </c>
      <c r="M68" s="156">
        <f t="shared" si="127"/>
        <v>157.29999999999995</v>
      </c>
      <c r="N68" s="205">
        <f t="shared" si="127"/>
        <v>157.29999999999995</v>
      </c>
      <c r="O68" s="156">
        <f t="shared" si="127"/>
        <v>175.50000000000006</v>
      </c>
      <c r="P68" s="156">
        <f t="shared" si="127"/>
        <v>174.39999999999998</v>
      </c>
      <c r="Q68" s="156">
        <f t="shared" si="127"/>
        <v>151.5</v>
      </c>
      <c r="R68" s="156">
        <f t="shared" si="127"/>
        <v>174.50000000000006</v>
      </c>
      <c r="S68" s="205">
        <f t="shared" si="127"/>
        <v>174.50000000000006</v>
      </c>
      <c r="T68" s="156">
        <f t="shared" si="127"/>
        <v>212</v>
      </c>
      <c r="U68" s="156">
        <f t="shared" si="127"/>
        <v>205.90000000000003</v>
      </c>
      <c r="V68" s="156">
        <f t="shared" si="127"/>
        <v>211.09999999999997</v>
      </c>
      <c r="W68" s="156">
        <f t="shared" si="127"/>
        <v>206.5</v>
      </c>
      <c r="X68" s="205">
        <f t="shared" si="127"/>
        <v>206.5</v>
      </c>
      <c r="Y68" s="156">
        <f t="shared" si="127"/>
        <v>243.5</v>
      </c>
      <c r="Z68" s="156">
        <f t="shared" si="127"/>
        <v>220.4</v>
      </c>
      <c r="AA68" s="156">
        <f t="shared" si="127"/>
        <v>203.2</v>
      </c>
      <c r="AB68" s="156">
        <f t="shared" si="127"/>
        <v>190.70000000000002</v>
      </c>
      <c r="AC68" s="205">
        <f t="shared" si="127"/>
        <v>190.70000000000002</v>
      </c>
      <c r="AD68" s="156">
        <f t="shared" si="127"/>
        <v>253.09999999999997</v>
      </c>
      <c r="AE68" s="156">
        <f t="shared" si="127"/>
        <v>287.5</v>
      </c>
      <c r="AF68" s="156">
        <f t="shared" si="127"/>
        <v>295.29999999999995</v>
      </c>
      <c r="AG68" s="156">
        <f t="shared" si="127"/>
        <v>256.5</v>
      </c>
      <c r="AH68" s="205">
        <f t="shared" si="127"/>
        <v>256.5</v>
      </c>
      <c r="AI68" s="156">
        <f t="shared" si="127"/>
        <v>267.90000000000003</v>
      </c>
      <c r="AJ68" s="383">
        <f t="shared" ref="AJ68:BO68" si="128">AJ12-AJ29</f>
        <v>282.89999999999998</v>
      </c>
      <c r="AK68" s="383">
        <f t="shared" si="128"/>
        <v>289.60000000000002</v>
      </c>
      <c r="AL68" s="383">
        <f t="shared" si="128"/>
        <v>259.39999999999998</v>
      </c>
      <c r="AM68" s="205">
        <f t="shared" si="128"/>
        <v>259.39999999999998</v>
      </c>
      <c r="AN68" s="156">
        <f t="shared" si="128"/>
        <v>272.70000000000005</v>
      </c>
      <c r="AO68" s="156">
        <f t="shared" si="128"/>
        <v>294.59999999999997</v>
      </c>
      <c r="AP68" s="383">
        <f t="shared" si="128"/>
        <v>302.89999999999998</v>
      </c>
      <c r="AQ68" s="156">
        <f t="shared" si="128"/>
        <v>291.79999999999995</v>
      </c>
      <c r="AR68" s="205">
        <f t="shared" si="128"/>
        <v>291.79999999999995</v>
      </c>
      <c r="AS68" s="156">
        <f t="shared" si="128"/>
        <v>295</v>
      </c>
      <c r="AT68" s="156">
        <f t="shared" si="128"/>
        <v>295.29999999999995</v>
      </c>
      <c r="AU68" s="156">
        <f t="shared" si="128"/>
        <v>309.29999999999995</v>
      </c>
      <c r="AV68" s="156">
        <f t="shared" si="128"/>
        <v>276.79999999999995</v>
      </c>
      <c r="AW68" s="205">
        <f t="shared" si="128"/>
        <v>276.79999999999995</v>
      </c>
      <c r="AX68" s="156">
        <f t="shared" si="128"/>
        <v>364.00000000000011</v>
      </c>
      <c r="AY68" s="156">
        <f t="shared" si="128"/>
        <v>350.20000000000005</v>
      </c>
      <c r="AZ68" s="156">
        <f t="shared" si="128"/>
        <v>354.69999999999993</v>
      </c>
      <c r="BA68" s="156">
        <f t="shared" si="128"/>
        <v>340.40000000000003</v>
      </c>
      <c r="BB68" s="205">
        <f t="shared" si="128"/>
        <v>340.40000000000003</v>
      </c>
      <c r="BC68" s="156">
        <f t="shared" si="128"/>
        <v>351.8</v>
      </c>
      <c r="BD68" s="156">
        <f t="shared" si="128"/>
        <v>412.59999999999997</v>
      </c>
      <c r="BE68" s="156">
        <f t="shared" si="128"/>
        <v>409.80000000000007</v>
      </c>
      <c r="BF68" s="156">
        <f t="shared" si="128"/>
        <v>387.70000000000005</v>
      </c>
      <c r="BG68" s="205">
        <f t="shared" si="128"/>
        <v>387.70000000000005</v>
      </c>
      <c r="BH68" s="156">
        <f t="shared" si="128"/>
        <v>437.7999999999999</v>
      </c>
      <c r="BI68" s="156">
        <f t="shared" si="128"/>
        <v>426.20000000000005</v>
      </c>
      <c r="BJ68" s="156">
        <f t="shared" si="128"/>
        <v>408.8</v>
      </c>
      <c r="BK68" s="156">
        <f t="shared" si="128"/>
        <v>371.1</v>
      </c>
      <c r="BL68" s="205">
        <f t="shared" si="128"/>
        <v>371.1</v>
      </c>
      <c r="BM68" s="156">
        <f t="shared" si="128"/>
        <v>431.69999999999993</v>
      </c>
      <c r="BN68" s="156">
        <f t="shared" si="128"/>
        <v>471.1</v>
      </c>
      <c r="BO68" s="156">
        <f t="shared" si="128"/>
        <v>450</v>
      </c>
      <c r="BP68" s="156">
        <f t="shared" ref="BP68:CS68" si="129">BP12-BP29</f>
        <v>341.19999999999993</v>
      </c>
      <c r="BQ68" s="205">
        <f t="shared" si="129"/>
        <v>341.19999999999993</v>
      </c>
      <c r="BR68" s="156">
        <f t="shared" si="129"/>
        <v>427.7000000000001</v>
      </c>
      <c r="BS68" s="156">
        <f t="shared" si="129"/>
        <v>413</v>
      </c>
      <c r="BT68" s="156">
        <f t="shared" si="129"/>
        <v>364.5</v>
      </c>
      <c r="BU68" s="156">
        <f t="shared" si="129"/>
        <v>335.09999999999997</v>
      </c>
      <c r="BV68" s="205">
        <f t="shared" si="129"/>
        <v>335.09999999999997</v>
      </c>
      <c r="BW68" s="156">
        <f t="shared" si="129"/>
        <v>412.00000000000011</v>
      </c>
      <c r="BX68" s="156">
        <f t="shared" si="129"/>
        <v>377.59999999999997</v>
      </c>
      <c r="BY68" s="156">
        <f t="shared" si="129"/>
        <v>449.70000000000005</v>
      </c>
      <c r="BZ68" s="156">
        <f t="shared" si="129"/>
        <v>394.59999999999991</v>
      </c>
      <c r="CA68" s="205">
        <f t="shared" si="129"/>
        <v>394.59999999999991</v>
      </c>
      <c r="CB68" s="156">
        <f t="shared" si="129"/>
        <v>445.10000000000008</v>
      </c>
      <c r="CC68" s="156">
        <f t="shared" si="129"/>
        <v>414.00000000000011</v>
      </c>
      <c r="CD68" s="156">
        <f t="shared" si="129"/>
        <v>428.1</v>
      </c>
      <c r="CE68" s="156">
        <f t="shared" si="129"/>
        <v>349.09999999999991</v>
      </c>
      <c r="CF68" s="205">
        <f t="shared" si="129"/>
        <v>349.09999999999991</v>
      </c>
      <c r="CG68" s="156">
        <f t="shared" si="129"/>
        <v>432.4</v>
      </c>
      <c r="CH68" s="156">
        <f t="shared" si="129"/>
        <v>438.40000000000003</v>
      </c>
      <c r="CI68" s="156">
        <f t="shared" si="129"/>
        <v>424.59999999999991</v>
      </c>
      <c r="CJ68" s="156">
        <f t="shared" si="129"/>
        <v>382.30000000000007</v>
      </c>
      <c r="CK68" s="205">
        <f t="shared" si="129"/>
        <v>382.30000000000007</v>
      </c>
      <c r="CL68" s="156">
        <f t="shared" si="129"/>
        <v>730.4</v>
      </c>
      <c r="CM68" s="156">
        <f t="shared" si="129"/>
        <v>444.5413530940171</v>
      </c>
      <c r="CN68" s="156">
        <f t="shared" si="129"/>
        <v>505.54141048333332</v>
      </c>
      <c r="CO68" s="156">
        <f t="shared" si="129"/>
        <v>628.79367573612899</v>
      </c>
      <c r="CP68" s="205">
        <f t="shared" si="129"/>
        <v>628.79367573612899</v>
      </c>
      <c r="CQ68" s="205">
        <f t="shared" si="129"/>
        <v>504.22669330853194</v>
      </c>
      <c r="CR68" s="205">
        <f t="shared" si="129"/>
        <v>504.96873903958692</v>
      </c>
      <c r="CS68" s="205">
        <f t="shared" si="129"/>
        <v>557.16805866454774</v>
      </c>
    </row>
    <row r="69" spans="2:97" ht="12" customHeight="1">
      <c r="B69" s="197" t="s">
        <v>153</v>
      </c>
      <c r="C69" s="382"/>
      <c r="D69" s="205">
        <f>AVERAGE(C8,D8)/('IS (2)'!D6/365)</f>
        <v>61.930188311950658</v>
      </c>
      <c r="E69" s="205">
        <f>AVERAGE(D8,E8)/('IS (2)'!E6/365)</f>
        <v>54.990586191923576</v>
      </c>
      <c r="F69" s="205">
        <f>AVERAGE(E8,F8)/('IS (2)'!F6/365)</f>
        <v>53.399876858956134</v>
      </c>
      <c r="G69" s="205">
        <f>AVERAGE(F8,G8)/('IS (2)'!G6/365)</f>
        <v>52.57677828412919</v>
      </c>
      <c r="H69" s="205">
        <f>AVERAGE(G8,H8)/('IS (2)'!H6/365)</f>
        <v>55.299130230371425</v>
      </c>
      <c r="I69" s="205">
        <f>AVERAGE(H8,I8)/('IS (2)'!I6/365)</f>
        <v>49.547050953283538</v>
      </c>
      <c r="J69" s="156">
        <f>AVERAGE(I8,J8)/('IS (2)'!J6/90)</f>
        <v>46.404109589041099</v>
      </c>
      <c r="K69" s="156">
        <f>AVERAGE(J8,K8)/('IS (2)'!K6/90)</f>
        <v>49.82733284349743</v>
      </c>
      <c r="L69" s="156">
        <f>AVERAGE(K8,L8)/('IS (2)'!L6/90)</f>
        <v>51.77309007981755</v>
      </c>
      <c r="M69" s="156">
        <f>AVERAGE(L8,M8)/('IS (2)'!M6/90)</f>
        <v>48.777134587554279</v>
      </c>
      <c r="N69" s="205">
        <f>AVERAGE(I8,N8)/('IS (2)'!N6/365)</f>
        <v>47.506049325267561</v>
      </c>
      <c r="O69" s="156">
        <f>AVERAGE(N8,O8)/('IS (2)'!O6/90)</f>
        <v>50.063661390227111</v>
      </c>
      <c r="P69" s="156">
        <f>AVERAGE(O8,P8)/('IS (2)'!P6/90)</f>
        <v>50.044972695149376</v>
      </c>
      <c r="Q69" s="156">
        <f>AVERAGE(P8,Q8)/('IS (2)'!Q6/90)</f>
        <v>55.021691973969631</v>
      </c>
      <c r="R69" s="156">
        <f>AVERAGE(Q8,R8)/('IS (2)'!R6/90)</f>
        <v>50.535524920466607</v>
      </c>
      <c r="S69" s="205">
        <f>AVERAGE(N8,S8)/('IS (2)'!S6/365)</f>
        <v>48.618477699328395</v>
      </c>
      <c r="T69" s="156">
        <f>AVERAGE(S8,T8)/('IS (2)'!T6/90)</f>
        <v>51.332247557003264</v>
      </c>
      <c r="U69" s="156">
        <f>AVERAGE(T8,U8)/('IS (2)'!U6/90)</f>
        <v>55.594936708860757</v>
      </c>
      <c r="V69" s="156">
        <f>AVERAGE(U8,V8)/('IS (2)'!V6/90)</f>
        <v>59.756139744033199</v>
      </c>
      <c r="W69" s="156">
        <f>AVERAGE(V8,W8)/('IS (2)'!W6/90)</f>
        <v>59.14056939501782</v>
      </c>
      <c r="X69" s="205">
        <f>AVERAGE(S8,X8)/('IS (2)'!X6/365)</f>
        <v>51.609672282289829</v>
      </c>
      <c r="Y69" s="156">
        <f>AVERAGE(X8,Y8)/('IS (2)'!Y6/90)</f>
        <v>61.114649681528661</v>
      </c>
      <c r="Z69" s="156">
        <f>AVERAGE(Y8,Z8)/('IS (2)'!Z6/90)</f>
        <v>61.226708074534159</v>
      </c>
      <c r="AA69" s="156">
        <f>AVERAGE(Z8,AA8)/('IS (2)'!AA6/90)</f>
        <v>60.352187833511202</v>
      </c>
      <c r="AB69" s="156">
        <f>AVERAGE(AA8,AB8)/('IS (2)'!AB6/90)</f>
        <v>53.529596977330009</v>
      </c>
      <c r="AC69" s="205">
        <f>AVERAGE(X8,AC8)/('IS (2)'!AC6/365)</f>
        <v>58.329561950303138</v>
      </c>
      <c r="AD69" s="156">
        <f>AVERAGE(AC8,AD8)/('IS (2)'!AD6/90)</f>
        <v>56.23367198838897</v>
      </c>
      <c r="AE69" s="156">
        <f>AVERAGE(AD8,AE8)/('IS (2)'!AE6/90)</f>
        <v>60.471488178025041</v>
      </c>
      <c r="AF69" s="156">
        <f>AVERAGE(AE8,AF8)/('IS (2)'!AF6/90)</f>
        <v>61.6611345805673</v>
      </c>
      <c r="AG69" s="156">
        <f>AVERAGE(AF8,AG8)/('IS (2)'!AG6/90)</f>
        <v>61.880829015544045</v>
      </c>
      <c r="AH69" s="205">
        <f>AVERAGE(AC8,AH8)/('IS (2)'!AH6/365)</f>
        <v>52.646614838855761</v>
      </c>
      <c r="AI69" s="156">
        <f>AVERAGE(AH8,AI8)/('IS (2)'!AI6/90)</f>
        <v>59.629027009437038</v>
      </c>
      <c r="AJ69" s="383">
        <f>AVERAGE(AI8,AJ8)/('IS (2)'!AJ6/90)</f>
        <v>63.49981968986657</v>
      </c>
      <c r="AK69" s="383">
        <f>AVERAGE(AJ8,AK8)/('IS (2)'!AK6/90)</f>
        <v>57.28704784130688</v>
      </c>
      <c r="AL69" s="383">
        <f>AVERAGE(AK8,AL8)/('IS (2)'!AL6/90)</f>
        <v>52.696924231057764</v>
      </c>
      <c r="AM69" s="205">
        <f>AVERAGE(AH8,AM8)/('IS (2)'!AM6/365)</f>
        <v>57.271045745736707</v>
      </c>
      <c r="AN69" s="156">
        <f>AVERAGE(AM8,AN8)/('IS (2)'!AN6/90)</f>
        <v>55.950570342205324</v>
      </c>
      <c r="AO69" s="156">
        <f>AVERAGE(AN8,AO8)/('IS (2)'!AO6/90)</f>
        <v>53.643067846607664</v>
      </c>
      <c r="AP69" s="383">
        <f>AVERAGE(AO8,AP8)/('IS (2)'!AP6/90)</f>
        <v>57.758913412563672</v>
      </c>
      <c r="AQ69" s="156">
        <f>AVERAGE(AP8,AQ8)/('IS (2)'!AQ6/90)</f>
        <v>51.62700964630227</v>
      </c>
      <c r="AR69" s="205">
        <f>AVERAGE(AM8,AR8)/('IS (2)'!AR6/365)</f>
        <v>51.674122358554882</v>
      </c>
      <c r="AS69" s="156">
        <f>AVERAGE(AR8,AS8)/('IS (2)'!AS6/90)</f>
        <v>52.097406513872123</v>
      </c>
      <c r="AT69" s="156">
        <f>AVERAGE(AS8,AT8)/('IS (2)'!AT6/90)</f>
        <v>53.155216284987283</v>
      </c>
      <c r="AU69" s="156">
        <f>AVERAGE(AT8,AU8)/('IS (2)'!AU6/90)</f>
        <v>53.250426378624219</v>
      </c>
      <c r="AV69" s="156">
        <f>AVERAGE(AU8,AV8)/('IS (2)'!AV6/90)</f>
        <v>51.649310441880097</v>
      </c>
      <c r="AW69" s="205">
        <f>AVERAGE(AR8,AW8)/('IS (2)'!AW6/365)</f>
        <v>48.914823326630291</v>
      </c>
      <c r="AX69" s="156">
        <f>AVERAGE(AW8,AX8)/('IS (2)'!AX6/90)</f>
        <v>50.646088477880525</v>
      </c>
      <c r="AY69" s="156">
        <f>AVERAGE(AX8,AY8)/('IS (2)'!AY6/90)</f>
        <v>56.520541082164328</v>
      </c>
      <c r="AZ69" s="156">
        <f>AVERAGE(AY8,AZ8)/('IS (2)'!AZ6/90)</f>
        <v>56.606230847803886</v>
      </c>
      <c r="BA69" s="156">
        <f>AVERAGE(AZ8,BA8)/('IS (2)'!BA6/90)</f>
        <v>54.748257164988374</v>
      </c>
      <c r="BB69" s="205">
        <f>AVERAGE(AW8,BB8)/('IS (2)'!BB6/365)</f>
        <v>49.527784818147254</v>
      </c>
      <c r="BC69" s="156">
        <f>AVERAGE(BB8,BC8)/('IS (2)'!BC6/90)</f>
        <v>53.816326530612244</v>
      </c>
      <c r="BD69" s="156">
        <f>AVERAGE(BC8,BD8)/('IS (2)'!BD6/90)</f>
        <v>54.86038807382868</v>
      </c>
      <c r="BE69" s="156">
        <f>AVERAGE(BD8,BE8)/('IS (2)'!BE6/90)</f>
        <v>52.640067911714766</v>
      </c>
      <c r="BF69" s="156">
        <f>AVERAGE(BE8,BF8)/('IS (2)'!BF6/90)</f>
        <v>49.407216494845358</v>
      </c>
      <c r="BG69" s="205">
        <f>AVERAGE(BB8,BG8)/('IS (2)'!BG6/365)</f>
        <v>50.1760815159099</v>
      </c>
      <c r="BH69" s="156">
        <f>AVERAGE(BG8,BH8)/('IS (2)'!BH6/90)</f>
        <v>50.029239766081865</v>
      </c>
      <c r="BI69" s="156">
        <f>AVERAGE(BH8,BI8)/('IS (2)'!BI6/90)</f>
        <v>53.835354179961705</v>
      </c>
      <c r="BJ69" s="156">
        <f>AVERAGE(BI8,BJ8)/('IS (2)'!BJ6/90)</f>
        <v>53.484177915468031</v>
      </c>
      <c r="BK69" s="156">
        <f>AVERAGE(BJ8,BK8)/('IS (2)'!BK6/90)</f>
        <v>46.650063586265361</v>
      </c>
      <c r="BL69" s="205">
        <f>AVERAGE(BG8,BL8)/('IS (2)'!BL6/365)</f>
        <v>45.824171382376726</v>
      </c>
      <c r="BM69" s="156">
        <f>AVERAGE(BL8,BM8)/('IS (2)'!BM6/90)</f>
        <v>49.912038999576083</v>
      </c>
      <c r="BN69" s="156">
        <f>AVERAGE(BM8,BN8)/('IS (2)'!BN6/90)</f>
        <v>54.251629178053392</v>
      </c>
      <c r="BO69" s="156">
        <f>AVERAGE(BN8,BO8)/('IS (2)'!BO6/90)</f>
        <v>54.274732620320854</v>
      </c>
      <c r="BP69" s="156">
        <f>AVERAGE(BO8,BP8)/('IS (2)'!BP6/90)</f>
        <v>47.584426758442675</v>
      </c>
      <c r="BQ69" s="205">
        <f>AVERAGE(BL8,BQ8)/('IS (2)'!BQ6/365)</f>
        <v>45.840721040189123</v>
      </c>
      <c r="BR69" s="156">
        <f>AVERAGE(BQ8,BR8)/('IS (2)'!BR6/90)</f>
        <v>49.195298372513562</v>
      </c>
      <c r="BS69" s="156">
        <f>AVERAGE(BR8,BS8)/('IS (2)'!BS6/90)</f>
        <v>51.699196326062008</v>
      </c>
      <c r="BT69" s="156">
        <f>AVERAGE(BS8,BT8)/('IS (2)'!BT6/90)</f>
        <v>48.974025974025977</v>
      </c>
      <c r="BU69" s="156">
        <f>AVERAGE(BT8,BU8)/('IS (2)'!BU6/90)</f>
        <v>46.535677352637023</v>
      </c>
      <c r="BV69" s="205">
        <f>AVERAGE(BQ8,BV8)/('IS (2)'!BV6/365)</f>
        <v>43.66961033777379</v>
      </c>
      <c r="BW69" s="156">
        <f>AVERAGE(BV8,BW8)/('IS (2)'!BW6/90)</f>
        <v>48.214285714285708</v>
      </c>
      <c r="BX69" s="156">
        <f>AVERAGE(BW8,BX8)/('IS (2)'!BX6/90)</f>
        <v>47.692855688988402</v>
      </c>
      <c r="BY69" s="156">
        <f>AVERAGE(BX8,BY8)/('IS (2)'!BY6/90)</f>
        <v>45.622583926754835</v>
      </c>
      <c r="BZ69" s="156">
        <f>AVERAGE(BY8,BZ8)/('IS (2)'!BZ6/90)</f>
        <v>43.417041235098694</v>
      </c>
      <c r="CA69" s="205">
        <f>AVERAGE(BV8,CA8)/('IS (2)'!CA6/365)</f>
        <v>45.715172553590428</v>
      </c>
      <c r="CB69" s="156">
        <f>AVERAGE(CA8,CB8)/('IS (2)'!CB6/90)</f>
        <v>45.349935197185701</v>
      </c>
      <c r="CC69" s="156">
        <f>AVERAGE(CB8,CC8)/('IS (2)'!CC6/90)</f>
        <v>47.901369863013699</v>
      </c>
      <c r="CD69" s="156">
        <f>AVERAGE(CC8,CD8)/('IS (2)'!CD6/90)</f>
        <v>46.415356151711379</v>
      </c>
      <c r="CE69" s="156">
        <f>AVERAGE(CD8,CE8)/('IS (2)'!CE6/90)</f>
        <v>42.609625668449198</v>
      </c>
      <c r="CF69" s="205">
        <f>AVERAGE(CA8,CF8)/('IS (2)'!CF6/365)</f>
        <v>42.484125896487136</v>
      </c>
      <c r="CG69" s="156">
        <f>AVERAGE(CF8,CG8)/('IS (2)'!CG6/90)</f>
        <v>43.177570093457952</v>
      </c>
      <c r="CH69" s="156">
        <f>AVERAGE(CG8,CH8)/('IS (2)'!CH6/90)</f>
        <v>47.11330049261084</v>
      </c>
      <c r="CI69" s="156">
        <f>AVERAGE(CH8,CI8)/('IS (2)'!CI6/90)</f>
        <v>47.334497816593895</v>
      </c>
      <c r="CJ69" s="156">
        <f>AVERAGE(CI8,CJ8)/('IS (2)'!CJ6/90)</f>
        <v>41.188197767145141</v>
      </c>
      <c r="CK69" s="205">
        <f>AVERAGE(CF8,CK8)/('IS (2)'!CK6/365)</f>
        <v>37.844908095258312</v>
      </c>
      <c r="CL69" s="156">
        <f>AVERAGE(CK8,CL8)/('IS (2)'!CL6/90)</f>
        <v>41.115526802218113</v>
      </c>
      <c r="CM69" s="251">
        <v>47</v>
      </c>
      <c r="CN69" s="251">
        <v>46.5</v>
      </c>
      <c r="CO69" s="251">
        <v>45.6</v>
      </c>
      <c r="CP69" s="205">
        <f>AVERAGE(CK8,CP8)/('IS (2)'!CP6/365)</f>
        <v>49.700979918221407</v>
      </c>
      <c r="CQ69" s="223">
        <v>47</v>
      </c>
      <c r="CR69" s="223">
        <v>47</v>
      </c>
      <c r="CS69" s="223">
        <v>47</v>
      </c>
    </row>
    <row r="70" spans="2:97" ht="12" customHeight="1">
      <c r="B70" s="197" t="s">
        <v>154</v>
      </c>
      <c r="C70" s="382"/>
      <c r="D70" s="205">
        <f>-AVERAGE(C23,D23)/('IS (2)'!D7/365)</f>
        <v>33.894116424243535</v>
      </c>
      <c r="E70" s="205">
        <f>-AVERAGE(D23,E23)/('IS (2)'!E7/365)</f>
        <v>32.55868261826182</v>
      </c>
      <c r="F70" s="205">
        <f>-AVERAGE(E23,F23)/('IS (2)'!F7/365)</f>
        <v>33.143576367827251</v>
      </c>
      <c r="G70" s="205">
        <f>-AVERAGE(F23,G23)/('IS (2)'!G7/365)</f>
        <v>28.536525775714637</v>
      </c>
      <c r="H70" s="205">
        <f>-AVERAGE(G23,H23)/('IS (2)'!H7/365)</f>
        <v>30.041696881798405</v>
      </c>
      <c r="I70" s="205">
        <f>-AVERAGE(H23,I23)/('IS (2)'!I7/365)</f>
        <v>30.062984496124031</v>
      </c>
      <c r="J70" s="156">
        <f>-AVERAGE(I23,J23)/('IS (2)'!J7/90)</f>
        <v>31.469740634005767</v>
      </c>
      <c r="K70" s="156">
        <f>-AVERAGE(J23,K23)/('IS (2)'!K7/90)</f>
        <v>34.791172282866633</v>
      </c>
      <c r="L70" s="156">
        <f>-AVERAGE(K23,L23)/('IS (2)'!L7/90)</f>
        <v>35.14409221902018</v>
      </c>
      <c r="M70" s="156">
        <f>-AVERAGE(L23,M23)/('IS (2)'!M7/90)</f>
        <v>36.28034814475491</v>
      </c>
      <c r="N70" s="205">
        <f>-AVERAGE(I23,N23)/('IS (2)'!N7/365)</f>
        <v>34.302401230186888</v>
      </c>
      <c r="O70" s="156">
        <f>-AVERAGE(N23,O23)/('IS (2)'!O7/90)</f>
        <v>38.534252669039141</v>
      </c>
      <c r="P70" s="156">
        <f>-AVERAGE(O23,P23)/('IS (2)'!P7/90)</f>
        <v>35.24096385542169</v>
      </c>
      <c r="Q70" s="156">
        <f>-AVERAGE(P23,Q23)/('IS (2)'!Q7/90)</f>
        <v>36.461961503208073</v>
      </c>
      <c r="R70" s="156">
        <f>-AVERAGE(Q23,R23)/('IS (2)'!R7/90)</f>
        <v>36.34228187919463</v>
      </c>
      <c r="S70" s="205">
        <f>-AVERAGE(N23,S23)/('IS (2)'!S7/365)</f>
        <v>38.081183862433861</v>
      </c>
      <c r="T70" s="156">
        <f>-AVERAGE(S23,T23)/('IS (2)'!T7/90)</f>
        <v>37.598558711318347</v>
      </c>
      <c r="U70" s="156">
        <f>-AVERAGE(T23,U23)/('IS (2)'!U7/90)</f>
        <v>36.508391322144902</v>
      </c>
      <c r="V70" s="156">
        <f>-AVERAGE(U23,V23)/('IS (2)'!V7/90)</f>
        <v>36.887821911828901</v>
      </c>
      <c r="W70" s="156">
        <f>-AVERAGE(V23,W23)/('IS (2)'!W7/90)</f>
        <v>40.315068493150697</v>
      </c>
      <c r="X70" s="205">
        <f>-AVERAGE(S23,X23)/('IS (2)'!X7/365)</f>
        <v>39.024291716040075</v>
      </c>
      <c r="Y70" s="156">
        <f>-AVERAGE(X23,Y23)/('IS (2)'!Y7/90)</f>
        <v>43.081477972524873</v>
      </c>
      <c r="Z70" s="156">
        <f>-AVERAGE(Y23,Z23)/('IS (2)'!Z7/90)</f>
        <v>40.75432999088423</v>
      </c>
      <c r="AA70" s="156">
        <f>-AVERAGE(Z23,AA23)/('IS (2)'!AA7/90)</f>
        <v>42.857142857142861</v>
      </c>
      <c r="AB70" s="156">
        <f>-AVERAGE(AA23,AB23)/('IS (2)'!AB7/90)</f>
        <v>45.795314426633794</v>
      </c>
      <c r="AC70" s="205">
        <f>-AVERAGE(X23,AC23)/('IS (2)'!AC7/365)</f>
        <v>51.009572072072068</v>
      </c>
      <c r="AD70" s="156">
        <f>-AVERAGE(AC23,AD23)/('IS (2)'!AD7/90)</f>
        <v>52.250378214826029</v>
      </c>
      <c r="AE70" s="156">
        <f>-AVERAGE(AD23,AE23)/('IS (2)'!AE7/90)</f>
        <v>48.683839096683144</v>
      </c>
      <c r="AF70" s="156">
        <f>-AVERAGE(AE23,AF23)/('IS (2)'!AF7/90)</f>
        <v>45.864387245485979</v>
      </c>
      <c r="AG70" s="156">
        <f>-AVERAGE(AF23,AG23)/('IS (2)'!AG7/90)</f>
        <v>47.847100175746895</v>
      </c>
      <c r="AH70" s="205">
        <f>-AVERAGE(AC23,AH23)/('IS (2)'!AH7/365)</f>
        <v>46.64260886357053</v>
      </c>
      <c r="AI70" s="156">
        <f>-AVERAGE(AH23,AI23)/('IS (2)'!AI7/90)</f>
        <v>43.671298306556658</v>
      </c>
      <c r="AJ70" s="383">
        <f>-AVERAGE(AI23,AJ23)/('IS (2)'!AJ7/90)</f>
        <v>37.331932773109244</v>
      </c>
      <c r="AK70" s="383">
        <f>-AVERAGE(AJ23,AK23)/('IS (2)'!AK7/90)</f>
        <v>31.939024390243905</v>
      </c>
      <c r="AL70" s="383">
        <f>-AVERAGE(AK23,AL23)/('IS (2)'!AL7/90)</f>
        <v>31.048502139800281</v>
      </c>
      <c r="AM70" s="205">
        <f>-AVERAGE(AH23,AM23)/('IS (2)'!AM7/365)</f>
        <v>41.347987904163766</v>
      </c>
      <c r="AN70" s="156">
        <f>-AVERAGE(AM23,AN23)/('IS (2)'!AN7/90)</f>
        <v>34.944134078212286</v>
      </c>
      <c r="AO70" s="156">
        <f>-AVERAGE(AN23,AO23)/('IS (2)'!AO7/90)</f>
        <v>33.010586678429647</v>
      </c>
      <c r="AP70" s="383">
        <f>-AVERAGE(AO23,AP23)/('IS (2)'!AP7/90)</f>
        <v>34.212053571428577</v>
      </c>
      <c r="AQ70" s="156">
        <f>-AVERAGE(AP23,AQ23)/('IS (2)'!AQ7/90)</f>
        <v>30.616269515201317</v>
      </c>
      <c r="AR70" s="205">
        <f>-AVERAGE(AM23,AR23)/('IS (2)'!AR7/365)</f>
        <v>32.21913580246914</v>
      </c>
      <c r="AS70" s="156">
        <f>-AVERAGE(AR23,AS23)/('IS (2)'!AS7/90)</f>
        <v>34.537409493161704</v>
      </c>
      <c r="AT70" s="156">
        <f>-AVERAGE(AS23,AT23)/('IS (2)'!AT7/90)</f>
        <v>36.529808773903262</v>
      </c>
      <c r="AU70" s="156">
        <f>-AVERAGE(AT23,AU23)/('IS (2)'!AU7/90)</f>
        <v>37.757255936675463</v>
      </c>
      <c r="AV70" s="156">
        <f>-AVERAGE(AU23,AV23)/('IS (2)'!AV7/90)</f>
        <v>42.647385984427139</v>
      </c>
      <c r="AW70" s="205">
        <f>-AVERAGE(AR23,AW23)/('IS (2)'!AW7/365)</f>
        <v>39.04384461582405</v>
      </c>
      <c r="AX70" s="156">
        <f>-AVERAGE(AW23,AX23)/('IS (2)'!AX7/90)</f>
        <v>39.974463738508682</v>
      </c>
      <c r="AY70" s="156">
        <f>-AVERAGE(AX23,AY23)/('IS (2)'!AY7/90)</f>
        <v>36.848825331971398</v>
      </c>
      <c r="AZ70" s="156">
        <f>-AVERAGE(AY23,AZ23)/('IS (2)'!AZ7/90)</f>
        <v>34.719562243502054</v>
      </c>
      <c r="BA70" s="156">
        <f>-AVERAGE(AZ23,BA23)/('IS (2)'!BA7/90)</f>
        <v>33.938978402468287</v>
      </c>
      <c r="BB70" s="205">
        <f>-AVERAGE(AW23,BB23)/('IS (2)'!BB7/365)</f>
        <v>40.098591549295769</v>
      </c>
      <c r="BC70" s="156">
        <f>-AVERAGE(BB23,BC23)/('IS (2)'!BC7/90)</f>
        <v>35.600985221674875</v>
      </c>
      <c r="BD70" s="156">
        <f>-AVERAGE(BC23,BD23)/('IS (2)'!BD7/90)</f>
        <v>35.228907782864617</v>
      </c>
      <c r="BE70" s="156">
        <f>-AVERAGE(BD23,BE23)/('IS (2)'!BE7/90)</f>
        <v>33.352764823451032</v>
      </c>
      <c r="BF70" s="156">
        <f>-AVERAGE(BE23,BF23)/('IS (2)'!BF7/90)</f>
        <v>35.03028371055148</v>
      </c>
      <c r="BG70" s="205">
        <f>-AVERAGE(BB23,BG23)/('IS (2)'!BG7/365)</f>
        <v>37.507760169906881</v>
      </c>
      <c r="BH70" s="156">
        <f>-AVERAGE(BG23,BH23)/('IS (2)'!BH7/90)</f>
        <v>36.230075187969931</v>
      </c>
      <c r="BI70" s="156">
        <f>-AVERAGE(BH23,BI23)/('IS (2)'!BI7/90)</f>
        <v>34.284457478005869</v>
      </c>
      <c r="BJ70" s="156">
        <f>-AVERAGE(BI23,BJ23)/('IS (2)'!BJ7/90)</f>
        <v>35.356168535919977</v>
      </c>
      <c r="BK70" s="156">
        <f>-AVERAGE(BJ23,BK23)/('IS (2)'!BK7/90)</f>
        <v>40.136906495776287</v>
      </c>
      <c r="BL70" s="205">
        <f>-AVERAGE(BG23,BL23)/('IS (2)'!BL7/365)</f>
        <v>42.132063562783095</v>
      </c>
      <c r="BM70" s="156">
        <f>-AVERAGE(BL23,BM23)/('IS (2)'!BM7/90)</f>
        <v>42.968181818181826</v>
      </c>
      <c r="BN70" s="156">
        <f>-AVERAGE(BM23,BN23)/('IS (2)'!BN7/90)</f>
        <v>38.248663101604279</v>
      </c>
      <c r="BO70" s="156">
        <f>-AVERAGE(BN23,BO23)/('IS (2)'!BO7/90)</f>
        <v>38.832768709578069</v>
      </c>
      <c r="BP70" s="156">
        <f>-AVERAGE(BO23,BP23)/('IS (2)'!BP7/90)</f>
        <v>37.791456541085729</v>
      </c>
      <c r="BQ70" s="205">
        <f>-AVERAGE(BL23,BQ23)/('IS (2)'!BQ7/365)</f>
        <v>44.498456790123448</v>
      </c>
      <c r="BR70" s="156">
        <f>-AVERAGE(BQ23,BR23)/('IS (2)'!BR7/90)</f>
        <v>36.981956583027916</v>
      </c>
      <c r="BS70" s="156">
        <f>-AVERAGE(BR23,BS23)/('IS (2)'!BS7/90)</f>
        <v>34.206285253827559</v>
      </c>
      <c r="BT70" s="156">
        <f>-AVERAGE(BS23,BT23)/('IS (2)'!BT7/90)</f>
        <v>35.73601973684211</v>
      </c>
      <c r="BU70" s="156">
        <f>-AVERAGE(BT23,BU23)/('IS (2)'!BU7/90)</f>
        <v>37.070997413049732</v>
      </c>
      <c r="BV70" s="205">
        <f>-AVERAGE(BQ23,BV23)/('IS (2)'!BV7/365)</f>
        <v>36.279433215253185</v>
      </c>
      <c r="BW70" s="156">
        <f>-AVERAGE(BV23,BW23)/('IS (2)'!BW7/90)</f>
        <v>36.422976501305484</v>
      </c>
      <c r="BX70" s="156">
        <f>-AVERAGE(BW23,BX23)/('IS (2)'!BX7/90)</f>
        <v>36.010244735344337</v>
      </c>
      <c r="BY70" s="156">
        <f>-AVERAGE(BX23,BY23)/('IS (2)'!BY7/90)</f>
        <v>33.898567013205962</v>
      </c>
      <c r="BZ70" s="156">
        <f>-AVERAGE(BY23,BZ23)/('IS (2)'!BZ7/90)</f>
        <v>33.21109607577808</v>
      </c>
      <c r="CA70" s="205">
        <f>-AVERAGE(BV23,CA23)/('IS (2)'!CA7/365)</f>
        <v>36.127682026028836</v>
      </c>
      <c r="CB70" s="156">
        <f>-AVERAGE(CA23,CB23)/('IS (2)'!CB7/90)</f>
        <v>33.8377358490566</v>
      </c>
      <c r="CC70" s="156">
        <f>-AVERAGE(CB23,CC23)/('IS (2)'!CC7/90)</f>
        <v>33.736031785448226</v>
      </c>
      <c r="CD70" s="156">
        <f>-AVERAGE(CC23,CD23)/('IS (2)'!CD7/90)</f>
        <v>32.852830188679242</v>
      </c>
      <c r="CE70" s="156">
        <f>-AVERAGE(CD23,CE23)/('IS (2)'!CE7/90)</f>
        <v>33.426692644909892</v>
      </c>
      <c r="CF70" s="205">
        <f>-AVERAGE(CA23,CF23)/('IS (2)'!CF7/365)</f>
        <v>34.722999440402909</v>
      </c>
      <c r="CG70" s="156">
        <f>-AVERAGE(CF23,CG23)/('IS (2)'!CG7/90)</f>
        <v>33.249378811836465</v>
      </c>
      <c r="CH70" s="156">
        <f>-AVERAGE(CG23,CH23)/('IS (2)'!CH7/90)</f>
        <v>35.063607451158568</v>
      </c>
      <c r="CI70" s="156">
        <f>-AVERAGE(CH23,CI23)/('IS (2)'!CI7/90)</f>
        <v>37.152677279305351</v>
      </c>
      <c r="CJ70" s="156">
        <f>-AVERAGE(CI23,CJ23)/('IS (2)'!CJ7/90)</f>
        <v>34.692436572522737</v>
      </c>
      <c r="CK70" s="205">
        <f>-AVERAGE(CF23,CK23)/('IS (2)'!CK7/365)</f>
        <v>33.993324782836822</v>
      </c>
      <c r="CL70" s="156">
        <f>-AVERAGE(CK23,CL23)/('IS (2)'!CL7/90)</f>
        <v>34.810047488127964</v>
      </c>
      <c r="CM70" s="251">
        <v>35</v>
      </c>
      <c r="CN70" s="251">
        <v>35</v>
      </c>
      <c r="CO70" s="251">
        <v>34</v>
      </c>
      <c r="CP70" s="205">
        <f>-AVERAGE(CK23,CP23)/('IS (2)'!CP7/365)</f>
        <v>40.431911777870624</v>
      </c>
      <c r="CQ70" s="223">
        <v>35</v>
      </c>
      <c r="CR70" s="223">
        <v>35</v>
      </c>
      <c r="CS70" s="223">
        <v>35</v>
      </c>
    </row>
    <row r="71" spans="2:97" ht="12" customHeight="1">
      <c r="B71" s="197" t="s">
        <v>155</v>
      </c>
      <c r="C71" s="384"/>
      <c r="D71" s="384">
        <f>-'IS (2)'!D7/AVERAGE('BS (2)'!C9,D9)</f>
        <v>4.3209605833245268</v>
      </c>
      <c r="E71" s="384">
        <f>-'IS (2)'!E7/AVERAGE('BS (2)'!D9,E9)</f>
        <v>4.9550421233091395</v>
      </c>
      <c r="F71" s="384">
        <f>-'IS (2)'!F7/AVERAGE('BS (2)'!E9,F9)</f>
        <v>5.3335490132643146</v>
      </c>
      <c r="G71" s="384">
        <f>-'IS (2)'!G7/AVERAGE('BS (2)'!F9,G9)</f>
        <v>5.7025426680599089</v>
      </c>
      <c r="H71" s="384">
        <f>-'IS (2)'!H7/AVERAGE('BS (2)'!G9,H9)</f>
        <v>5.6216877293110477</v>
      </c>
      <c r="I71" s="384">
        <f>-'IS (2)'!I7/AVERAGE('BS (2)'!H9,I9)</f>
        <v>6.1717214865442118</v>
      </c>
      <c r="J71" s="385">
        <f>-'IS (2)'!J7*4/AVERAGE('BS (2)'!I9,J9)</f>
        <v>6.6385013949780785</v>
      </c>
      <c r="K71" s="385">
        <f>-'IS (2)'!K7*4/AVERAGE('BS (2)'!J9,K9)</f>
        <v>6.3703703703703694</v>
      </c>
      <c r="L71" s="385">
        <f>-'IS (2)'!L7*4/AVERAGE('BS (2)'!K9,L9)</f>
        <v>5.9677534933715508</v>
      </c>
      <c r="M71" s="385">
        <f>-'IS (2)'!M7*4/AVERAGE('BS (2)'!L9,M9)</f>
        <v>6.0408163265306136</v>
      </c>
      <c r="N71" s="384">
        <f>-'IS (2)'!N7/AVERAGE('BS (2)'!I9,N9)</f>
        <v>6.387608613524745</v>
      </c>
      <c r="O71" s="385">
        <f>-'IS (2)'!O7*4/AVERAGE('BS (2)'!N9,O9)</f>
        <v>5.9099572790009871</v>
      </c>
      <c r="P71" s="385">
        <f>-'IS (2)'!P7*4/AVERAGE('BS (2)'!O9,P9)</f>
        <v>6.1188433428662217</v>
      </c>
      <c r="Q71" s="385">
        <f>-'IS (2)'!Q7*4/AVERAGE('BS (2)'!P9,Q9)</f>
        <v>5.539828625833068</v>
      </c>
      <c r="R71" s="385">
        <f>-'IS (2)'!R7*4/AVERAGE('BS (2)'!Q9,R9)</f>
        <v>5.7510453522032812</v>
      </c>
      <c r="S71" s="384">
        <f>-'IS (2)'!S7/AVERAGE('BS (2)'!N9,S9)</f>
        <v>6.1588594704684319</v>
      </c>
      <c r="T71" s="385">
        <f>-'IS (2)'!T7*4/AVERAGE('BS (2)'!S9,T9)</f>
        <v>6.1532442125855882</v>
      </c>
      <c r="U71" s="385">
        <f>-'IS (2)'!U7*4/AVERAGE('BS (2)'!T9,U9)</f>
        <v>6.1672451877563912</v>
      </c>
      <c r="V71" s="385">
        <f>-'IS (2)'!V7*4/AVERAGE('BS (2)'!U9,V9)</f>
        <v>5.6014669926650367</v>
      </c>
      <c r="W71" s="385">
        <f>-'IS (2)'!W7*4/AVERAGE('BS (2)'!V9,W9)</f>
        <v>5.181898846495117</v>
      </c>
      <c r="X71" s="384">
        <f>-'IS (2)'!X7/AVERAGE('BS (2)'!S9,X9)</f>
        <v>5.767629698664182</v>
      </c>
      <c r="Y71" s="385">
        <f>-'IS (2)'!Y7*4/AVERAGE('BS (2)'!X9,Y9)</f>
        <v>4.6781163434903048</v>
      </c>
      <c r="Z71" s="385">
        <f>-'IS (2)'!Z7*4/AVERAGE('BS (2)'!Y9,Z9)</f>
        <v>4.9275687815833802</v>
      </c>
      <c r="AA71" s="385">
        <f>-'IS (2)'!AA7*4/AVERAGE('BS (2)'!Z9,AA9)</f>
        <v>4.9568990454151001</v>
      </c>
      <c r="AB71" s="385">
        <f>-'IS (2)'!AB7*4/AVERAGE('BS (2)'!AA9,AB9)</f>
        <v>5.4308035714285712</v>
      </c>
      <c r="AC71" s="384">
        <f>-'IS (2)'!AC7/AVERAGE('BS (2)'!X9,AC9)</f>
        <v>5.06127101738387</v>
      </c>
      <c r="AD71" s="385">
        <f>-'IS (2)'!AD7*4/AVERAGE('BS (2)'!AC9,AD9)</f>
        <v>5.5400733368255626</v>
      </c>
      <c r="AE71" s="385">
        <f>-'IS (2)'!AE7*4/AVERAGE('BS (2)'!AD9,AE9)</f>
        <v>5.5284077054376972</v>
      </c>
      <c r="AF71" s="385">
        <f>-'IS (2)'!AF7*4/AVERAGE('BS (2)'!AE9,AF9)</f>
        <v>5.100171442566741</v>
      </c>
      <c r="AG71" s="385">
        <f>-'IS (2)'!AG7*4/AVERAGE('BS (2)'!AF9,AG9)</f>
        <v>4.5991411972720417</v>
      </c>
      <c r="AH71" s="384">
        <f>-'IS (2)'!AH7/AVERAGE('BS (2)'!AC9,AH9)</f>
        <v>5.5281558580197485</v>
      </c>
      <c r="AI71" s="385">
        <f>-'IS (2)'!AI7*4/AVERAGE('BS (2)'!AH9,AI9)</f>
        <v>4.8407777193904362</v>
      </c>
      <c r="AJ71" s="386">
        <f>-'IS (2)'!AJ7*4/AVERAGE('BS (2)'!AI9,AJ9)</f>
        <v>4.8040370058872996</v>
      </c>
      <c r="AK71" s="386">
        <f>-'IS (2)'!AK7*4/AVERAGE('BS (2)'!AJ9,AK9)</f>
        <v>4.9787492410443237</v>
      </c>
      <c r="AL71" s="386">
        <f>-'IS (2)'!AL7*4/AVERAGE('BS (2)'!AK9,AL9)</f>
        <v>5.3375634517766501</v>
      </c>
      <c r="AM71" s="384">
        <f>-'IS (2)'!AM7/AVERAGE('BS (2)'!AH9,AM9)</f>
        <v>4.8782978723404256</v>
      </c>
      <c r="AN71" s="385">
        <f>-'IS (2)'!AN7*4/AVERAGE('BS (2)'!AM9,AN9)</f>
        <v>4.8587291795188161</v>
      </c>
      <c r="AO71" s="385">
        <f>-'IS (2)'!AO7*4/AVERAGE('BS (2)'!AN9,AO9)</f>
        <v>5.2967289719626169</v>
      </c>
      <c r="AP71" s="386">
        <f>-'IS (2)'!AP7*4/AVERAGE('BS (2)'!AO9,AP9)</f>
        <v>4.8055779029230363</v>
      </c>
      <c r="AQ71" s="387">
        <f>-'IS (2)'!AQ7*4/AVERAGE('BS (2)'!AP9,AQ9)</f>
        <v>5.2999455634186168</v>
      </c>
      <c r="AR71" s="384">
        <f>-'IS (2)'!AR7/AVERAGE('BS (2)'!AM9,AR9)</f>
        <v>5.4478752675022921</v>
      </c>
      <c r="AS71" s="385">
        <f>-'IS (2)'!AS7*4/AVERAGE('BS (2)'!AR9,AS9)</f>
        <v>5.3955507325013556</v>
      </c>
      <c r="AT71" s="385">
        <f>-'IS (2)'!AT7*4/AVERAGE('BS (2)'!AS9,AT9)</f>
        <v>5.2474176094441702</v>
      </c>
      <c r="AU71" s="385">
        <f>-'IS (2)'!AU7*4/AVERAGE('BS (2)'!AT9,AU9)</f>
        <v>5.0389363722697054</v>
      </c>
      <c r="AV71" s="385">
        <f>-'IS (2)'!AV7*4/AVERAGE('BS (2)'!AU9,AV9)</f>
        <v>5.0293706293706295</v>
      </c>
      <c r="AW71" s="384">
        <f>-'IS (2)'!AW7/AVERAGE('BS (2)'!AR9,AW9)</f>
        <v>5.4476141078838172</v>
      </c>
      <c r="AX71" s="385">
        <f>-'IS (2)'!AX7*4/AVERAGE('BS (2)'!AW9,AX9)</f>
        <v>5.2481572481572485</v>
      </c>
      <c r="AY71" s="385">
        <f>-'IS (2)'!AY7*4/AVERAGE('BS (2)'!AX9,AY9)</f>
        <v>4.9548713622943907</v>
      </c>
      <c r="AZ71" s="385">
        <f>-'IS (2)'!AZ7*4/AVERAGE('BS (2)'!AY9,AZ9)</f>
        <v>4.8947478551998325</v>
      </c>
      <c r="BA71" s="385">
        <f>-'IS (2)'!BA7*4/AVERAGE('BS (2)'!AZ9,BA9)</f>
        <v>4.9810032017075772</v>
      </c>
      <c r="BB71" s="384">
        <f>-'IS (2)'!BB7/AVERAGE('BS (2)'!AW9,BB9)</f>
        <v>5.2240802675585281</v>
      </c>
      <c r="BC71" s="385">
        <f>-'IS (2)'!BC7*4/AVERAGE('BS (2)'!BB9,BC9)</f>
        <v>5.0887821182368915</v>
      </c>
      <c r="BD71" s="385">
        <f>-'IS (2)'!BD7*4/AVERAGE('BS (2)'!BC9,BD9)</f>
        <v>4.916398713826367</v>
      </c>
      <c r="BE71" s="385">
        <f>-'IS (2)'!BE7*4/AVERAGE('BS (2)'!BD9,BE9)</f>
        <v>4.6906249999999998</v>
      </c>
      <c r="BF71" s="385">
        <f>-'IS (2)'!BF7*4/AVERAGE('BS (2)'!BE9,BF9)</f>
        <v>4.7747336377473362</v>
      </c>
      <c r="BG71" s="384">
        <f>-'IS (2)'!BG7/AVERAGE('BS (2)'!BB9,BG9)</f>
        <v>4.9154788195141537</v>
      </c>
      <c r="BH71" s="385">
        <f>-'IS (2)'!BH7*4/AVERAGE('BS (2)'!BG9,BH9)</f>
        <v>4.8434085943190093</v>
      </c>
      <c r="BI71" s="385">
        <f>-'IS (2)'!BI7*4/AVERAGE('BS (2)'!BH9,BI9)</f>
        <v>4.7667307356281672</v>
      </c>
      <c r="BJ71" s="385">
        <f>-'IS (2)'!BJ7*4/AVERAGE('BS (2)'!BI9,BJ9)</f>
        <v>4.4800543201493808</v>
      </c>
      <c r="BK71" s="385">
        <f>-'IS (2)'!BK7*4/AVERAGE('BS (2)'!BJ9,BK9)</f>
        <v>4.6486120514556539</v>
      </c>
      <c r="BL71" s="384">
        <f>-'IS (2)'!BL7/AVERAGE('BS (2)'!BG9,BL9)</f>
        <v>4.8494778537990628</v>
      </c>
      <c r="BM71" s="385">
        <f>-'IS (2)'!BM7*4/AVERAGE('BS (2)'!BL9,BM9)</f>
        <v>4.3672456575682386</v>
      </c>
      <c r="BN71" s="385">
        <f>-'IS (2)'!BN7*4/AVERAGE('BS (2)'!BM9,BN9)</f>
        <v>4.1996257018091079</v>
      </c>
      <c r="BO71" s="385">
        <f>-'IS (2)'!BO7*4/AVERAGE('BS (2)'!BN9,BO9)</f>
        <v>3.9779479326186831</v>
      </c>
      <c r="BP71" s="385">
        <f>-'IS (2)'!BP7*4/AVERAGE('BS (2)'!BO9,BP9)</f>
        <v>4.2576570887275027</v>
      </c>
      <c r="BQ71" s="384">
        <f>-'IS (2)'!BQ7/AVERAGE('BS (2)'!BL9,BQ9)</f>
        <v>4.4480160723254656</v>
      </c>
      <c r="BR71" s="385">
        <f>-'IS (2)'!BR7*4/AVERAGE('BS (2)'!BQ9,BR9)</f>
        <v>4.4316726534436981</v>
      </c>
      <c r="BS71" s="385">
        <f>-'IS (2)'!BS7*4/AVERAGE('BS (2)'!BR9,BS9)</f>
        <v>4.4814926271441466</v>
      </c>
      <c r="BT71" s="385">
        <f>-'IS (2)'!BT7*4/AVERAGE('BS (2)'!BS9,BT9)</f>
        <v>4.5134549953603464</v>
      </c>
      <c r="BU71" s="385">
        <f>-'IS (2)'!BU7*4/AVERAGE('BS (2)'!BT9,BU9)</f>
        <v>4.591981521201121</v>
      </c>
      <c r="BV71" s="384">
        <f>-'IS (2)'!BV7/AVERAGE('BS (2)'!BQ9,BV9)</f>
        <v>4.8134403209628873</v>
      </c>
      <c r="BW71" s="385">
        <f>-'IS (2)'!BW7*4/AVERAGE('BS (2)'!BV9,BW9)</f>
        <v>4.6377396569122098</v>
      </c>
      <c r="BX71" s="385">
        <f>-'IS (2)'!BX7*4/AVERAGE('BS (2)'!BW9,BX9)</f>
        <v>4.559195588712293</v>
      </c>
      <c r="BY71" s="385">
        <f>-'IS (2)'!BY7*4/AVERAGE('BS (2)'!BX9,BY9)</f>
        <v>4.5453384418901663</v>
      </c>
      <c r="BZ71" s="385">
        <f>-'IS (2)'!BZ7*4/AVERAGE('BS (2)'!BY9,BZ9)</f>
        <v>4.7115078100095635</v>
      </c>
      <c r="CA71" s="384">
        <f>-'IS (2)'!CA7/AVERAGE('BS (2)'!BV9,CA9)</f>
        <v>4.6991735537190085</v>
      </c>
      <c r="CB71" s="385">
        <f>-'IS (2)'!CB7*4/AVERAGE('BS (2)'!CA9,CB9)</f>
        <v>5.1724137931034484</v>
      </c>
      <c r="CC71" s="385">
        <f>-'IS (2)'!CC7*4/AVERAGE('BS (2)'!CB9,CC9)</f>
        <v>5.3144176839326951</v>
      </c>
      <c r="CD71" s="385">
        <f>-'IS (2)'!CD7*4/AVERAGE('BS (2)'!CC9,CD9)</f>
        <v>5.178309721543723</v>
      </c>
      <c r="CE71" s="385">
        <f>-'IS (2)'!CE7*4/AVERAGE('BS (2)'!CD9,CE9)</f>
        <v>5.4159934047815339</v>
      </c>
      <c r="CF71" s="384">
        <f>-'IS (2)'!CF7/AVERAGE('BS (2)'!CA9,CF9)</f>
        <v>5.2576005230467482</v>
      </c>
      <c r="CG71" s="385">
        <f>-'IS (2)'!CG7*4/AVERAGE('BS (2)'!CF9,CG9)</f>
        <v>5.601138699984185</v>
      </c>
      <c r="CH71" s="385">
        <f>-'IS (2)'!CH7*4/AVERAGE('BS (2)'!CG9,CH9)</f>
        <v>5.2264766993173053</v>
      </c>
      <c r="CI71" s="385">
        <f>-'IS (2)'!CI7*4/AVERAGE('BS (2)'!CH9,CI9)</f>
        <v>4.7965292841648592</v>
      </c>
      <c r="CJ71" s="385">
        <f>-'IS (2)'!CJ7*4/AVERAGE('BS (2)'!CI9,CJ9)</f>
        <v>4.8772800233474394</v>
      </c>
      <c r="CK71" s="384">
        <f>-'IS (2)'!CK7/AVERAGE('BS (2)'!CF9,CK9)</f>
        <v>5.4376287842764297</v>
      </c>
      <c r="CL71" s="385">
        <f>-'IS (2)'!CL7*4/AVERAGE('BS (2)'!CK9,CL9)</f>
        <v>4.6557090909090908</v>
      </c>
      <c r="CM71" s="388">
        <v>6.5</v>
      </c>
      <c r="CN71" s="388">
        <v>6</v>
      </c>
      <c r="CO71" s="388">
        <v>6.2</v>
      </c>
      <c r="CP71" s="384">
        <f>-'IS (2)'!CP7/AVERAGE('BS (2)'!CK9,CP9)</f>
        <v>4.6383596061996935</v>
      </c>
      <c r="CQ71" s="389">
        <v>6</v>
      </c>
      <c r="CR71" s="389">
        <v>6</v>
      </c>
      <c r="CS71" s="389">
        <v>6</v>
      </c>
    </row>
    <row r="72" spans="2:97" ht="12" customHeight="1">
      <c r="B72" s="197" t="s">
        <v>156</v>
      </c>
      <c r="C72" s="382"/>
      <c r="D72" s="205">
        <f t="shared" ref="D72:AI72" si="130">365/D71</f>
        <v>84.471957788416276</v>
      </c>
      <c r="E72" s="205">
        <f t="shared" si="130"/>
        <v>73.6623404840484</v>
      </c>
      <c r="F72" s="205">
        <f t="shared" si="130"/>
        <v>68.434732500303298</v>
      </c>
      <c r="G72" s="205">
        <f t="shared" si="130"/>
        <v>64.006535548497439</v>
      </c>
      <c r="H72" s="205">
        <f t="shared" si="130"/>
        <v>64.927121102248009</v>
      </c>
      <c r="I72" s="205">
        <f t="shared" si="130"/>
        <v>59.140711517165009</v>
      </c>
      <c r="J72" s="156">
        <f t="shared" si="130"/>
        <v>54.98228866474544</v>
      </c>
      <c r="K72" s="156">
        <f t="shared" si="130"/>
        <v>57.296511627906987</v>
      </c>
      <c r="L72" s="156">
        <f t="shared" si="130"/>
        <v>61.162043707973112</v>
      </c>
      <c r="M72" s="156">
        <f t="shared" si="130"/>
        <v>60.422297297297284</v>
      </c>
      <c r="N72" s="205">
        <f t="shared" si="130"/>
        <v>57.141885497989115</v>
      </c>
      <c r="O72" s="156">
        <f t="shared" si="130"/>
        <v>61.760175711743756</v>
      </c>
      <c r="P72" s="156">
        <f t="shared" si="130"/>
        <v>59.651796842542588</v>
      </c>
      <c r="Q72" s="156">
        <f t="shared" si="130"/>
        <v>65.886514665444551</v>
      </c>
      <c r="R72" s="156">
        <f t="shared" si="130"/>
        <v>63.466722595078295</v>
      </c>
      <c r="S72" s="205">
        <f t="shared" si="130"/>
        <v>59.264219576719576</v>
      </c>
      <c r="T72" s="156">
        <f t="shared" si="130"/>
        <v>59.318302246714715</v>
      </c>
      <c r="U72" s="156">
        <f t="shared" si="130"/>
        <v>59.183636921817424</v>
      </c>
      <c r="V72" s="156">
        <f t="shared" si="130"/>
        <v>65.161501527717149</v>
      </c>
      <c r="W72" s="156">
        <f t="shared" si="130"/>
        <v>70.437500000000043</v>
      </c>
      <c r="X72" s="205">
        <f t="shared" si="130"/>
        <v>63.284229236238282</v>
      </c>
      <c r="Y72" s="156">
        <f t="shared" si="130"/>
        <v>78.022856466129795</v>
      </c>
      <c r="Z72" s="156">
        <f t="shared" si="130"/>
        <v>74.07304010938924</v>
      </c>
      <c r="AA72" s="156">
        <f t="shared" si="130"/>
        <v>73.634745564892626</v>
      </c>
      <c r="AB72" s="156">
        <f t="shared" si="130"/>
        <v>67.209206740649407</v>
      </c>
      <c r="AC72" s="205">
        <f t="shared" si="130"/>
        <v>72.116272522522522</v>
      </c>
      <c r="AD72" s="156">
        <f t="shared" si="130"/>
        <v>65.883604387291982</v>
      </c>
      <c r="AE72" s="156">
        <f t="shared" si="130"/>
        <v>66.02262702893438</v>
      </c>
      <c r="AF72" s="156">
        <f t="shared" si="130"/>
        <v>71.566221667306934</v>
      </c>
      <c r="AG72" s="156">
        <f t="shared" si="130"/>
        <v>79.362642794376043</v>
      </c>
      <c r="AH72" s="205">
        <f t="shared" si="130"/>
        <v>66.025634836342576</v>
      </c>
      <c r="AI72" s="156">
        <f t="shared" si="130"/>
        <v>75.401107251411204</v>
      </c>
      <c r="AJ72" s="383">
        <f t="shared" ref="AJ72:BO72" si="131">365/AJ71</f>
        <v>75.977766106442587</v>
      </c>
      <c r="AK72" s="383">
        <f t="shared" si="131"/>
        <v>73.311585365853645</v>
      </c>
      <c r="AL72" s="383">
        <f t="shared" si="131"/>
        <v>68.383262006657148</v>
      </c>
      <c r="AM72" s="205">
        <f t="shared" si="131"/>
        <v>74.821179344033496</v>
      </c>
      <c r="AN72" s="156">
        <f t="shared" si="131"/>
        <v>75.122524123920769</v>
      </c>
      <c r="AO72" s="156">
        <f t="shared" si="131"/>
        <v>68.910454344949272</v>
      </c>
      <c r="AP72" s="383">
        <f t="shared" si="131"/>
        <v>75.953404017857139</v>
      </c>
      <c r="AQ72" s="156">
        <f t="shared" si="131"/>
        <v>68.868631881676265</v>
      </c>
      <c r="AR72" s="205">
        <f t="shared" si="131"/>
        <v>66.998597081930427</v>
      </c>
      <c r="AS72" s="156">
        <f t="shared" si="131"/>
        <v>67.648330651649246</v>
      </c>
      <c r="AT72" s="156">
        <f t="shared" si="131"/>
        <v>69.55802399700039</v>
      </c>
      <c r="AU72" s="156">
        <f t="shared" si="131"/>
        <v>72.435921598190731</v>
      </c>
      <c r="AV72" s="156">
        <f t="shared" si="131"/>
        <v>72.573692992213566</v>
      </c>
      <c r="AW72" s="205">
        <f t="shared" si="131"/>
        <v>67.001809006950396</v>
      </c>
      <c r="AX72" s="156">
        <f t="shared" si="131"/>
        <v>69.548220973782762</v>
      </c>
      <c r="AY72" s="156">
        <f t="shared" si="131"/>
        <v>73.664879128362273</v>
      </c>
      <c r="AZ72" s="156">
        <f t="shared" si="131"/>
        <v>74.56972469220247</v>
      </c>
      <c r="BA72" s="156">
        <f t="shared" si="131"/>
        <v>73.27841103873844</v>
      </c>
      <c r="BB72" s="205">
        <f t="shared" si="131"/>
        <v>69.868758002560824</v>
      </c>
      <c r="BC72" s="156">
        <f t="shared" si="131"/>
        <v>71.726395730706074</v>
      </c>
      <c r="BD72" s="156">
        <f t="shared" si="131"/>
        <v>74.241334205362975</v>
      </c>
      <c r="BE72" s="156">
        <f t="shared" si="131"/>
        <v>77.814790139906734</v>
      </c>
      <c r="BF72" s="156">
        <f t="shared" si="131"/>
        <v>76.444054829454899</v>
      </c>
      <c r="BG72" s="205">
        <f t="shared" si="131"/>
        <v>74.255227903937268</v>
      </c>
      <c r="BH72" s="156">
        <f t="shared" si="131"/>
        <v>75.360150375939853</v>
      </c>
      <c r="BI72" s="156">
        <f t="shared" si="131"/>
        <v>76.572397360703803</v>
      </c>
      <c r="BJ72" s="156">
        <f t="shared" si="131"/>
        <v>81.472226432252185</v>
      </c>
      <c r="BK72" s="156">
        <f t="shared" si="131"/>
        <v>78.518060005825802</v>
      </c>
      <c r="BL72" s="205">
        <f t="shared" si="131"/>
        <v>75.265835004084067</v>
      </c>
      <c r="BM72" s="156">
        <f t="shared" si="131"/>
        <v>83.576704545454533</v>
      </c>
      <c r="BN72" s="156">
        <f t="shared" si="131"/>
        <v>86.912507427213313</v>
      </c>
      <c r="BO72" s="156">
        <f t="shared" si="131"/>
        <v>91.755851555281794</v>
      </c>
      <c r="BP72" s="156">
        <f t="shared" ref="BP72:CS72" si="132">365/BP71</f>
        <v>85.727899733016898</v>
      </c>
      <c r="BQ72" s="205">
        <f t="shared" si="132"/>
        <v>82.059056007226715</v>
      </c>
      <c r="BR72" s="156">
        <f t="shared" si="132"/>
        <v>82.361678883563584</v>
      </c>
      <c r="BS72" s="156">
        <f t="shared" si="132"/>
        <v>81.446078431372555</v>
      </c>
      <c r="BT72" s="156">
        <f t="shared" si="132"/>
        <v>80.869311951754383</v>
      </c>
      <c r="BU72" s="156">
        <f t="shared" si="132"/>
        <v>79.486382581201511</v>
      </c>
      <c r="BV72" s="205">
        <f t="shared" si="132"/>
        <v>75.829339445717878</v>
      </c>
      <c r="BW72" s="156">
        <f t="shared" si="132"/>
        <v>78.702132288946913</v>
      </c>
      <c r="BX72" s="156">
        <f t="shared" si="132"/>
        <v>80.057982356289131</v>
      </c>
      <c r="BY72" s="156">
        <f t="shared" si="132"/>
        <v>80.302051137960092</v>
      </c>
      <c r="BZ72" s="156">
        <f t="shared" si="132"/>
        <v>77.469891745602155</v>
      </c>
      <c r="CA72" s="205">
        <f t="shared" si="132"/>
        <v>77.673232500879351</v>
      </c>
      <c r="CB72" s="156">
        <f t="shared" si="132"/>
        <v>70.566666666666663</v>
      </c>
      <c r="CC72" s="156">
        <f t="shared" si="132"/>
        <v>68.681090141544573</v>
      </c>
      <c r="CD72" s="156">
        <f t="shared" si="132"/>
        <v>70.486320754716971</v>
      </c>
      <c r="CE72" s="156">
        <f t="shared" si="132"/>
        <v>67.392991962981</v>
      </c>
      <c r="CF72" s="205">
        <f t="shared" si="132"/>
        <v>69.423304109929731</v>
      </c>
      <c r="CG72" s="156">
        <f t="shared" si="132"/>
        <v>65.165320758978993</v>
      </c>
      <c r="CH72" s="156">
        <f t="shared" si="132"/>
        <v>69.836721944570641</v>
      </c>
      <c r="CI72" s="156">
        <f t="shared" si="132"/>
        <v>76.096689580318369</v>
      </c>
      <c r="CJ72" s="156">
        <f t="shared" si="132"/>
        <v>74.836793920536138</v>
      </c>
      <c r="CK72" s="205">
        <f t="shared" si="132"/>
        <v>67.124846965545402</v>
      </c>
      <c r="CL72" s="156">
        <f t="shared" si="132"/>
        <v>78.398369157710576</v>
      </c>
      <c r="CM72" s="156">
        <f t="shared" si="132"/>
        <v>56.153846153846153</v>
      </c>
      <c r="CN72" s="156">
        <f t="shared" si="132"/>
        <v>60.833333333333336</v>
      </c>
      <c r="CO72" s="156">
        <f t="shared" si="132"/>
        <v>58.87096774193548</v>
      </c>
      <c r="CP72" s="205">
        <f t="shared" si="132"/>
        <v>78.691613197074261</v>
      </c>
      <c r="CQ72" s="205">
        <f t="shared" si="132"/>
        <v>60.833333333333336</v>
      </c>
      <c r="CR72" s="205">
        <f t="shared" si="132"/>
        <v>60.833333333333336</v>
      </c>
      <c r="CS72" s="205">
        <f t="shared" si="132"/>
        <v>60.833333333333336</v>
      </c>
    </row>
    <row r="73" spans="2:97" ht="12" customHeight="1">
      <c r="B73" s="197" t="s">
        <v>157</v>
      </c>
      <c r="C73" s="382"/>
      <c r="D73" s="382">
        <f t="shared" ref="D73:AI73" si="133">D69+D72-D70</f>
        <v>112.5080296761234</v>
      </c>
      <c r="E73" s="382">
        <f t="shared" si="133"/>
        <v>96.094244057710142</v>
      </c>
      <c r="F73" s="382">
        <f t="shared" si="133"/>
        <v>88.691032991432181</v>
      </c>
      <c r="G73" s="382">
        <f t="shared" si="133"/>
        <v>88.046788056911993</v>
      </c>
      <c r="H73" s="382">
        <f t="shared" si="133"/>
        <v>90.184554450821025</v>
      </c>
      <c r="I73" s="382">
        <f t="shared" si="133"/>
        <v>78.624777974324516</v>
      </c>
      <c r="J73" s="390">
        <f t="shared" si="133"/>
        <v>69.916657619780779</v>
      </c>
      <c r="K73" s="390">
        <f t="shared" si="133"/>
        <v>72.332672188537799</v>
      </c>
      <c r="L73" s="390">
        <f t="shared" si="133"/>
        <v>77.791041568770481</v>
      </c>
      <c r="M73" s="390">
        <f t="shared" si="133"/>
        <v>72.919083740096653</v>
      </c>
      <c r="N73" s="382">
        <f t="shared" si="133"/>
        <v>70.345533593069788</v>
      </c>
      <c r="O73" s="390">
        <f t="shared" si="133"/>
        <v>73.289584432931719</v>
      </c>
      <c r="P73" s="390">
        <f t="shared" si="133"/>
        <v>74.455805682270267</v>
      </c>
      <c r="Q73" s="390">
        <f t="shared" si="133"/>
        <v>84.446245136206102</v>
      </c>
      <c r="R73" s="390">
        <f t="shared" si="133"/>
        <v>77.659965636350265</v>
      </c>
      <c r="S73" s="382">
        <f t="shared" si="133"/>
        <v>69.801513413614103</v>
      </c>
      <c r="T73" s="390">
        <f t="shared" si="133"/>
        <v>73.051991092399632</v>
      </c>
      <c r="U73" s="390">
        <f t="shared" si="133"/>
        <v>78.270182308533279</v>
      </c>
      <c r="V73" s="390">
        <f t="shared" si="133"/>
        <v>88.029819359921447</v>
      </c>
      <c r="W73" s="390">
        <f t="shared" si="133"/>
        <v>89.263000901867144</v>
      </c>
      <c r="X73" s="382">
        <f t="shared" si="133"/>
        <v>75.869609802488043</v>
      </c>
      <c r="Y73" s="390">
        <f t="shared" si="133"/>
        <v>96.056028175133576</v>
      </c>
      <c r="Z73" s="390">
        <f t="shared" si="133"/>
        <v>94.545418193039154</v>
      </c>
      <c r="AA73" s="390">
        <f t="shared" si="133"/>
        <v>91.129790541260974</v>
      </c>
      <c r="AB73" s="390">
        <f t="shared" si="133"/>
        <v>74.943489291345614</v>
      </c>
      <c r="AC73" s="382">
        <f t="shared" si="133"/>
        <v>79.436262400753577</v>
      </c>
      <c r="AD73" s="390">
        <f t="shared" si="133"/>
        <v>69.866898160854916</v>
      </c>
      <c r="AE73" s="390">
        <f t="shared" si="133"/>
        <v>77.810276110276277</v>
      </c>
      <c r="AF73" s="390">
        <f t="shared" si="133"/>
        <v>87.362969002388269</v>
      </c>
      <c r="AG73" s="390">
        <f t="shared" si="133"/>
        <v>93.396371634173192</v>
      </c>
      <c r="AH73" s="382">
        <f t="shared" si="133"/>
        <v>72.029640811627814</v>
      </c>
      <c r="AI73" s="390">
        <f t="shared" si="133"/>
        <v>91.358835954291578</v>
      </c>
      <c r="AJ73" s="391">
        <f t="shared" ref="AJ73:BO73" si="134">AJ69+AJ72-AJ70</f>
        <v>102.1456530231999</v>
      </c>
      <c r="AK73" s="391">
        <f t="shared" si="134"/>
        <v>98.659608816916631</v>
      </c>
      <c r="AL73" s="391">
        <f t="shared" si="134"/>
        <v>90.031684097914635</v>
      </c>
      <c r="AM73" s="382">
        <f t="shared" si="134"/>
        <v>90.744237185606437</v>
      </c>
      <c r="AN73" s="390">
        <f t="shared" si="134"/>
        <v>96.128960387913807</v>
      </c>
      <c r="AO73" s="390">
        <f t="shared" si="134"/>
        <v>89.54293551312729</v>
      </c>
      <c r="AP73" s="391">
        <f t="shared" si="134"/>
        <v>99.500263858992213</v>
      </c>
      <c r="AQ73" s="390">
        <f t="shared" si="134"/>
        <v>89.879372012777225</v>
      </c>
      <c r="AR73" s="382">
        <f t="shared" si="134"/>
        <v>86.45358363801617</v>
      </c>
      <c r="AS73" s="390">
        <f t="shared" si="134"/>
        <v>85.208327672359673</v>
      </c>
      <c r="AT73" s="390">
        <f t="shared" si="134"/>
        <v>86.183431508084425</v>
      </c>
      <c r="AU73" s="390">
        <f t="shared" si="134"/>
        <v>87.92909204013948</v>
      </c>
      <c r="AV73" s="390">
        <f t="shared" si="134"/>
        <v>81.575617449666538</v>
      </c>
      <c r="AW73" s="382">
        <f t="shared" si="134"/>
        <v>76.872787717756637</v>
      </c>
      <c r="AX73" s="390">
        <f t="shared" si="134"/>
        <v>80.219845713154598</v>
      </c>
      <c r="AY73" s="390">
        <f t="shared" si="134"/>
        <v>93.336594878555218</v>
      </c>
      <c r="AZ73" s="390">
        <f t="shared" si="134"/>
        <v>96.456393296504302</v>
      </c>
      <c r="BA73" s="390">
        <f t="shared" si="134"/>
        <v>94.087689801258534</v>
      </c>
      <c r="BB73" s="382">
        <f t="shared" si="134"/>
        <v>79.297951271412302</v>
      </c>
      <c r="BC73" s="390">
        <f t="shared" si="134"/>
        <v>89.941737039643442</v>
      </c>
      <c r="BD73" s="390">
        <f t="shared" si="134"/>
        <v>93.872814496327038</v>
      </c>
      <c r="BE73" s="390">
        <f t="shared" si="134"/>
        <v>97.102093228170475</v>
      </c>
      <c r="BF73" s="390">
        <f t="shared" si="134"/>
        <v>90.82098761374877</v>
      </c>
      <c r="BG73" s="382">
        <f t="shared" si="134"/>
        <v>86.923549249940294</v>
      </c>
      <c r="BH73" s="390">
        <f t="shared" si="134"/>
        <v>89.15931495405178</v>
      </c>
      <c r="BI73" s="390">
        <f t="shared" si="134"/>
        <v>96.123294062659653</v>
      </c>
      <c r="BJ73" s="390">
        <f t="shared" si="134"/>
        <v>99.600235811800246</v>
      </c>
      <c r="BK73" s="390">
        <f t="shared" si="134"/>
        <v>85.031217096314876</v>
      </c>
      <c r="BL73" s="382">
        <f t="shared" si="134"/>
        <v>78.957942823677712</v>
      </c>
      <c r="BM73" s="390">
        <f t="shared" si="134"/>
        <v>90.520561726848797</v>
      </c>
      <c r="BN73" s="390">
        <f t="shared" si="134"/>
        <v>102.91547350366244</v>
      </c>
      <c r="BO73" s="390">
        <f t="shared" si="134"/>
        <v>107.19781546602459</v>
      </c>
      <c r="BP73" s="390">
        <f t="shared" ref="BP73:CS73" si="135">BP69+BP72-BP70</f>
        <v>95.52086995037385</v>
      </c>
      <c r="BQ73" s="382">
        <f t="shared" si="135"/>
        <v>83.401320257292383</v>
      </c>
      <c r="BR73" s="390">
        <f t="shared" si="135"/>
        <v>94.575020673049238</v>
      </c>
      <c r="BS73" s="390">
        <f t="shared" si="135"/>
        <v>98.93898950360699</v>
      </c>
      <c r="BT73" s="390">
        <f t="shared" si="135"/>
        <v>94.107318188938251</v>
      </c>
      <c r="BU73" s="390">
        <f t="shared" si="135"/>
        <v>88.95106252078881</v>
      </c>
      <c r="BV73" s="382">
        <f t="shared" si="135"/>
        <v>83.219516568238475</v>
      </c>
      <c r="BW73" s="390">
        <f t="shared" si="135"/>
        <v>90.493441501927137</v>
      </c>
      <c r="BX73" s="390">
        <f t="shared" si="135"/>
        <v>91.740593309933189</v>
      </c>
      <c r="BY73" s="390">
        <f t="shared" si="135"/>
        <v>92.026068051508958</v>
      </c>
      <c r="BZ73" s="390">
        <f t="shared" si="135"/>
        <v>87.675836904922761</v>
      </c>
      <c r="CA73" s="382">
        <f t="shared" si="135"/>
        <v>87.26072302844095</v>
      </c>
      <c r="CB73" s="390">
        <f t="shared" si="135"/>
        <v>82.078866014795764</v>
      </c>
      <c r="CC73" s="390">
        <f t="shared" si="135"/>
        <v>82.846428219110038</v>
      </c>
      <c r="CD73" s="390">
        <f t="shared" si="135"/>
        <v>84.048846717749115</v>
      </c>
      <c r="CE73" s="390">
        <f t="shared" si="135"/>
        <v>76.575924986520306</v>
      </c>
      <c r="CF73" s="382">
        <f t="shared" si="135"/>
        <v>77.184430566013958</v>
      </c>
      <c r="CG73" s="390">
        <f t="shared" si="135"/>
        <v>75.093512040600473</v>
      </c>
      <c r="CH73" s="390">
        <f t="shared" si="135"/>
        <v>81.886414986022913</v>
      </c>
      <c r="CI73" s="390">
        <f t="shared" si="135"/>
        <v>86.278510117606913</v>
      </c>
      <c r="CJ73" s="390">
        <f t="shared" si="135"/>
        <v>81.332555115158542</v>
      </c>
      <c r="CK73" s="382">
        <f t="shared" si="135"/>
        <v>70.976430277966898</v>
      </c>
      <c r="CL73" s="390">
        <f t="shared" si="135"/>
        <v>84.703848471800725</v>
      </c>
      <c r="CM73" s="390">
        <f t="shared" si="135"/>
        <v>68.15384615384616</v>
      </c>
      <c r="CN73" s="390">
        <f t="shared" si="135"/>
        <v>72.333333333333343</v>
      </c>
      <c r="CO73" s="390">
        <f t="shared" si="135"/>
        <v>70.470967741935482</v>
      </c>
      <c r="CP73" s="382">
        <f t="shared" si="135"/>
        <v>87.960681337425029</v>
      </c>
      <c r="CQ73" s="382">
        <f t="shared" si="135"/>
        <v>72.833333333333343</v>
      </c>
      <c r="CR73" s="382">
        <f t="shared" si="135"/>
        <v>72.833333333333343</v>
      </c>
      <c r="CS73" s="382">
        <f t="shared" si="135"/>
        <v>72.833333333333343</v>
      </c>
    </row>
    <row r="74" spans="2:97" ht="12" customHeight="1">
      <c r="B74" s="197" t="s">
        <v>158</v>
      </c>
      <c r="C74" s="205"/>
      <c r="D74" s="392">
        <f>'IS (2)'!D6/AVERAGE('BS (2)'!C19,D19)</f>
        <v>0.9830039259897454</v>
      </c>
      <c r="E74" s="392">
        <f>'IS (2)'!E6/AVERAGE('BS (2)'!D19,E19)</f>
        <v>0.86382119538900282</v>
      </c>
      <c r="F74" s="392">
        <f>'IS (2)'!F6/AVERAGE('BS (2)'!E19,F19)</f>
        <v>0.85367727327861553</v>
      </c>
      <c r="G74" s="392">
        <f>'IS (2)'!G6/AVERAGE('BS (2)'!F19,G19)</f>
        <v>1.0089964014394242</v>
      </c>
      <c r="H74" s="392">
        <f>'IS (2)'!H6/AVERAGE('BS (2)'!G19,H19)</f>
        <v>1.1362938230383974</v>
      </c>
      <c r="I74" s="392">
        <f>'IS (2)'!I6/AVERAGE('BS (2)'!H19,I19)</f>
        <v>1.2537042214145935</v>
      </c>
      <c r="J74" s="393">
        <f>'IS (2)'!J6*4/AVERAGE('BS (2)'!I19,J19)</f>
        <v>1.454143034997925</v>
      </c>
      <c r="K74" s="393">
        <f>'IS (2)'!K6*4/AVERAGE('BS (2)'!J19,K19)</f>
        <v>1.4842887328743779</v>
      </c>
      <c r="L74" s="393">
        <f>'IS (2)'!L6*4/AVERAGE('BS (2)'!K19,L19)</f>
        <v>1.4082697711762344</v>
      </c>
      <c r="M74" s="393">
        <f>'IS (2)'!M6*4/AVERAGE('BS (2)'!L19,M19)</f>
        <v>1.4476888830692678</v>
      </c>
      <c r="N74" s="392">
        <f>'IS (2)'!N6/AVERAGE('BS (2)'!I19,N19)</f>
        <v>1.4331443814604867</v>
      </c>
      <c r="O74" s="393">
        <f>'IS (2)'!O6*4/AVERAGE('BS (2)'!N19,O19)</f>
        <v>1.5065776683299852</v>
      </c>
      <c r="P74" s="393">
        <f>'IS (2)'!P6*4/AVERAGE('BS (2)'!O19,P19)</f>
        <v>1.6388523295604105</v>
      </c>
      <c r="Q74" s="393">
        <f>'IS (2)'!Q6*4/AVERAGE('BS (2)'!P19,Q19)</f>
        <v>1.4791443850267381</v>
      </c>
      <c r="R74" s="393">
        <f>'IS (2)'!R6*4/AVERAGE('BS (2)'!Q19,R19)</f>
        <v>1.3941970060986879</v>
      </c>
      <c r="S74" s="392">
        <f>'IS (2)'!S6/AVERAGE('BS (2)'!N19,S19)</f>
        <v>1.4014721853505492</v>
      </c>
      <c r="T74" s="393">
        <f>'IS (2)'!T6*4/AVERAGE('BS (2)'!S19,T19)</f>
        <v>1.3495988570172548</v>
      </c>
      <c r="U74" s="393">
        <f>'IS (2)'!U6*4/AVERAGE('BS (2)'!T19,U19)</f>
        <v>1.3370709261120222</v>
      </c>
      <c r="V74" s="393">
        <f>'IS (2)'!V6*4/AVERAGE('BS (2)'!U19,V19)</f>
        <v>1.2000830220008301</v>
      </c>
      <c r="W74" s="393">
        <f>'IS (2)'!W6*4/AVERAGE('BS (2)'!V19,W19)</f>
        <v>1.1304435281102276</v>
      </c>
      <c r="X74" s="392">
        <f>'IS (2)'!X6/AVERAGE('BS (2)'!S19,X19)</f>
        <v>1.2602059677845259</v>
      </c>
      <c r="Y74" s="393">
        <f>'IS (2)'!Y6*4/AVERAGE('BS (2)'!X19,Y19)</f>
        <v>1.0982220926843484</v>
      </c>
      <c r="Z74" s="393">
        <f>'IS (2)'!Z6*4/AVERAGE('BS (2)'!Y19,Z19)</f>
        <v>1.0940493605776038</v>
      </c>
      <c r="AA74" s="393">
        <f>'IS (2)'!AA6*4/AVERAGE('BS (2)'!Z19,AA19)</f>
        <v>1.0740793810001434</v>
      </c>
      <c r="AB74" s="393">
        <f>'IS (2)'!AB6*4/AVERAGE('BS (2)'!AA19,AB19)</f>
        <v>1.2210688196847357</v>
      </c>
      <c r="AC74" s="392">
        <f>'IS (2)'!AC6/AVERAGE('BS (2)'!X19,AC19)</f>
        <v>1.1296421336934501</v>
      </c>
      <c r="AD74" s="393">
        <f>'IS (2)'!AD6*4/AVERAGE('BS (2)'!AC19,AD19)</f>
        <v>1.239097203488895</v>
      </c>
      <c r="AE74" s="393">
        <f>'IS (2)'!AE6*4/AVERAGE('BS (2)'!AD19,AE19)</f>
        <v>1.2076422422842745</v>
      </c>
      <c r="AF74" s="393">
        <f>'IS (2)'!AF6*4/AVERAGE('BS (2)'!AE19,AF19)</f>
        <v>1.1016829420319967</v>
      </c>
      <c r="AG74" s="393">
        <f>'IS (2)'!AG6*4/AVERAGE('BS (2)'!AF19,AG19)</f>
        <v>0.96540225093789078</v>
      </c>
      <c r="AH74" s="392">
        <f>'IS (2)'!AH6/AVERAGE('BS (2)'!AC19,AH19)</f>
        <v>1.1669015324995595</v>
      </c>
      <c r="AI74" s="393">
        <f>'IS (2)'!AI6*4/AVERAGE('BS (2)'!AH19,AI19)</f>
        <v>1.0200406622131863</v>
      </c>
      <c r="AJ74" s="393">
        <f>'IS (2)'!AJ6*4/AVERAGE('BS (2)'!AI19,AJ19)</f>
        <v>0.91874430547502695</v>
      </c>
      <c r="AK74" s="393">
        <f>'IS (2)'!AK6*4/AVERAGE('BS (2)'!AJ19,AK19)</f>
        <v>0.84305447391072685</v>
      </c>
      <c r="AL74" s="393">
        <f>'IS (2)'!AL6*4/AVERAGE('BS (2)'!AK19,AL19)</f>
        <v>0.8629577179850294</v>
      </c>
      <c r="AM74" s="392">
        <f>'IS (2)'!AM6/AVERAGE('BS (2)'!AH19,AM19)</f>
        <v>0.90219382148235594</v>
      </c>
      <c r="AN74" s="393">
        <f>'IS (2)'!AN6*4/AVERAGE('BS (2)'!AM19,AN19)</f>
        <v>0.85783014636930732</v>
      </c>
      <c r="AO74" s="393">
        <f>'IS (2)'!AO6*4/AVERAGE('BS (2)'!AN19,AO19)</f>
        <v>1.0002048928410443</v>
      </c>
      <c r="AP74" s="393">
        <f>'IS (2)'!AP6*4/AVERAGE('BS (2)'!AO19,AP19)</f>
        <v>0.94801223241590216</v>
      </c>
      <c r="AQ74" s="393">
        <f>'IS (2)'!AQ6*4/AVERAGE('BS (2)'!AP19,AQ19)</f>
        <v>0.99159061017894834</v>
      </c>
      <c r="AR74" s="392">
        <f>'IS (2)'!AR6/AVERAGE('BS (2)'!AM19,AR19)</f>
        <v>0.93711821775062865</v>
      </c>
      <c r="AS74" s="393">
        <f>'IS (2)'!AS6*4/AVERAGE('BS (2)'!AR19,AS19)</f>
        <v>1.0464694280078897</v>
      </c>
      <c r="AT74" s="393">
        <f>'IS (2)'!AT6*4/AVERAGE('BS (2)'!AS19,AT19)</f>
        <v>1.0898586449948005</v>
      </c>
      <c r="AU74" s="393">
        <f>'IS (2)'!AU6*4/AVERAGE('BS (2)'!AT19,AU19)</f>
        <v>1.065858738875213</v>
      </c>
      <c r="AV74" s="393">
        <f>'IS (2)'!AV6*4/AVERAGE('BS (2)'!AU19,AV19)</f>
        <v>1.0538336052202284</v>
      </c>
      <c r="AW74" s="392">
        <f>'IS (2)'!AW6/AVERAGE('BS (2)'!AR19,AW19)</f>
        <v>1.0571710576266038</v>
      </c>
      <c r="AX74" s="393">
        <f>'IS (2)'!AX6*4/AVERAGE('BS (2)'!AW19,AX19)</f>
        <v>1.125813372726953</v>
      </c>
      <c r="AY74" s="393">
        <f>'IS (2)'!AY6*4/AVERAGE('BS (2)'!AX19,AY19)</f>
        <v>1.070133699695071</v>
      </c>
      <c r="AZ74" s="393">
        <f>'IS (2)'!AZ6*4/AVERAGE('BS (2)'!AY19,AZ19)</f>
        <v>1.0157577329615459</v>
      </c>
      <c r="BA74" s="393">
        <f>'IS (2)'!BA6*4/AVERAGE('BS (2)'!AZ19,BA19)</f>
        <v>0.97741324921135653</v>
      </c>
      <c r="BB74" s="392">
        <f>'IS (2)'!BB6/AVERAGE('BS (2)'!AW19,BB19)</f>
        <v>1.0594790547798068</v>
      </c>
      <c r="BC74" s="393">
        <f>'IS (2)'!BC6*4/AVERAGE('BS (2)'!BB19,BC19)</f>
        <v>1.0280460337539725</v>
      </c>
      <c r="BD74" s="393">
        <f>'IS (2)'!BD6*4/AVERAGE('BS (2)'!BC19,BD19)</f>
        <v>1.0143414341434145</v>
      </c>
      <c r="BE74" s="393">
        <f>'IS (2)'!BE6*4/AVERAGE('BS (2)'!BD19,BE19)</f>
        <v>0.95428769818308068</v>
      </c>
      <c r="BF74" s="393">
        <f>'IS (2)'!BF6*4/AVERAGE('BS (2)'!BE19,BF19)</f>
        <v>0.94910354412786657</v>
      </c>
      <c r="BG74" s="392">
        <f>'IS (2)'!BG6/AVERAGE('BS (2)'!BB19,BG19)</f>
        <v>0.97592463363572934</v>
      </c>
      <c r="BH74" s="393">
        <f>'IS (2)'!BH6*4/AVERAGE('BS (2)'!BG19,BH19)</f>
        <v>0.98738237810094087</v>
      </c>
      <c r="BI74" s="393">
        <f>'IS (2)'!BI6*4/AVERAGE('BS (2)'!BH19,BI19)</f>
        <v>0.97629864229900587</v>
      </c>
      <c r="BJ74" s="393">
        <f>'IS (2)'!BJ6*4/AVERAGE('BS (2)'!BI19,BJ19)</f>
        <v>0.92526617526617527</v>
      </c>
      <c r="BK74" s="393">
        <f>'IS (2)'!BK6*4/AVERAGE('BS (2)'!BJ19,BK19)</f>
        <v>0.94449727240878845</v>
      </c>
      <c r="BL74" s="392">
        <f>'IS (2)'!BL6/AVERAGE('BS (2)'!BG19,BL19)</f>
        <v>0.95829567462879262</v>
      </c>
      <c r="BM74" s="393">
        <f>'IS (2)'!BM6*4/AVERAGE('BS (2)'!BL19,BM19)</f>
        <v>0.91531671355126587</v>
      </c>
      <c r="BN74" s="393">
        <f>'IS (2)'!BN6*4/AVERAGE('BS (2)'!BM19,BN19)</f>
        <v>0.88764490471858759</v>
      </c>
      <c r="BO74" s="393">
        <f>'IS (2)'!BO6*4/AVERAGE('BS (2)'!BN19,BO19)</f>
        <v>0.80850297243739877</v>
      </c>
      <c r="BP74" s="393">
        <f>'IS (2)'!BP6*4/AVERAGE('BS (2)'!BO19,BP19)</f>
        <v>0.83990876448138052</v>
      </c>
      <c r="BQ74" s="392">
        <f>'IS (2)'!BQ6/AVERAGE('BS (2)'!BL19,BQ19)</f>
        <v>0.88129172782802223</v>
      </c>
      <c r="BR74" s="393">
        <f>'IS (2)'!BR6*4/AVERAGE('BS (2)'!BQ19,BR19)</f>
        <v>0.88303393213572856</v>
      </c>
      <c r="BS74" s="393">
        <f>'IS (2)'!BS6*4/AVERAGE('BS (2)'!BR19,BS19)</f>
        <v>0.891200545702592</v>
      </c>
      <c r="BT74" s="393">
        <f>'IS (2)'!BT6*4/AVERAGE('BS (2)'!BS19,BT19)</f>
        <v>0.84114112852401146</v>
      </c>
      <c r="BU74" s="393">
        <f>'IS (2)'!BU6*4/AVERAGE('BS (2)'!BT19,BU19)</f>
        <v>0.80731340791451001</v>
      </c>
      <c r="BV74" s="392">
        <f>'IS (2)'!BV6/AVERAGE('BS (2)'!BQ19,BV19)</f>
        <v>0.87371403661726255</v>
      </c>
      <c r="BW74" s="393">
        <f>'IS (2)'!BW6*4/AVERAGE('BS (2)'!BV19,BW19)</f>
        <v>0.76975945017182146</v>
      </c>
      <c r="BX74" s="393">
        <f>'IS (2)'!BX6*4/AVERAGE('BS (2)'!BW19,BX19)</f>
        <v>0.75543937879603285</v>
      </c>
      <c r="BY74" s="393">
        <f>'IS (2)'!BY6*4/AVERAGE('BS (2)'!BX19,BY19)</f>
        <v>0.73296672569670984</v>
      </c>
      <c r="BZ74" s="393">
        <f>'IS (2)'!BZ6*4/AVERAGE('BS (2)'!BY19,BZ19)</f>
        <v>0.74184954966383365</v>
      </c>
      <c r="CA74" s="392">
        <f>'IS (2)'!CA6/AVERAGE('BS (2)'!BV19,CA19)</f>
        <v>0.76167133069574455</v>
      </c>
      <c r="CB74" s="393">
        <f>'IS (2)'!CB6*4/AVERAGE('BS (2)'!CA19,CB19)</f>
        <v>0.7626376729737363</v>
      </c>
      <c r="CC74" s="393">
        <f>'IS (2)'!CC6*4/AVERAGE('BS (2)'!CB19,CC19)</f>
        <v>0.76562718500908966</v>
      </c>
      <c r="CD74" s="393">
        <f>'IS (2)'!CD6*4/AVERAGE('BS (2)'!CC19,CD19)</f>
        <v>0.76091929750466336</v>
      </c>
      <c r="CE74" s="393">
        <f>'IS (2)'!CE6*4/AVERAGE('BS (2)'!CD19,CE19)</f>
        <v>0.7914506401439001</v>
      </c>
      <c r="CF74" s="392">
        <f>'IS (2)'!CF6/AVERAGE('BS (2)'!CA19,CF19)</f>
        <v>0.78112399643175734</v>
      </c>
      <c r="CG74" s="393">
        <f>'IS (2)'!CG6*4/AVERAGE('BS (2)'!CF19,CG19)</f>
        <v>0.81454399759603335</v>
      </c>
      <c r="CH74" s="393">
        <f>'IS (2)'!CH6*4/AVERAGE('BS (2)'!CG19,CH19)</f>
        <v>0.76590526795679992</v>
      </c>
      <c r="CI74" s="393">
        <f>'IS (2)'!CI6*4/AVERAGE('BS (2)'!CH19,CI19)</f>
        <v>0.72122576886131362</v>
      </c>
      <c r="CJ74" s="393">
        <f>'IS (2)'!CJ6*4/AVERAGE('BS (2)'!CI19,CJ19)</f>
        <v>0.718418791177313</v>
      </c>
      <c r="CK74" s="392">
        <f>'IS (2)'!CK6/AVERAGE('BS (2)'!CF19,CK19)</f>
        <v>0.79147277705914942</v>
      </c>
      <c r="CL74" s="393">
        <f>'IS (2)'!CL6*4/AVERAGE('BS (2)'!CK19,CL19)</f>
        <v>0.65956506499641876</v>
      </c>
      <c r="CM74" s="393">
        <f>'IS (2)'!CM6*4/AVERAGE('BS (2)'!CL19,CM19)</f>
        <v>0.37035441971913075</v>
      </c>
      <c r="CN74" s="393">
        <f>'IS (2)'!CN6*4/AVERAGE('BS (2)'!CM19,CN19)</f>
        <v>0.45464457014471293</v>
      </c>
      <c r="CO74" s="393">
        <f>'IS (2)'!CO6*4/AVERAGE('BS (2)'!CN19,CO19)</f>
        <v>0.5245660471010678</v>
      </c>
      <c r="CP74" s="392">
        <f>'IS (2)'!CP6/AVERAGE('BS (2)'!CK19,CP19)</f>
        <v>0.50644187393062301</v>
      </c>
      <c r="CQ74" s="392">
        <f>'IS (2)'!CQ6/AVERAGE('BS (2)'!CP19,CQ19)</f>
        <v>0.56034019972859528</v>
      </c>
      <c r="CR74" s="392">
        <f>'IS (2)'!CR6/AVERAGE('BS (2)'!CQ19,CR19)</f>
        <v>0.63141187485588535</v>
      </c>
      <c r="CS74" s="392">
        <f>'IS (2)'!CS6/AVERAGE('BS (2)'!CR19,CS19)</f>
        <v>0.69435715833644951</v>
      </c>
    </row>
    <row r="75" spans="2:97" ht="12" customHeight="1">
      <c r="C75" s="205"/>
      <c r="D75" s="205"/>
      <c r="E75" s="205"/>
      <c r="F75" s="205"/>
      <c r="G75" s="205"/>
      <c r="H75" s="205"/>
      <c r="I75" s="205"/>
      <c r="N75" s="205"/>
      <c r="S75" s="205"/>
      <c r="X75" s="205"/>
      <c r="AC75" s="205"/>
      <c r="AH75" s="205"/>
      <c r="AM75" s="205"/>
      <c r="AR75" s="205"/>
      <c r="AW75" s="205"/>
      <c r="BB75" s="205"/>
      <c r="BG75" s="205"/>
      <c r="BL75" s="205"/>
      <c r="BQ75" s="205"/>
      <c r="BV75" s="205"/>
      <c r="CA75" s="205"/>
      <c r="CF75" s="205"/>
      <c r="CK75" s="205"/>
      <c r="CP75" s="205"/>
      <c r="CQ75" s="205"/>
      <c r="CR75" s="205"/>
      <c r="CS75" s="205"/>
    </row>
    <row r="76" spans="2:97" ht="12" customHeight="1">
      <c r="B76" s="360" t="s">
        <v>159</v>
      </c>
      <c r="C76" s="205"/>
      <c r="D76" s="205"/>
      <c r="E76" s="205"/>
      <c r="F76" s="205"/>
      <c r="G76" s="205"/>
      <c r="H76" s="205"/>
      <c r="I76" s="205"/>
      <c r="N76" s="205"/>
      <c r="S76" s="205"/>
      <c r="X76" s="205"/>
      <c r="AC76" s="205"/>
      <c r="AH76" s="205"/>
      <c r="AM76" s="205"/>
      <c r="AR76" s="205"/>
      <c r="AW76" s="205"/>
      <c r="BB76" s="205"/>
      <c r="BG76" s="205"/>
      <c r="BL76" s="205"/>
      <c r="BQ76" s="205"/>
      <c r="BV76" s="205"/>
      <c r="CA76" s="205"/>
      <c r="CF76" s="205"/>
      <c r="CK76" s="205"/>
      <c r="CP76" s="205"/>
      <c r="CQ76" s="205"/>
      <c r="CR76" s="205"/>
      <c r="CS76" s="205"/>
    </row>
    <row r="77" spans="2:97" ht="12" customHeight="1">
      <c r="B77" s="197" t="s">
        <v>160</v>
      </c>
      <c r="C77" s="394">
        <f t="shared" ref="C77:AH77" si="136">C12/C29</f>
        <v>2.0769387623687998</v>
      </c>
      <c r="D77" s="394">
        <f t="shared" si="136"/>
        <v>2.0006288620331381</v>
      </c>
      <c r="E77" s="394">
        <f t="shared" si="136"/>
        <v>1.5572446555819477</v>
      </c>
      <c r="F77" s="394">
        <f t="shared" si="136"/>
        <v>1.6472966144517434</v>
      </c>
      <c r="G77" s="394">
        <f t="shared" si="136"/>
        <v>1.3875782378430424</v>
      </c>
      <c r="H77" s="394">
        <f t="shared" si="136"/>
        <v>0.31870106533179304</v>
      </c>
      <c r="I77" s="394">
        <f t="shared" si="136"/>
        <v>1.8584502745576572</v>
      </c>
      <c r="J77" s="395">
        <f t="shared" si="136"/>
        <v>1.8185460789925592</v>
      </c>
      <c r="K77" s="395">
        <f t="shared" si="136"/>
        <v>1.8472440944881889</v>
      </c>
      <c r="L77" s="395">
        <f t="shared" si="136"/>
        <v>1.8015992003998003</v>
      </c>
      <c r="M77" s="395">
        <f t="shared" si="136"/>
        <v>1.7282407407407405</v>
      </c>
      <c r="N77" s="394">
        <f t="shared" si="136"/>
        <v>1.7282407407407405</v>
      </c>
      <c r="O77" s="395">
        <f t="shared" si="136"/>
        <v>1.9074457083764222</v>
      </c>
      <c r="P77" s="395">
        <f t="shared" si="136"/>
        <v>1.9237288135593218</v>
      </c>
      <c r="Q77" s="395">
        <f t="shared" si="136"/>
        <v>1.7620724346076457</v>
      </c>
      <c r="R77" s="395">
        <f t="shared" si="136"/>
        <v>1.8912155260469872</v>
      </c>
      <c r="S77" s="394">
        <f t="shared" si="136"/>
        <v>1.8912155260469872</v>
      </c>
      <c r="T77" s="395">
        <f t="shared" si="136"/>
        <v>2.0723318158826505</v>
      </c>
      <c r="U77" s="395">
        <f t="shared" si="136"/>
        <v>2.0575243965074477</v>
      </c>
      <c r="V77" s="395">
        <f t="shared" si="136"/>
        <v>2.1052356020942407</v>
      </c>
      <c r="W77" s="395">
        <f t="shared" si="136"/>
        <v>1.9416324669402645</v>
      </c>
      <c r="X77" s="394">
        <f t="shared" si="136"/>
        <v>1.9416324669402645</v>
      </c>
      <c r="Y77" s="395">
        <f t="shared" si="136"/>
        <v>2.1523899668717461</v>
      </c>
      <c r="Z77" s="395">
        <f t="shared" si="136"/>
        <v>1.8955709061357173</v>
      </c>
      <c r="AA77" s="395">
        <f t="shared" si="136"/>
        <v>1.8785127539991353</v>
      </c>
      <c r="AB77" s="395">
        <f t="shared" si="136"/>
        <v>1.7805976258698324</v>
      </c>
      <c r="AC77" s="394">
        <f t="shared" si="136"/>
        <v>1.7805976258698324</v>
      </c>
      <c r="AD77" s="395">
        <f t="shared" si="136"/>
        <v>2.0519534497090604</v>
      </c>
      <c r="AE77" s="395">
        <f t="shared" si="136"/>
        <v>2.2360275150472915</v>
      </c>
      <c r="AF77" s="395">
        <f t="shared" si="136"/>
        <v>2.4482589504659145</v>
      </c>
      <c r="AG77" s="395">
        <f t="shared" si="136"/>
        <v>2.1440677966101696</v>
      </c>
      <c r="AH77" s="394">
        <f t="shared" si="136"/>
        <v>2.1440677966101696</v>
      </c>
      <c r="AI77" s="395">
        <f t="shared" ref="AI77:BN77" si="137">AI12/AI29</f>
        <v>2.329528535980149</v>
      </c>
      <c r="AJ77" s="395">
        <f t="shared" si="137"/>
        <v>2.6352601156069362</v>
      </c>
      <c r="AK77" s="395">
        <f t="shared" si="137"/>
        <v>2.8145363408521304</v>
      </c>
      <c r="AL77" s="395">
        <f t="shared" si="137"/>
        <v>2.2860684184432323</v>
      </c>
      <c r="AM77" s="394">
        <f t="shared" si="137"/>
        <v>2.2860684184432323</v>
      </c>
      <c r="AN77" s="395">
        <f t="shared" si="137"/>
        <v>2.6567436208991495</v>
      </c>
      <c r="AO77" s="395">
        <f t="shared" si="137"/>
        <v>2.5177743431221016</v>
      </c>
      <c r="AP77" s="395">
        <f t="shared" si="137"/>
        <v>2.5383443372270187</v>
      </c>
      <c r="AQ77" s="395">
        <f t="shared" si="137"/>
        <v>2.4171928120446817</v>
      </c>
      <c r="AR77" s="394">
        <f t="shared" si="137"/>
        <v>2.4171928120446817</v>
      </c>
      <c r="AS77" s="395">
        <f t="shared" si="137"/>
        <v>2.4148681055155876</v>
      </c>
      <c r="AT77" s="395">
        <f t="shared" si="137"/>
        <v>2.3003082342580359</v>
      </c>
      <c r="AU77" s="395">
        <f t="shared" si="137"/>
        <v>2.4014499320344358</v>
      </c>
      <c r="AV77" s="395">
        <f t="shared" si="137"/>
        <v>2.118383838383838</v>
      </c>
      <c r="AW77" s="394">
        <f t="shared" si="137"/>
        <v>2.118383838383838</v>
      </c>
      <c r="AX77" s="395">
        <f t="shared" si="137"/>
        <v>2.6485507246376816</v>
      </c>
      <c r="AY77" s="395">
        <f t="shared" si="137"/>
        <v>2.4507042253521125</v>
      </c>
      <c r="AZ77" s="395">
        <f t="shared" si="137"/>
        <v>2.5455337690631805</v>
      </c>
      <c r="BA77" s="395">
        <f t="shared" si="137"/>
        <v>2.4466638334041648</v>
      </c>
      <c r="BB77" s="394">
        <f t="shared" si="137"/>
        <v>2.4466638334041648</v>
      </c>
      <c r="BC77" s="395">
        <f t="shared" si="137"/>
        <v>2.4225636878285481</v>
      </c>
      <c r="BD77" s="395">
        <f t="shared" si="137"/>
        <v>2.9307440336920916</v>
      </c>
      <c r="BE77" s="395">
        <f t="shared" si="137"/>
        <v>2.6843403205918621</v>
      </c>
      <c r="BF77" s="395">
        <f t="shared" si="137"/>
        <v>2.4428730926684032</v>
      </c>
      <c r="BG77" s="394">
        <f t="shared" si="137"/>
        <v>2.4428730926684032</v>
      </c>
      <c r="BH77" s="395">
        <f t="shared" si="137"/>
        <v>2.6589617279272444</v>
      </c>
      <c r="BI77" s="395">
        <f t="shared" si="137"/>
        <v>2.5926756352765321</v>
      </c>
      <c r="BJ77" s="395">
        <f t="shared" si="137"/>
        <v>2.5741239892183287</v>
      </c>
      <c r="BK77" s="395">
        <f t="shared" si="137"/>
        <v>2.1947842884739215</v>
      </c>
      <c r="BL77" s="394">
        <f t="shared" si="137"/>
        <v>2.1947842884739215</v>
      </c>
      <c r="BM77" s="395">
        <f t="shared" si="137"/>
        <v>2.5445438282647581</v>
      </c>
      <c r="BN77" s="395">
        <f t="shared" si="137"/>
        <v>2.6771092915628341</v>
      </c>
      <c r="BO77" s="395">
        <f t="shared" ref="BO77:CS77" si="138">BO12/BO29</f>
        <v>2.6216216216216215</v>
      </c>
      <c r="BP77" s="395">
        <f t="shared" si="138"/>
        <v>2.1660970608339025</v>
      </c>
      <c r="BQ77" s="394">
        <f t="shared" si="138"/>
        <v>2.1660970608339025</v>
      </c>
      <c r="BR77" s="395">
        <f t="shared" si="138"/>
        <v>2.6188493565480702</v>
      </c>
      <c r="BS77" s="395">
        <f t="shared" si="138"/>
        <v>2.5206185567010309</v>
      </c>
      <c r="BT77" s="395">
        <f t="shared" si="138"/>
        <v>2.3177874186550973</v>
      </c>
      <c r="BU77" s="395">
        <f t="shared" si="138"/>
        <v>2.23243839646929</v>
      </c>
      <c r="BV77" s="394">
        <f t="shared" si="138"/>
        <v>2.23243839646929</v>
      </c>
      <c r="BW77" s="395">
        <f t="shared" si="138"/>
        <v>2.4992721979621551</v>
      </c>
      <c r="BX77" s="395">
        <f t="shared" si="138"/>
        <v>2.3943870014771047</v>
      </c>
      <c r="BY77" s="395">
        <f t="shared" si="138"/>
        <v>2.7443754848719943</v>
      </c>
      <c r="BZ77" s="395">
        <f t="shared" si="138"/>
        <v>2.5055322396032045</v>
      </c>
      <c r="CA77" s="394">
        <f t="shared" si="138"/>
        <v>2.5055322396032045</v>
      </c>
      <c r="CB77" s="395">
        <f t="shared" si="138"/>
        <v>2.6436484490398819</v>
      </c>
      <c r="CC77" s="395">
        <f t="shared" si="138"/>
        <v>2.4091218515997284</v>
      </c>
      <c r="CD77" s="395">
        <f t="shared" si="138"/>
        <v>2.5802879291251388</v>
      </c>
      <c r="CE77" s="395">
        <f t="shared" si="138"/>
        <v>2.0685644322007954</v>
      </c>
      <c r="CF77" s="394">
        <f t="shared" si="138"/>
        <v>2.0685644322007954</v>
      </c>
      <c r="CG77" s="395">
        <f t="shared" si="138"/>
        <v>2.2357816519005431</v>
      </c>
      <c r="CH77" s="395">
        <f t="shared" si="138"/>
        <v>2.2187934389769253</v>
      </c>
      <c r="CI77" s="395">
        <f t="shared" si="138"/>
        <v>2.2236311239193083</v>
      </c>
      <c r="CJ77" s="395">
        <f t="shared" si="138"/>
        <v>2.1850588964662121</v>
      </c>
      <c r="CK77" s="394">
        <f t="shared" si="138"/>
        <v>2.1850588964662121</v>
      </c>
      <c r="CL77" s="395">
        <f t="shared" si="138"/>
        <v>3.3568893191352052</v>
      </c>
      <c r="CM77" s="395">
        <f t="shared" si="138"/>
        <v>2.7199331327056324</v>
      </c>
      <c r="CN77" s="395">
        <f t="shared" si="138"/>
        <v>2.8779042746294845</v>
      </c>
      <c r="CO77" s="395">
        <f t="shared" si="138"/>
        <v>3.2276665944604876</v>
      </c>
      <c r="CP77" s="394">
        <f t="shared" si="138"/>
        <v>3.2276665944604876</v>
      </c>
      <c r="CQ77" s="394">
        <f t="shared" si="138"/>
        <v>2.7281876312912599</v>
      </c>
      <c r="CR77" s="394">
        <f t="shared" si="138"/>
        <v>2.6633938971743674</v>
      </c>
      <c r="CS77" s="394">
        <f t="shared" si="138"/>
        <v>2.7516065738017241</v>
      </c>
    </row>
    <row r="78" spans="2:97" ht="12" customHeight="1">
      <c r="B78" s="197" t="s">
        <v>161</v>
      </c>
      <c r="C78" s="394">
        <f>-'IS (2)'!C13/'IS (2)'!C12</f>
        <v>0.33620204821010474</v>
      </c>
      <c r="D78" s="394">
        <f>-'IS (2)'!D13/'IS (2)'!D12</f>
        <v>0.33044540708652631</v>
      </c>
      <c r="E78" s="394">
        <f>-'IS (2)'!E13/'IS (2)'!E12</f>
        <v>1.0725689404934688</v>
      </c>
      <c r="F78" s="394">
        <f>-'IS (2)'!F13/'IS (2)'!F12</f>
        <v>0.91114058355437577</v>
      </c>
      <c r="G78" s="394">
        <f>-'IS (2)'!G13/'IS (2)'!G12</f>
        <v>-0.20493358633776088</v>
      </c>
      <c r="H78" s="394">
        <f>-'IS (2)'!H13/'IS (2)'!H12</f>
        <v>1.043189368770765</v>
      </c>
      <c r="I78" s="394">
        <f>-'IS (2)'!I13/'IS (2)'!I12</f>
        <v>0.92733564013840841</v>
      </c>
      <c r="J78" s="395">
        <f>-'IS (2)'!J13/'IS (2)'!J12</f>
        <v>0.52320675105485182</v>
      </c>
      <c r="K78" s="395">
        <f>-'IS (2)'!K13/'IS (2)'!K12</f>
        <v>0.45945945945945948</v>
      </c>
      <c r="L78" s="395">
        <f>-'IS (2)'!L13/'IS (2)'!L12</f>
        <v>0.64516129032257952</v>
      </c>
      <c r="M78" s="395">
        <f>-'IS (2)'!M13/'IS (2)'!M12</f>
        <v>0.55339805825242994</v>
      </c>
      <c r="N78" s="394">
        <f>-'IS (2)'!N13/'IS (2)'!N12</f>
        <v>0.53716216216216239</v>
      </c>
      <c r="O78" s="395">
        <f>-'IS (2)'!O13/'IS (2)'!O12</f>
        <v>0.36170212765957444</v>
      </c>
      <c r="P78" s="395">
        <f>-'IS (2)'!P13/'IS (2)'!P12</f>
        <v>0.2005420054200541</v>
      </c>
      <c r="Q78" s="395">
        <f>-'IS (2)'!Q13/'IS (2)'!Q12</f>
        <v>0.85057471264367479</v>
      </c>
      <c r="R78" s="395">
        <f>-'IS (2)'!R13/'IS (2)'!R12</f>
        <v>0.28015564202334642</v>
      </c>
      <c r="S78" s="394">
        <f>-'IS (2)'!S13/'IS (2)'!S12</f>
        <v>0.32533589251439526</v>
      </c>
      <c r="T78" s="395">
        <f>-'IS (2)'!T13/'IS (2)'!T12</f>
        <v>0.26174496644295309</v>
      </c>
      <c r="U78" s="395">
        <f>-'IS (2)'!U13/'IS (2)'!U12</f>
        <v>0.206997084548105</v>
      </c>
      <c r="V78" s="395">
        <f>-'IS (2)'!V13/'IS (2)'!V12</f>
        <v>0.26459143968871568</v>
      </c>
      <c r="W78" s="395">
        <f>-'IS (2)'!W13/'IS (2)'!W12</f>
        <v>0.3795180722891569</v>
      </c>
      <c r="X78" s="394">
        <f>-'IS (2)'!X13/'IS (2)'!X12</f>
        <v>0.26315789473684209</v>
      </c>
      <c r="Y78" s="395">
        <f>-'IS (2)'!Y13/'IS (2)'!Y12</f>
        <v>0.19063545150501657</v>
      </c>
      <c r="Z78" s="395">
        <f>-'IS (2)'!Z13/'IS (2)'!Z12</f>
        <v>0.17647058823529407</v>
      </c>
      <c r="AA78" s="395">
        <f>-'IS (2)'!AA13/'IS (2)'!AA12</f>
        <v>0.17549668874172167</v>
      </c>
      <c r="AB78" s="395">
        <f>-'IS (2)'!AB13/'IS (2)'!AB12</f>
        <v>0.21052631578947525</v>
      </c>
      <c r="AC78" s="396">
        <f>-'IS (2)'!AC13/'IS (2)'!AC12</f>
        <v>0.18608695652173929</v>
      </c>
      <c r="AD78" s="162">
        <f>-'IS (2)'!AD13/'IS (2)'!AD12</f>
        <v>0.13736263736263726</v>
      </c>
      <c r="AE78" s="162">
        <f>-'IS (2)'!AE13/'IS (2)'!AE12</f>
        <v>0.20136518771331041</v>
      </c>
      <c r="AF78" s="162">
        <f>-'IS (2)'!AF13/'IS (2)'!AF12</f>
        <v>0.12813370473537616</v>
      </c>
      <c r="AG78" s="162">
        <f>-'IS (2)'!AG13/'IS (2)'!AG12</f>
        <v>0.16040955631399395</v>
      </c>
      <c r="AH78" s="396">
        <f>-'IS (2)'!AH13/'IS (2)'!AH12</f>
        <v>0.15431627196333095</v>
      </c>
      <c r="AI78" s="162">
        <f>-'IS (2)'!AI13/'IS (2)'!AI12</f>
        <v>0.13533834586466165</v>
      </c>
      <c r="AJ78" s="162">
        <f>-'IS (2)'!AJ13/'IS (2)'!AJ12</f>
        <v>0.25252525252525226</v>
      </c>
      <c r="AK78" s="162">
        <f>-'IS (2)'!AK13/'IS (2)'!AK12</f>
        <v>0.35204081632653028</v>
      </c>
      <c r="AL78" s="162">
        <f>-'IS (2)'!AL13/'IS (2)'!AL12</f>
        <v>0.4344827586206893</v>
      </c>
      <c r="AM78" s="396">
        <f>-'IS (2)'!AM13/'IS (2)'!AM12</f>
        <v>0.25168756027000949</v>
      </c>
      <c r="AN78" s="162">
        <f>-'IS (2)'!AN13/'IS (2)'!AN12</f>
        <v>0.27731092436974791</v>
      </c>
      <c r="AO78" s="162">
        <f>-'IS (2)'!AO13/'IS (2)'!AO12</f>
        <v>0.17530864197530852</v>
      </c>
      <c r="AP78" s="162">
        <f>-'IS (2)'!AP13/'IS (2)'!AP12</f>
        <v>0.15362318840579708</v>
      </c>
      <c r="AQ78" s="162">
        <f>-'IS (2)'!AQ13/'IS (2)'!AQ12</f>
        <v>0.13548387096774231</v>
      </c>
      <c r="AR78" s="396">
        <f>-'IS (2)'!AR13/'IS (2)'!AR12</f>
        <v>0.17873651771956867</v>
      </c>
      <c r="AS78" s="162">
        <f>-'IS (2)'!AS13/'IS (2)'!AS12</f>
        <v>8.898305084745757E-2</v>
      </c>
      <c r="AT78" s="162">
        <f>-'IS (2)'!AT13/'IS (2)'!AT12</f>
        <v>5.8704453441295545E-2</v>
      </c>
      <c r="AU78" s="162">
        <f>-'IS (2)'!AU13/'IS (2)'!AU12</f>
        <v>4.7826086956521741E-2</v>
      </c>
      <c r="AV78" s="162">
        <f>-'IS (2)'!AV13/'IS (2)'!AV12</f>
        <v>4.655870445344127E-2</v>
      </c>
      <c r="AW78" s="396">
        <f>-'IS (2)'!AW13/'IS (2)'!AW12</f>
        <v>6.0416666666666653E-2</v>
      </c>
      <c r="AX78" s="162">
        <f>-'IS (2)'!AX13/'IS (2)'!AX12</f>
        <v>4.9504950495049473E-2</v>
      </c>
      <c r="AY78" s="162">
        <f>-'IS (2)'!AY13/'IS (2)'!AY12</f>
        <v>4.0595399188092011E-2</v>
      </c>
      <c r="AZ78" s="162">
        <f>-'IS (2)'!AZ13/'IS (2)'!AZ12</f>
        <v>3.6666666666666639E-2</v>
      </c>
      <c r="BA78" s="162">
        <f>-'IS (2)'!BA13/'IS (2)'!BA12</f>
        <v>3.3149171270718217E-2</v>
      </c>
      <c r="BB78" s="396">
        <f>-'IS (2)'!BB13/'IS (2)'!BB12</f>
        <v>4.0192926045016057E-2</v>
      </c>
      <c r="BC78" s="162">
        <f>-'IS (2)'!BC13/'IS (2)'!BC12</f>
        <v>2.6984126984126982E-2</v>
      </c>
      <c r="BD78" s="162">
        <f>-'IS (2)'!BD13/'IS (2)'!BD12</f>
        <v>2.9207232267037544E-2</v>
      </c>
      <c r="BE78" s="162">
        <f>-'IS (2)'!BE13/'IS (2)'!BE12</f>
        <v>2.7536231884057964E-2</v>
      </c>
      <c r="BF78" s="162">
        <f>-'IS (2)'!BF13/'IS (2)'!BF12</f>
        <v>2.388059701492537E-2</v>
      </c>
      <c r="BG78" s="396">
        <f>-'IS (2)'!BG13/'IS (2)'!BG12</f>
        <v>2.6947212993724615E-2</v>
      </c>
      <c r="BH78" s="162">
        <f>-'IS (2)'!BH13/'IS (2)'!BH12</f>
        <v>2.412868632707775E-2</v>
      </c>
      <c r="BI78" s="162">
        <f>-'IS (2)'!BI13/'IS (2)'!BI12</f>
        <v>2.6631158455392802E-2</v>
      </c>
      <c r="BJ78" s="162">
        <f>-'IS (2)'!BJ13/'IS (2)'!BJ12</f>
        <v>2.6582278481012658E-2</v>
      </c>
      <c r="BK78" s="162">
        <f>-'IS (2)'!BK13/'IS (2)'!BK12</f>
        <v>2.723735408560311E-2</v>
      </c>
      <c r="BL78" s="396">
        <f>-'IS (2)'!BL13/'IS (2)'!BL12</f>
        <v>2.6160889470241987E-2</v>
      </c>
      <c r="BM78" s="162">
        <f>-'IS (2)'!BM13/'IS (2)'!BM12</f>
        <v>2.300242130750605E-2</v>
      </c>
      <c r="BN78" s="162">
        <f>-'IS (2)'!BN13/'IS (2)'!BN12</f>
        <v>2.759381898454747E-2</v>
      </c>
      <c r="BO78" s="162">
        <f>-'IS (2)'!BO13/'IS (2)'!BO12</f>
        <v>5.8974358974358945E-2</v>
      </c>
      <c r="BP78" s="162">
        <f>-'IS (2)'!BP13/'IS (2)'!BP12</f>
        <v>6.4039408866995107E-2</v>
      </c>
      <c r="BQ78" s="396">
        <f>-'IS (2)'!BQ13/'IS (2)'!BQ12</f>
        <v>4.2719614921780988E-2</v>
      </c>
      <c r="BR78" s="162">
        <f>-'IS (2)'!BR13/'IS (2)'!BR12</f>
        <v>6.6746126340882006E-2</v>
      </c>
      <c r="BS78" s="162">
        <f>-'IS (2)'!BS13/'IS (2)'!BS12</f>
        <v>5.694305694305693E-2</v>
      </c>
      <c r="BT78" s="162">
        <f>-'IS (2)'!BT13/'IS (2)'!BT12</f>
        <v>6.1728395061728399E-2</v>
      </c>
      <c r="BU78" s="162">
        <f>-'IS (2)'!BU13/'IS (2)'!BU12</f>
        <v>6.0919540229885036E-2</v>
      </c>
      <c r="BV78" s="396">
        <f>-'IS (2)'!BV13/'IS (2)'!BV12</f>
        <v>6.1371841155234655E-2</v>
      </c>
      <c r="BW78" s="162">
        <f>-'IS (2)'!BW13/'IS (2)'!BW12</f>
        <v>7.8880407124681917E-2</v>
      </c>
      <c r="BX78" s="162">
        <f>-'IS (2)'!BX13/'IS (2)'!BX12</f>
        <v>7.5808249721293158E-2</v>
      </c>
      <c r="BY78" s="162">
        <f>-'IS (2)'!BY13/'IS (2)'!BY12</f>
        <v>7.8563411896745206E-2</v>
      </c>
      <c r="BZ78" s="162">
        <f>-'IS (2)'!BZ13/'IS (2)'!BZ12</f>
        <v>7.9399141630901296E-2</v>
      </c>
      <c r="CA78" s="396">
        <f>-'IS (2)'!CA13/'IS (2)'!CA12</f>
        <v>7.8151739874500831E-2</v>
      </c>
      <c r="CB78" s="162">
        <f>-'IS (2)'!CB13/'IS (2)'!CB12</f>
        <v>9.708737864077667E-2</v>
      </c>
      <c r="CC78" s="162">
        <f>-'IS (2)'!CC13/'IS (2)'!CC12</f>
        <v>9.0155440414507751E-2</v>
      </c>
      <c r="CD78" s="162">
        <f>-'IS (2)'!CD13/'IS (2)'!CD12</f>
        <v>0.10984455958549222</v>
      </c>
      <c r="CE78" s="162">
        <f>-'IS (2)'!CE13/'IS (2)'!CE12</f>
        <v>0.1085594989561587</v>
      </c>
      <c r="CF78" s="396">
        <f>-'IS (2)'!CF13/'IS (2)'!CF12</f>
        <v>0.10156249999999999</v>
      </c>
      <c r="CG78" s="162">
        <f>-'IS (2)'!CG13/'IS (2)'!CG12</f>
        <v>0.11673151750972764</v>
      </c>
      <c r="CH78" s="162">
        <f>-'IS (2)'!CH13/'IS (2)'!CH12</f>
        <v>0.10338835794960903</v>
      </c>
      <c r="CI78" s="162">
        <f>-'IS (2)'!CI13/'IS (2)'!CI12</f>
        <v>0.10009099181073705</v>
      </c>
      <c r="CJ78" s="162">
        <f>-'IS (2)'!CJ13/'IS (2)'!CJ12</f>
        <v>0.1088295687885011</v>
      </c>
      <c r="CK78" s="396">
        <f>-'IS (2)'!CK13/'IS (2)'!CK12</f>
        <v>0.10700846660395111</v>
      </c>
      <c r="CL78" s="162">
        <f>-'IS (2)'!CL13/'IS (2)'!CL12</f>
        <v>0.18264840182648409</v>
      </c>
      <c r="CM78" s="162">
        <f>-'IS (2)'!CM13/'IS (2)'!CM12</f>
        <v>1.026840017644705</v>
      </c>
      <c r="CN78" s="162">
        <f>-'IS (2)'!CN13/'IS (2)'!CN12</f>
        <v>0.43318792096059983</v>
      </c>
      <c r="CO78" s="162">
        <f>-'IS (2)'!CO13/'IS (2)'!CO12</f>
        <v>0.27535719380773888</v>
      </c>
      <c r="CP78" s="396">
        <f>-'IS (2)'!CP13/'IS (2)'!CP12</f>
        <v>0.33710138586104638</v>
      </c>
      <c r="CQ78" s="396">
        <f>-'IS (2)'!CQ13/'IS (2)'!CQ12</f>
        <v>0.20356729056534398</v>
      </c>
      <c r="CR78" s="396">
        <f>-'IS (2)'!CR13/'IS (2)'!CR12</f>
        <v>0.15362850183290838</v>
      </c>
      <c r="CS78" s="396">
        <f>-'IS (2)'!CS13/'IS (2)'!CS12</f>
        <v>0.12725879478484933</v>
      </c>
    </row>
    <row r="79" spans="2:97" ht="12" customHeight="1">
      <c r="B79" s="197" t="s">
        <v>519</v>
      </c>
      <c r="C79" s="394"/>
      <c r="D79" s="394"/>
      <c r="E79" s="394"/>
      <c r="F79" s="394"/>
      <c r="G79" s="394"/>
      <c r="H79" s="394"/>
      <c r="I79" s="394"/>
      <c r="J79" s="395"/>
      <c r="K79" s="395"/>
      <c r="L79" s="395"/>
      <c r="M79" s="395"/>
      <c r="N79" s="394"/>
      <c r="O79" s="395"/>
      <c r="P79" s="395"/>
      <c r="Q79" s="395"/>
      <c r="R79" s="395"/>
      <c r="S79" s="394"/>
      <c r="T79" s="395"/>
      <c r="U79" s="395"/>
      <c r="V79" s="395"/>
      <c r="W79" s="395"/>
      <c r="X79" s="394"/>
      <c r="Y79" s="395"/>
      <c r="Z79" s="395"/>
      <c r="AA79" s="395"/>
      <c r="AB79" s="395"/>
      <c r="AC79" s="396"/>
      <c r="AD79" s="162"/>
      <c r="AE79" s="162"/>
      <c r="AF79" s="162"/>
      <c r="AG79" s="162"/>
      <c r="AH79" s="396"/>
      <c r="AI79" s="162"/>
      <c r="AJ79" s="162"/>
      <c r="AK79" s="162"/>
      <c r="AL79" s="162"/>
      <c r="AM79" s="396"/>
      <c r="AN79" s="162"/>
      <c r="AO79" s="162"/>
      <c r="AP79" s="162"/>
      <c r="AQ79" s="162"/>
      <c r="AR79" s="396"/>
      <c r="AS79" s="162"/>
      <c r="AT79" s="162"/>
      <c r="AU79" s="162"/>
      <c r="AV79" s="162"/>
      <c r="AW79" s="396"/>
      <c r="AX79" s="162"/>
      <c r="AY79" s="162"/>
      <c r="AZ79" s="162"/>
      <c r="BA79" s="162"/>
      <c r="BB79" s="394">
        <f>BB56/'IS (2)'!BB48</f>
        <v>0.78431372549019573</v>
      </c>
      <c r="BC79" s="395">
        <f>BC56/('IS (2)'!BC48*4)</f>
        <v>0.83602846054333768</v>
      </c>
      <c r="BD79" s="395">
        <f>BD56/('IS (2)'!BD48*4)</f>
        <v>0.90140023337222852</v>
      </c>
      <c r="BE79" s="395">
        <f>BE56/('IS (2)'!BE48*4)</f>
        <v>0.78255675029868565</v>
      </c>
      <c r="BF79" s="395">
        <f>BF56/('IS (2)'!BF48*4)</f>
        <v>0.87425149700598792</v>
      </c>
      <c r="BG79" s="394">
        <f>BG56/'IS (2)'!BG48</f>
        <v>0.88431253785584485</v>
      </c>
      <c r="BH79" s="395">
        <f>BH56/('IS (2)'!BH48*4)</f>
        <v>0.95965103598691393</v>
      </c>
      <c r="BI79" s="395">
        <f>BI56/('IS (2)'!BI48*4)</f>
        <v>1.0641163793103448</v>
      </c>
      <c r="BJ79" s="395">
        <f>BJ56/('IS (2)'!BJ48*4)</f>
        <v>1.1105371900826444</v>
      </c>
      <c r="BK79" s="395">
        <f>BK56/('IS (2)'!BK48*4)</f>
        <v>1.0841170323928944</v>
      </c>
      <c r="BL79" s="394">
        <f>BL56/'IS (2)'!BL48</f>
        <v>1.1007957559681698</v>
      </c>
      <c r="BM79" s="395">
        <f>BM56/('IS (2)'!BM48*4)</f>
        <v>1.1892963330029731</v>
      </c>
      <c r="BN79" s="395">
        <f>BN56/('IS (2)'!BN48*4)</f>
        <v>1.1598173515981738</v>
      </c>
      <c r="BO79" s="395">
        <f>BO56/('IS (2)'!BO48*4)</f>
        <v>1.532374100719424</v>
      </c>
      <c r="BP79" s="395">
        <f>BP56/('IS (2)'!BP48*4)</f>
        <v>1.4255687438180025</v>
      </c>
      <c r="BQ79" s="394">
        <f>BQ56/'IS (2)'!BQ48</f>
        <v>1.4102250489236792</v>
      </c>
      <c r="BR79" s="395">
        <f>BR56/('IS (2)'!BR48*4)</f>
        <v>1.6211121583411876</v>
      </c>
      <c r="BS79" s="395">
        <f>BS56/('IS (2)'!BS48*4)</f>
        <v>1.4319286871961099</v>
      </c>
      <c r="BT79" s="395">
        <f>BT56/('IS (2)'!BT48*4)</f>
        <v>1.4880106571936058</v>
      </c>
      <c r="BU79" s="395">
        <f>BU56/('IS (2)'!BU48*4)</f>
        <v>1.5372866127583105</v>
      </c>
      <c r="BV79" s="394">
        <f>BV56/'IS (2)'!BV48</f>
        <v>1.5094838994265547</v>
      </c>
      <c r="BW79" s="395">
        <f>BW56/('IS (2)'!BW48*4)</f>
        <v>2.0315533980582519</v>
      </c>
      <c r="BX79" s="395">
        <f>BX56/('IS (2)'!BX48*4)</f>
        <v>1.7798344947735185</v>
      </c>
      <c r="BY79" s="395">
        <f>BY56/('IS (2)'!BY48*4)</f>
        <v>1.7894736842105261</v>
      </c>
      <c r="BZ79" s="395">
        <f>BZ56/('IS (2)'!BZ48*4)</f>
        <v>1.6589785831960462</v>
      </c>
      <c r="CA79" s="394">
        <f>CA56/'IS (2)'!CA48</f>
        <v>1.7701604043067456</v>
      </c>
      <c r="CB79" s="395">
        <f>CB56/('IS (2)'!CB48*4)</f>
        <v>1.8618538324420675</v>
      </c>
      <c r="CC79" s="395">
        <f>CC56/('IS (2)'!CC48*4)</f>
        <v>1.8410530482977037</v>
      </c>
      <c r="CD79" s="395">
        <f>CD56/('IS (2)'!CD48*4)</f>
        <v>1.9199295223179327</v>
      </c>
      <c r="CE79" s="395">
        <f>CE56/('IS (2)'!CE48*4)</f>
        <v>1.8489461358313821</v>
      </c>
      <c r="CF79" s="394">
        <f>CF56/'IS (2)'!CF48</f>
        <v>1.9166498078090231</v>
      </c>
      <c r="CG79" s="395">
        <f>CG56/('IS (2)'!CG48*4)</f>
        <v>2.0494699646643109</v>
      </c>
      <c r="CH79" s="395">
        <f>CH56/('IS (2)'!CH48*4)</f>
        <v>1.8708920187793423</v>
      </c>
      <c r="CI79" s="395">
        <f>CI56/('IS (2)'!CI48*4)</f>
        <v>1.9320859320859327</v>
      </c>
      <c r="CJ79" s="395">
        <f>CJ56/('IS (2)'!CJ48*4)</f>
        <v>1.9897727272727279</v>
      </c>
      <c r="CK79" s="394">
        <f>CK56/'IS (2)'!CK48</f>
        <v>1.8532369024519317</v>
      </c>
      <c r="CL79" s="395">
        <f>CL56/('IS (2)'!CL48*4)</f>
        <v>3.4325592885375502</v>
      </c>
      <c r="CM79" s="395">
        <f>CM56/('IS (2)'!CM48*4)</f>
        <v>6.8772944871773687</v>
      </c>
      <c r="CN79" s="395">
        <f>CN56/('IS (2)'!CN48*4)</f>
        <v>4.8281661300397376</v>
      </c>
      <c r="CO79" s="395">
        <f>CO56/('IS (2)'!CO48*4)</f>
        <v>3.6875607375898878</v>
      </c>
      <c r="CP79" s="394">
        <f>CP56/'IS (2)'!CP48</f>
        <v>4.220165014185957</v>
      </c>
      <c r="CQ79" s="394">
        <f>CQ56/'IS (2)'!CQ48</f>
        <v>2.7645444306321378</v>
      </c>
      <c r="CR79" s="394">
        <f>CR56/'IS (2)'!CR48</f>
        <v>2.2679838441205953</v>
      </c>
      <c r="CS79" s="394">
        <f>CS56/'IS (2)'!CS48</f>
        <v>2.0357607140479272</v>
      </c>
    </row>
    <row r="80" spans="2:97" ht="12" customHeight="1">
      <c r="B80" s="197" t="s">
        <v>162</v>
      </c>
      <c r="C80" s="394">
        <f>C57/'IS (2)'!C48</f>
        <v>2.6325387068612236</v>
      </c>
      <c r="D80" s="394">
        <f>D57/'IS (2)'!D48</f>
        <v>5.1454353609828996</v>
      </c>
      <c r="E80" s="394">
        <f>E57/'IS (2)'!E48</f>
        <v>6.098458904109588</v>
      </c>
      <c r="F80" s="394">
        <f>F57/'IS (2)'!F48</f>
        <v>5.1404958677685917</v>
      </c>
      <c r="G80" s="394">
        <f>G57/'IS (2)'!G48</f>
        <v>-2.474199623352165</v>
      </c>
      <c r="H80" s="394">
        <f>H57/'IS (2)'!H48</f>
        <v>-7.6350093109869677E-2</v>
      </c>
      <c r="I80" s="394">
        <f>I57/'IS (2)'!I48</f>
        <v>3.9963636363636366</v>
      </c>
      <c r="J80" s="395">
        <f>J57/('IS (2)'!J48*4)</f>
        <v>3.0121621621621597</v>
      </c>
      <c r="K80" s="395">
        <f>K57/('IS (2)'!K48*4)</f>
        <v>2.6854219948849107</v>
      </c>
      <c r="L80" s="395">
        <f>L57/('IS (2)'!L48*4)</f>
        <v>3.2427419354838678</v>
      </c>
      <c r="M80" s="395">
        <f>M57/('IS (2)'!M48*4)</f>
        <v>2.7685459940652892</v>
      </c>
      <c r="N80" s="394">
        <f>N57/'IS (2)'!N48</f>
        <v>2.6505681818181825</v>
      </c>
      <c r="O80" s="395">
        <f>O57/('IS (2)'!O48*4)</f>
        <v>2.5011061946902653</v>
      </c>
      <c r="P80" s="395">
        <f>P57/('IS (2)'!P48*4)</f>
        <v>2.2043121149897322</v>
      </c>
      <c r="Q80" s="395">
        <f>Q57/('IS (2)'!Q48*4)</f>
        <v>5.1007462686567075</v>
      </c>
      <c r="R80" s="395">
        <f>R57/('IS (2)'!R48*4)</f>
        <v>2.6386666666666687</v>
      </c>
      <c r="S80" s="394">
        <f>S57/'IS (2)'!S48</f>
        <v>2.612541254125412</v>
      </c>
      <c r="T80" s="395">
        <f>T57/('IS (2)'!T48*4)</f>
        <v>2.5507246376811601</v>
      </c>
      <c r="U80" s="395">
        <f>U57/('IS (2)'!U48*4)</f>
        <v>2.2434924078091112</v>
      </c>
      <c r="V80" s="395">
        <f>V57/('IS (2)'!V48*4)</f>
        <v>2.8736111111111082</v>
      </c>
      <c r="W80" s="395">
        <f>W57/('IS (2)'!W48*4)</f>
        <v>3.651140684410648</v>
      </c>
      <c r="X80" s="394">
        <f>X57/'IS (2)'!X48</f>
        <v>2.5640854472630177</v>
      </c>
      <c r="Y80" s="395">
        <f>Y57/('IS (2)'!Y48*4)</f>
        <v>2.4362373737373724</v>
      </c>
      <c r="Z80" s="395">
        <f>Z57/('IS (2)'!Z48*4)</f>
        <v>2.0837129840546691</v>
      </c>
      <c r="AA80" s="395">
        <f>AA57/('IS (2)'!AA48*4)</f>
        <v>1.8032178217821768</v>
      </c>
      <c r="AB80" s="395">
        <f>AB57/('IS (2)'!AB48*4)</f>
        <v>2.325242718446614</v>
      </c>
      <c r="AC80" s="394">
        <f>AC57/'IS (2)'!AC48</f>
        <v>1.8565891472868228</v>
      </c>
      <c r="AD80" s="395">
        <f>AD57/('IS (2)'!AD48*4)</f>
        <v>1.8180379746835436</v>
      </c>
      <c r="AE80" s="395">
        <f>AE57/('IS (2)'!AE48*4)</f>
        <v>2.3003685503685491</v>
      </c>
      <c r="AF80" s="395">
        <f>AF57/('IS (2)'!AF48*4)</f>
        <v>1.8436830835117788</v>
      </c>
      <c r="AG80" s="395">
        <f>AG57/('IS (2)'!AG48*4)</f>
        <v>2.1350000000000082</v>
      </c>
      <c r="AH80" s="394">
        <f>AH57/'IS (2)'!AH48</f>
        <v>1.9542334096109857</v>
      </c>
      <c r="AI80" s="395">
        <f>AI57/('IS (2)'!AI48*4)</f>
        <v>1.796259842519685</v>
      </c>
      <c r="AJ80" s="395">
        <f>AJ57/('IS (2)'!AJ48*4)</f>
        <v>1.9261501210653744</v>
      </c>
      <c r="AK80" s="395">
        <f>AK57/('IS (2)'!AK48*4)</f>
        <v>2.3267405063291129</v>
      </c>
      <c r="AL80" s="395">
        <f>AL57/('IS (2)'!AL48*4)</f>
        <v>2.3374060150375935</v>
      </c>
      <c r="AM80" s="394">
        <f>AM57/'IS (2)'!AM48</f>
        <v>1.6546906187624744</v>
      </c>
      <c r="AN80" s="395">
        <f>AN57/('IS (2)'!AN48*4)</f>
        <v>2.0453910614525141</v>
      </c>
      <c r="AO80" s="395">
        <f>AO57/('IS (2)'!AO48*4)</f>
        <v>1.2606284658040658</v>
      </c>
      <c r="AP80" s="395">
        <f>AP57/('IS (2)'!AP48*4)</f>
        <v>1.2582987551867222</v>
      </c>
      <c r="AQ80" s="395">
        <f>AQ57/('IS (2)'!AQ48*4)</f>
        <v>1.0434298440979977</v>
      </c>
      <c r="AR80" s="394">
        <f>AR57/'IS (2)'!AR48</f>
        <v>1.0240437158469951</v>
      </c>
      <c r="AS80" s="395">
        <f>AS57/('IS (2)'!AS48*4)</f>
        <v>0.88825448613376778</v>
      </c>
      <c r="AT80" s="395">
        <f>AT57/('IS (2)'!AT48*4)</f>
        <v>0.73655063291139244</v>
      </c>
      <c r="AU80" s="395">
        <f>AU57/('IS (2)'!AU48*4)</f>
        <v>0.78936348408710211</v>
      </c>
      <c r="AV80" s="395">
        <f>AV57/('IS (2)'!AV48*4)</f>
        <v>0.74801901743264643</v>
      </c>
      <c r="AW80" s="394">
        <f>AW57/'IS (2)'!AW48</f>
        <v>0.76344520824909001</v>
      </c>
      <c r="AX80" s="395">
        <f>AX57/('IS (2)'!AX48*4)</f>
        <v>0.82473190348525438</v>
      </c>
      <c r="AY80" s="395">
        <f>AY57/('IS (2)'!AY48*4)</f>
        <v>0.70323129251700678</v>
      </c>
      <c r="AZ80" s="395">
        <f>AZ57/('IS (2)'!AZ48*4)</f>
        <v>0.79016064257028074</v>
      </c>
      <c r="BA80" s="395">
        <f>BA57/('IS (2)'!BA48*4)</f>
        <v>0.7569343065693428</v>
      </c>
      <c r="BB80" s="394">
        <f>BB57/'IS (2)'!BB48</f>
        <v>0.67777777777777759</v>
      </c>
      <c r="BC80" s="395">
        <f>BC57/('IS (2)'!BC48*4)</f>
        <v>0.77684346701164297</v>
      </c>
      <c r="BD80" s="395">
        <f>BD57/('IS (2)'!BD48*4)</f>
        <v>0.73599766627771279</v>
      </c>
      <c r="BE80" s="395">
        <f>BE57/('IS (2)'!BE48*4)</f>
        <v>0.60424133811230574</v>
      </c>
      <c r="BF80" s="395">
        <f>BF57/('IS (2)'!BF48*4)</f>
        <v>0.67814371257485018</v>
      </c>
      <c r="BG80" s="394">
        <f>BG57/'IS (2)'!BG48</f>
        <v>0.68594791035735914</v>
      </c>
      <c r="BH80" s="395">
        <f>BH57/('IS (2)'!BH48*4)</f>
        <v>0.82333696837513637</v>
      </c>
      <c r="BI80" s="395">
        <f>BI57/('IS (2)'!BI48*4)</f>
        <v>0.94612068965517226</v>
      </c>
      <c r="BJ80" s="395">
        <f>BJ57/('IS (2)'!BJ48*4)</f>
        <v>1.0131714876033058</v>
      </c>
      <c r="BK80" s="395">
        <f>BK57/('IS (2)'!BK48*4)</f>
        <v>0.89890282131661436</v>
      </c>
      <c r="BL80" s="394">
        <f>BL57/'IS (2)'!BL48</f>
        <v>0.91273209549071621</v>
      </c>
      <c r="BM80" s="395">
        <f>BM57/('IS (2)'!BM48*4)</f>
        <v>1.1330525272547076</v>
      </c>
      <c r="BN80" s="395">
        <f>BN57/('IS (2)'!BN48*4)</f>
        <v>1.0792237442922377</v>
      </c>
      <c r="BO80" s="395">
        <f>BO57/('IS (2)'!BO48*4)</f>
        <v>1.4213771839671114</v>
      </c>
      <c r="BP80" s="395">
        <f>BP57/('IS (2)'!BP48*4)</f>
        <v>1.2974777448071222</v>
      </c>
      <c r="BQ80" s="394">
        <f>BQ57/'IS (2)'!BQ48</f>
        <v>1.2835127201565559</v>
      </c>
      <c r="BR80" s="395">
        <f>BR57/('IS (2)'!BR48*4)</f>
        <v>1.5640904806786051</v>
      </c>
      <c r="BS80" s="395">
        <f>BS57/('IS (2)'!BS48*4)</f>
        <v>1.3531199351701779</v>
      </c>
      <c r="BT80" s="395">
        <f>BT57/('IS (2)'!BT48*4)</f>
        <v>1.3865452930728241</v>
      </c>
      <c r="BU80" s="395">
        <f>BU57/('IS (2)'!BU48*4)</f>
        <v>1.4582210242587597</v>
      </c>
      <c r="BV80" s="394">
        <f>BV57/'IS (2)'!BV48</f>
        <v>1.4318482576091749</v>
      </c>
      <c r="BW80" s="395">
        <f>BW57/('IS (2)'!BW48*4)</f>
        <v>1.8322815533980576</v>
      </c>
      <c r="BX80" s="395">
        <f>BX57/('IS (2)'!BX48*4)</f>
        <v>1.6807491289198599</v>
      </c>
      <c r="BY80" s="395">
        <f>BY57/('IS (2)'!BY48*4)</f>
        <v>1.5325711820534942</v>
      </c>
      <c r="BZ80" s="395">
        <f>BZ57/('IS (2)'!BZ48*4)</f>
        <v>1.5352141680395388</v>
      </c>
      <c r="CA80" s="394">
        <f>CA57/'IS (2)'!CA48</f>
        <v>1.6381015161502963</v>
      </c>
      <c r="CB80" s="395">
        <f>CB57/('IS (2)'!CB48*4)</f>
        <v>1.7508912655971478</v>
      </c>
      <c r="CC80" s="395">
        <f>CC57/('IS (2)'!CC48*4)</f>
        <v>1.7636579572446553</v>
      </c>
      <c r="CD80" s="395">
        <f>CD57/('IS (2)'!CD48*4)</f>
        <v>1.8275254502740799</v>
      </c>
      <c r="CE80" s="395">
        <f>CE57/('IS (2)'!CE48*4)</f>
        <v>1.7851288056206092</v>
      </c>
      <c r="CF80" s="394">
        <f>CF57/'IS (2)'!CF48</f>
        <v>1.8504956504147279</v>
      </c>
      <c r="CG80" s="395">
        <f>CG57/('IS (2)'!CG48*4)</f>
        <v>1.9722614840989399</v>
      </c>
      <c r="CH80" s="395">
        <f>CH57/('IS (2)'!CH48*4)</f>
        <v>1.7780013413816225</v>
      </c>
      <c r="CI80" s="395">
        <f>CI57/('IS (2)'!CI48*4)</f>
        <v>1.8506583506583514</v>
      </c>
      <c r="CJ80" s="395">
        <f>CJ57/('IS (2)'!CJ48*4)</f>
        <v>1.8678030303030311</v>
      </c>
      <c r="CK80" s="394">
        <f>CK57/'IS (2)'!CK48</f>
        <v>1.7396366202152058</v>
      </c>
      <c r="CL80" s="395">
        <f>CL57/('IS (2)'!CL48*4)</f>
        <v>2.61907114624506</v>
      </c>
      <c r="CM80" s="395">
        <f>CM57/('IS (2)'!CM48*4)</f>
        <v>5.4147248427290693</v>
      </c>
      <c r="CN80" s="395">
        <f>CN57/('IS (2)'!CN48*4)</f>
        <v>3.7252424343758412</v>
      </c>
      <c r="CO80" s="395">
        <f>CO57/('IS (2)'!CO48*4)</f>
        <v>2.5713337178203814</v>
      </c>
      <c r="CP80" s="394">
        <f>CP57/'IS (2)'!CP48</f>
        <v>2.9427183354909463</v>
      </c>
      <c r="CQ80" s="394">
        <f>CQ57/'IS (2)'!CQ48</f>
        <v>2.0751932185897406</v>
      </c>
      <c r="CR80" s="394">
        <f>CR57/'IS (2)'!CR48</f>
        <v>1.7031703060350352</v>
      </c>
      <c r="CS80" s="394">
        <f>CS57/'IS (2)'!CS48</f>
        <v>1.4870054970217921</v>
      </c>
    </row>
    <row r="81" spans="2:112" ht="12" customHeight="1">
      <c r="C81" s="205"/>
      <c r="D81" s="205"/>
      <c r="E81" s="205"/>
      <c r="F81" s="205"/>
      <c r="G81" s="205"/>
      <c r="H81" s="205"/>
      <c r="I81" s="205"/>
      <c r="N81" s="205"/>
      <c r="S81" s="205"/>
      <c r="X81" s="205"/>
      <c r="AC81" s="205"/>
      <c r="AH81" s="205"/>
      <c r="AM81" s="205"/>
      <c r="AR81" s="205"/>
      <c r="AW81" s="205"/>
      <c r="BB81" s="205"/>
      <c r="BG81" s="205"/>
      <c r="BL81" s="205"/>
      <c r="BQ81" s="205"/>
      <c r="BV81" s="205"/>
      <c r="CA81" s="205"/>
      <c r="CF81" s="205"/>
      <c r="CK81" s="205"/>
      <c r="CP81" s="205"/>
      <c r="CQ81" s="205"/>
      <c r="CR81" s="205"/>
      <c r="CS81" s="205"/>
    </row>
    <row r="82" spans="2:112" ht="12" customHeight="1">
      <c r="B82" s="360" t="s">
        <v>163</v>
      </c>
      <c r="C82" s="205"/>
      <c r="D82" s="205"/>
      <c r="E82" s="205"/>
      <c r="F82" s="205"/>
      <c r="G82" s="205"/>
      <c r="H82" s="205"/>
      <c r="I82" s="205"/>
      <c r="N82" s="205"/>
      <c r="S82" s="205"/>
      <c r="X82" s="205"/>
      <c r="AC82" s="205"/>
      <c r="AH82" s="205"/>
      <c r="AM82" s="205"/>
      <c r="AR82" s="205"/>
      <c r="AW82" s="205"/>
      <c r="BB82" s="205"/>
      <c r="BG82" s="205"/>
      <c r="BL82" s="205"/>
      <c r="BQ82" s="205"/>
      <c r="BV82" s="205"/>
      <c r="CA82" s="205"/>
      <c r="CF82" s="205"/>
      <c r="CK82" s="205"/>
      <c r="CP82" s="205"/>
      <c r="CQ82" s="205"/>
      <c r="CR82" s="205"/>
      <c r="CS82" s="205"/>
    </row>
    <row r="83" spans="2:112" ht="12" customHeight="1">
      <c r="B83" s="197" t="s">
        <v>164</v>
      </c>
      <c r="C83" s="205"/>
      <c r="D83" s="397">
        <f>'IS (2)'!D18/AVERAGE('BS (2)'!C19,D19)</f>
        <v>4.5527761066583995E-2</v>
      </c>
      <c r="E83" s="397">
        <f>'IS (2)'!E18/AVERAGE('BS (2)'!D19,E19)</f>
        <v>-1.7478969911041049E-2</v>
      </c>
      <c r="F83" s="397">
        <f>'IS (2)'!F18/AVERAGE('BS (2)'!E19,F19)</f>
        <v>4.3828083936441248E-2</v>
      </c>
      <c r="G83" s="397">
        <f>'IS (2)'!G18/AVERAGE('BS (2)'!F19,G19)</f>
        <v>-0.43082766893242708</v>
      </c>
      <c r="H83" s="397">
        <f>'IS (2)'!H18/AVERAGE('BS (2)'!G19,H19)</f>
        <v>-1.8163606010016764E-2</v>
      </c>
      <c r="I83" s="397">
        <f>'IS (2)'!I18/AVERAGE('BS (2)'!H19,I19)</f>
        <v>-1.5515795359239595E-2</v>
      </c>
      <c r="J83" s="398">
        <f>'IS (2)'!J18*4/AVERAGE('BS (2)'!I19,J19)</f>
        <v>4.4819477106100562E-2</v>
      </c>
      <c r="K83" s="398">
        <f>'IS (2)'!K18*4/AVERAGE('BS (2)'!J19,K19)</f>
        <v>4.7985822370663192E-2</v>
      </c>
      <c r="L83" s="398">
        <f>'IS (2)'!L18*4/AVERAGE('BS (2)'!K19,L19)</f>
        <v>2.3016191623176946E-2</v>
      </c>
      <c r="M83" s="398">
        <f>'IS (2)'!M18*4/AVERAGE('BS (2)'!L19,M19)</f>
        <v>3.980620662563783E-2</v>
      </c>
      <c r="N83" s="397">
        <f>'IS (2)'!N18/AVERAGE('BS (2)'!I19,N19)</f>
        <v>3.8412804268089303E-2</v>
      </c>
      <c r="O83" s="398">
        <f>'IS (2)'!O18*4/AVERAGE('BS (2)'!N19,O19)</f>
        <v>-0.11612986844663335</v>
      </c>
      <c r="P83" s="398">
        <f>'IS (2)'!P18*4/AVERAGE('BS (2)'!O19,P19)</f>
        <v>0.1379310344827587</v>
      </c>
      <c r="Q83" s="398">
        <f>'IS (2)'!Q18*4/AVERAGE('BS (2)'!P19,Q19)</f>
        <v>5.8823529411766553E-3</v>
      </c>
      <c r="R83" s="398">
        <f>'IS (2)'!R18*4/AVERAGE('BS (2)'!Q19,R19)</f>
        <v>0.66432575617569156</v>
      </c>
      <c r="S83" s="397">
        <f>'IS (2)'!S18/AVERAGE('BS (2)'!N19,S19)</f>
        <v>0.16857728973090388</v>
      </c>
      <c r="T83" s="398">
        <f>'IS (2)'!T18*4/AVERAGE('BS (2)'!S19,T19)</f>
        <v>6.3743268491042934E-2</v>
      </c>
      <c r="U83" s="398">
        <f>'IS (2)'!U18*4/AVERAGE('BS (2)'!T19,U19)</f>
        <v>7.4469773099910055E-2</v>
      </c>
      <c r="V83" s="398">
        <f>'IS (2)'!V18*4/AVERAGE('BS (2)'!U19,V19)</f>
        <v>6.5172270651722819E-2</v>
      </c>
      <c r="W83" s="398">
        <f>'IS (2)'!W18*4/AVERAGE('BS (2)'!V19,W19)</f>
        <v>6.5573770491803199E-2</v>
      </c>
      <c r="X83" s="397">
        <f>'IS (2)'!X18/AVERAGE('BS (2)'!S19,X19)</f>
        <v>6.7705307631370476E-2</v>
      </c>
      <c r="Y83" s="398">
        <f>'IS (2)'!Y18*4/AVERAGE('BS (2)'!X19,Y19)</f>
        <v>5.7514815894297196E-2</v>
      </c>
      <c r="Z83" s="398">
        <f>'IS (2)'!Z18*4/AVERAGE('BS (2)'!Y19,Z19)</f>
        <v>6.6065782643575127E-2</v>
      </c>
      <c r="AA83" s="398">
        <f>'IS (2)'!AA18*4/AVERAGE('BS (2)'!Z19,AA19)</f>
        <v>6.9159860533983028E-2</v>
      </c>
      <c r="AB83" s="398">
        <f>'IS (2)'!AB18*4/AVERAGE('BS (2)'!AA19,AB19)</f>
        <v>4.9980776624374619E-2</v>
      </c>
      <c r="AC83" s="397">
        <f>'IS (2)'!AC18/AVERAGE('BS (2)'!X19,AC19)</f>
        <v>6.1155589852416231E-2</v>
      </c>
      <c r="AD83" s="398">
        <f>'IS (2)'!AD18*4/AVERAGE('BS (2)'!AC19,AD19)</f>
        <v>8.3445733297365432E-2</v>
      </c>
      <c r="AE83" s="398">
        <f>'IS (2)'!AE18*4/AVERAGE('BS (2)'!AD19,AE19)</f>
        <v>8.9691370984673613E-2</v>
      </c>
      <c r="AF83" s="398">
        <f>'IS (2)'!AF18*4/AVERAGE('BS (2)'!AE19,AF19)</f>
        <v>0.10970288801163501</v>
      </c>
      <c r="AG83" s="398">
        <f>'IS (2)'!AG18*4/AVERAGE('BS (2)'!AF19,AG19)</f>
        <v>9.4372655273029959E-2</v>
      </c>
      <c r="AH83" s="397">
        <f>'IS (2)'!AH18/AVERAGE('BS (2)'!AC19,AH19)</f>
        <v>9.7939052316364142E-2</v>
      </c>
      <c r="AI83" s="398">
        <f>'IS (2)'!AI18*4/AVERAGE('BS (2)'!AH19,AI19)</f>
        <v>7.7673125596448317E-2</v>
      </c>
      <c r="AJ83" s="398">
        <f>'IS (2)'!AJ18*4/AVERAGE('BS (2)'!AI19,AJ19)</f>
        <v>5.5661393191418967E-2</v>
      </c>
      <c r="AK83" s="398">
        <f>'IS (2)'!AK18*4/AVERAGE('BS (2)'!AJ19,AK19)</f>
        <v>3.4102553592654898E-2</v>
      </c>
      <c r="AL83" s="398">
        <f>'IS (2)'!AL18*4/AVERAGE('BS (2)'!AK19,AL19)</f>
        <v>1.8450333805381379E-2</v>
      </c>
      <c r="AM83" s="397">
        <f>'IS (2)'!AM18/AVERAGE('BS (2)'!AH19,AM19)</f>
        <v>4.5830111115633579E-2</v>
      </c>
      <c r="AN83" s="398">
        <f>'IS (2)'!AN18*4/AVERAGE('BS (2)'!AM19,AN19)</f>
        <v>5.1535043013821488E-2</v>
      </c>
      <c r="AO83" s="398">
        <f>'IS (2)'!AO18*4/AVERAGE('BS (2)'!AN19,AO19)</f>
        <v>7.5728394049911996E-2</v>
      </c>
      <c r="AP83" s="398">
        <f>'IS (2)'!AP18*4/AVERAGE('BS (2)'!AO19,AP19)</f>
        <v>5.0217286335103813E-2</v>
      </c>
      <c r="AQ83" s="398">
        <f>'IS (2)'!AQ18*4/AVERAGE('BS (2)'!AP19,AQ19)</f>
        <v>7.3014228209317814E-2</v>
      </c>
      <c r="AR83" s="397">
        <f>'IS (2)'!AR18/AVERAGE('BS (2)'!AM19,AR19)</f>
        <v>6.1803808839381892E-2</v>
      </c>
      <c r="AS83" s="398">
        <f>'IS (2)'!AS18*4/AVERAGE('BS (2)'!AR19,AS19)</f>
        <v>8.1735700197238761E-2</v>
      </c>
      <c r="AT83" s="398">
        <f>'IS (2)'!AT18*4/AVERAGE('BS (2)'!AS19,AT19)</f>
        <v>0.11524091977044258</v>
      </c>
      <c r="AU83" s="398">
        <f>'IS (2)'!AU18*4/AVERAGE('BS (2)'!AT19,AU19)</f>
        <v>9.7557280818026879E-2</v>
      </c>
      <c r="AV83" s="398">
        <f>'IS (2)'!AV18*4/AVERAGE('BS (2)'!AU19,AV19)</f>
        <v>0.11715853477680563</v>
      </c>
      <c r="AW83" s="397">
        <f>'IS (2)'!AW18/AVERAGE('BS (2)'!AR19,AW19)</f>
        <v>0.10249791207956878</v>
      </c>
      <c r="AX83" s="398">
        <f>'IS (2)'!AX18*4/AVERAGE('BS (2)'!AW19,AX19)</f>
        <v>0.11142766698322265</v>
      </c>
      <c r="AY83" s="398">
        <f>'IS (2)'!AY18*4/AVERAGE('BS (2)'!AX19,AY19)</f>
        <v>0.12786918205274272</v>
      </c>
      <c r="AZ83" s="398">
        <f>'IS (2)'!AZ18*4/AVERAGE('BS (2)'!AY19,AZ19)</f>
        <v>0.10323584722132169</v>
      </c>
      <c r="BA83" s="398">
        <f>'IS (2)'!BA18*4/AVERAGE('BS (2)'!AZ19,BA19)</f>
        <v>9.3123028391167262E-2</v>
      </c>
      <c r="BB83" s="397">
        <f>'IS (2)'!BB18/AVERAGE('BS (2)'!AW19,BB19)</f>
        <v>0.11009667024704627</v>
      </c>
      <c r="BC83" s="398">
        <f>'IS (2)'!BC18*4/AVERAGE('BS (2)'!BB19,BC19)</f>
        <v>0.10761778408564994</v>
      </c>
      <c r="BD83" s="398">
        <f>'IS (2)'!BD18*4/AVERAGE('BS (2)'!BC19,BD19)</f>
        <v>0.11641164116411647</v>
      </c>
      <c r="BE83" s="398">
        <f>'IS (2)'!BE18*4/AVERAGE('BS (2)'!BD19,BE19)</f>
        <v>0.11271843536627706</v>
      </c>
      <c r="BF83" s="398">
        <f>'IS (2)'!BF18*4/AVERAGE('BS (2)'!BE19,BF19)</f>
        <v>0.10473940236275196</v>
      </c>
      <c r="BG83" s="397">
        <f>'IS (2)'!BG18/AVERAGE('BS (2)'!BB19,BG19)</f>
        <v>0.10926959758083278</v>
      </c>
      <c r="BH83" s="398">
        <f>'IS (2)'!BH18*4/AVERAGE('BS (2)'!BG19,BH19)</f>
        <v>0.10714285714285714</v>
      </c>
      <c r="BI83" s="398">
        <f>'IS (2)'!BI18*4/AVERAGE('BS (2)'!BH19,BI19)</f>
        <v>0.10508553775862522</v>
      </c>
      <c r="BJ83" s="398">
        <f>'IS (2)'!BJ18*4/AVERAGE('BS (2)'!BI19,BJ19)</f>
        <v>0.11425061425061427</v>
      </c>
      <c r="BK83" s="398">
        <f>'IS (2)'!BK18*4/AVERAGE('BS (2)'!BJ19,BK19)</f>
        <v>0.10590060557529656</v>
      </c>
      <c r="BL83" s="397">
        <f>'IS (2)'!BL18/AVERAGE('BS (2)'!BG19,BL19)</f>
        <v>0.10814719173660428</v>
      </c>
      <c r="BM83" s="398">
        <f>'IS (2)'!BM18*4/AVERAGE('BS (2)'!BL19,BM19)</f>
        <v>0.13211756717431369</v>
      </c>
      <c r="BN83" s="398">
        <f>'IS (2)'!BN18*4/AVERAGE('BS (2)'!BM19,BN19)</f>
        <v>0.11513073496139757</v>
      </c>
      <c r="BO83" s="398">
        <f>'IS (2)'!BO18*4/AVERAGE('BS (2)'!BN19,BO19)</f>
        <v>9.6379030805260377E-2</v>
      </c>
      <c r="BP83" s="398">
        <f>'IS (2)'!BP18*4/AVERAGE('BS (2)'!BO19,BP19)</f>
        <v>9.7378107992141055E-2</v>
      </c>
      <c r="BQ83" s="397">
        <f>'IS (2)'!BQ18/AVERAGE('BS (2)'!BL19,BQ19)</f>
        <v>0.11231592404943415</v>
      </c>
      <c r="BR83" s="398">
        <f>'IS (2)'!BR18*4/AVERAGE('BS (2)'!BQ19,BR19)</f>
        <v>9.9356841871811916E-2</v>
      </c>
      <c r="BS83" s="398">
        <f>'IS (2)'!BS18*4/AVERAGE('BS (2)'!BR19,BS19)</f>
        <v>0.11272169167803547</v>
      </c>
      <c r="BT83" s="398">
        <f>'IS (2)'!BT18*4/AVERAGE('BS (2)'!BS19,BT19)</f>
        <v>0.11461703289777739</v>
      </c>
      <c r="BU83" s="398">
        <f>'IS (2)'!BU18*4/AVERAGE('BS (2)'!BT19,BU19)</f>
        <v>9.9348806144598498E-2</v>
      </c>
      <c r="BV83" s="397">
        <f>'IS (2)'!BV18/AVERAGE('BS (2)'!BQ19,BV19)</f>
        <v>0.10889276373147344</v>
      </c>
      <c r="BW83" s="398">
        <f>'IS (2)'!BW18*4/AVERAGE('BS (2)'!BV19,BW19)</f>
        <v>0.10385643375334101</v>
      </c>
      <c r="BX83" s="398">
        <f>'IS (2)'!BX18*4/AVERAGE('BS (2)'!BW19,BX19)</f>
        <v>9.4718228646113692E-2</v>
      </c>
      <c r="BY83" s="398">
        <f>'IS (2)'!BY18*4/AVERAGE('BS (2)'!BX19,BY19)</f>
        <v>0.10394258551589156</v>
      </c>
      <c r="BZ83" s="398">
        <f>'IS (2)'!BZ18*4/AVERAGE('BS (2)'!BY19,BZ19)</f>
        <v>0.12772512277776768</v>
      </c>
      <c r="CA83" s="397">
        <f>'IS (2)'!CA18/AVERAGE('BS (2)'!BV19,CA19)</f>
        <v>0.10962076618739751</v>
      </c>
      <c r="CB83" s="398">
        <f>'IS (2)'!CB18*4/AVERAGE('BS (2)'!CA19,CB19)</f>
        <v>8.6981078791301916E-2</v>
      </c>
      <c r="CC83" s="398">
        <f>'IS (2)'!CC18*4/AVERAGE('BS (2)'!CB19,CC19)</f>
        <v>9.6210320234932187E-2</v>
      </c>
      <c r="CD83" s="398">
        <f>'IS (2)'!CD18*4/AVERAGE('BS (2)'!CC19,CD19)</f>
        <v>0.11276528349699082</v>
      </c>
      <c r="CE83" s="398">
        <f>'IS (2)'!CE18*4/AVERAGE('BS (2)'!CD19,CE19)</f>
        <v>9.3252918562409554E-2</v>
      </c>
      <c r="CF83" s="397">
        <f>'IS (2)'!CF18/AVERAGE('BS (2)'!CA19,CF19)</f>
        <v>9.8697591436217674E-2</v>
      </c>
      <c r="CG83" s="398">
        <f>'IS (2)'!CG18*4/AVERAGE('BS (2)'!CF19,CG19)</f>
        <v>9.6425769185823254E-2</v>
      </c>
      <c r="CH83" s="398">
        <f>'IS (2)'!CH18*4/AVERAGE('BS (2)'!CG19,CH19)</f>
        <v>0.10174340915879328</v>
      </c>
      <c r="CI83" s="398">
        <f>'IS (2)'!CI18*4/AVERAGE('BS (2)'!CH19,CI19)</f>
        <v>0.10116057509094055</v>
      </c>
      <c r="CJ83" s="398">
        <f>'IS (2)'!CJ18*4/AVERAGE('BS (2)'!CI19,CJ19)</f>
        <v>9.3192017568986832E-2</v>
      </c>
      <c r="CK83" s="397">
        <f>'IS (2)'!CK18/AVERAGE('BS (2)'!CF19,CK19)</f>
        <v>0.10301207855258952</v>
      </c>
      <c r="CL83" s="398">
        <f>'IS (2)'!CL18*4/AVERAGE('BS (2)'!CK19,CL19)</f>
        <v>5.16923452048949E-2</v>
      </c>
      <c r="CM83" s="398">
        <f>'IS (2)'!CM18*4/AVERAGE('BS (2)'!CL19,CM19)</f>
        <v>2.461713644855664E-4</v>
      </c>
      <c r="CN83" s="398">
        <f>'IS (2)'!CN18*4/AVERAGE('BS (2)'!CM19,CN19)</f>
        <v>2.1585661625272277E-2</v>
      </c>
      <c r="CO83" s="398">
        <f>'IS (2)'!CO18*4/AVERAGE('BS (2)'!CN19,CO19)</f>
        <v>3.7798860916110101E-2</v>
      </c>
      <c r="CP83" s="397">
        <f>'IS (2)'!CP18/AVERAGE('BS (2)'!CK19,CP19)</f>
        <v>2.8085832586768091E-2</v>
      </c>
      <c r="CQ83" s="397">
        <f>'IS (2)'!CQ18/AVERAGE('BS (2)'!CP19,CQ19)</f>
        <v>4.3281053144287394E-2</v>
      </c>
      <c r="CR83" s="397">
        <f>'IS (2)'!CR18/AVERAGE('BS (2)'!CQ19,CR19)</f>
        <v>5.6198121459751754E-2</v>
      </c>
      <c r="CS83" s="397">
        <f>'IS (2)'!CS18/AVERAGE('BS (2)'!CR19,CS19)</f>
        <v>6.8761439082821965E-2</v>
      </c>
    </row>
    <row r="84" spans="2:112" ht="12" customHeight="1">
      <c r="B84" s="197" t="s">
        <v>165</v>
      </c>
      <c r="C84" s="205"/>
      <c r="D84" s="397" t="e">
        <f>'IS (2)'!D48/AVERAGE('BS (2)'!C41,D41)</f>
        <v>#REF!</v>
      </c>
      <c r="E84" s="397" t="e">
        <f>'IS (2)'!E48/AVERAGE('BS (2)'!D41,E41)</f>
        <v>#REF!</v>
      </c>
      <c r="F84" s="397" t="e">
        <f>'IS (2)'!F48/AVERAGE('BS (2)'!E41,F41)</f>
        <v>#REF!</v>
      </c>
      <c r="G84" s="397" t="e">
        <f>'IS (2)'!G48/AVERAGE('BS (2)'!F41,G41)</f>
        <v>#REF!</v>
      </c>
      <c r="H84" s="397" t="e">
        <f>'IS (2)'!H48/AVERAGE('BS (2)'!G41,H41)</f>
        <v>#REF!</v>
      </c>
      <c r="I84" s="397" t="e">
        <f>'IS (2)'!I48/AVERAGE('BS (2)'!H41,I41)</f>
        <v>#REF!</v>
      </c>
      <c r="J84" s="398" t="e">
        <f>'IS (2)'!J48*4/AVERAGE('BS (2)'!I41,J41)</f>
        <v>#REF!</v>
      </c>
      <c r="K84" s="398" t="e">
        <f>'IS (2)'!K48*4/AVERAGE('BS (2)'!J41,K41)</f>
        <v>#REF!</v>
      </c>
      <c r="L84" s="398" t="e">
        <f>'IS (2)'!L48*4/AVERAGE('BS (2)'!K41,L41)</f>
        <v>#REF!</v>
      </c>
      <c r="M84" s="398" t="e">
        <f>'IS (2)'!M48*4/AVERAGE('BS (2)'!L41,M41)</f>
        <v>#REF!</v>
      </c>
      <c r="N84" s="397" t="e">
        <f>'IS (2)'!N48/AVERAGE('BS (2)'!I41,N41)</f>
        <v>#REF!</v>
      </c>
      <c r="O84" s="398" t="e">
        <f>'IS (2)'!O48*4/AVERAGE('BS (2)'!N41,O41)</f>
        <v>#REF!</v>
      </c>
      <c r="P84" s="398" t="e">
        <f>'IS (2)'!P48*4/AVERAGE('BS (2)'!O41,P41)</f>
        <v>#REF!</v>
      </c>
      <c r="Q84" s="398" t="e">
        <f>'IS (2)'!Q48*4/AVERAGE('BS (2)'!P41,Q41)</f>
        <v>#REF!</v>
      </c>
      <c r="R84" s="398" t="e">
        <f>'IS (2)'!R48*4/AVERAGE('BS (2)'!Q41,R41)</f>
        <v>#REF!</v>
      </c>
      <c r="S84" s="397" t="e">
        <f>'IS (2)'!S48/AVERAGE('BS (2)'!N41,S41)</f>
        <v>#REF!</v>
      </c>
      <c r="T84" s="398" t="e">
        <f>'IS (2)'!T48*4/AVERAGE('BS (2)'!S41,T41)</f>
        <v>#REF!</v>
      </c>
      <c r="U84" s="398" t="e">
        <f>'IS (2)'!U48*4/AVERAGE('BS (2)'!T41,U41)</f>
        <v>#REF!</v>
      </c>
      <c r="V84" s="398" t="e">
        <f>'IS (2)'!V48*4/AVERAGE('BS (2)'!U41,V41)</f>
        <v>#REF!</v>
      </c>
      <c r="W84" s="398" t="e">
        <f>'IS (2)'!W48*4/AVERAGE('BS (2)'!V41,W41)</f>
        <v>#REF!</v>
      </c>
      <c r="X84" s="397" t="e">
        <f>'IS (2)'!X48/AVERAGE('BS (2)'!S41,X41)</f>
        <v>#REF!</v>
      </c>
      <c r="Y84" s="398" t="e">
        <f>'IS (2)'!Y48*4/AVERAGE('BS (2)'!X41,Y41)</f>
        <v>#REF!</v>
      </c>
      <c r="Z84" s="398" t="e">
        <f>'IS (2)'!Z48*4/AVERAGE('BS (2)'!Y41,Z41)</f>
        <v>#REF!</v>
      </c>
      <c r="AA84" s="398" t="e">
        <f>'IS (2)'!AA48*4/AVERAGE('BS (2)'!Z41,AA41)</f>
        <v>#REF!</v>
      </c>
      <c r="AB84" s="398" t="e">
        <f>'IS (2)'!AB48*4/AVERAGE('BS (2)'!AA41,AB41)</f>
        <v>#REF!</v>
      </c>
      <c r="AC84" s="397" t="e">
        <f>'IS (2)'!AC48/AVERAGE('BS (2)'!X41,AC41)</f>
        <v>#REF!</v>
      </c>
      <c r="AD84" s="398" t="e">
        <f>'IS (2)'!AD48*4/AVERAGE('BS (2)'!AC41,AD41)</f>
        <v>#REF!</v>
      </c>
      <c r="AE84" s="398" t="e">
        <f>'IS (2)'!AE48*4/AVERAGE('BS (2)'!AD41,AE41)</f>
        <v>#REF!</v>
      </c>
      <c r="AF84" s="398" t="e">
        <f>'IS (2)'!AF48*4/AVERAGE('BS (2)'!AE41,AF41)</f>
        <v>#REF!</v>
      </c>
      <c r="AG84" s="398" t="e">
        <f>'IS (2)'!AG48*4/AVERAGE('BS (2)'!AF41,AG41)</f>
        <v>#REF!</v>
      </c>
      <c r="AH84" s="397" t="e">
        <f>'IS (2)'!AH48/AVERAGE('BS (2)'!AC41,AH41)</f>
        <v>#REF!</v>
      </c>
      <c r="AI84" s="398" t="e">
        <f>'IS (2)'!AI48*4/AVERAGE('BS (2)'!AH41,AI41)</f>
        <v>#REF!</v>
      </c>
      <c r="AJ84" s="398" t="e">
        <f>'IS (2)'!AJ48*4/AVERAGE('BS (2)'!AI41,AJ41)</f>
        <v>#REF!</v>
      </c>
      <c r="AK84" s="398" t="e">
        <f>'IS (2)'!AK48*4/AVERAGE('BS (2)'!AJ41,AK41)</f>
        <v>#REF!</v>
      </c>
      <c r="AL84" s="398" t="e">
        <f>'IS (2)'!AL48*4/AVERAGE('BS (2)'!AK41,AL41)</f>
        <v>#REF!</v>
      </c>
      <c r="AM84" s="397" t="e">
        <f>'IS (2)'!AM48/AVERAGE('BS (2)'!AH41,AM41)</f>
        <v>#REF!</v>
      </c>
      <c r="AN84" s="398" t="e">
        <f>'IS (2)'!AN48*4/AVERAGE('BS (2)'!AM41,AN41)</f>
        <v>#REF!</v>
      </c>
      <c r="AO84" s="398" t="e">
        <f>'IS (2)'!AO48*4/AVERAGE('BS (2)'!AN41,AO41)</f>
        <v>#REF!</v>
      </c>
      <c r="AP84" s="398" t="e">
        <f>'IS (2)'!AP48*4/AVERAGE('BS (2)'!AO41,AP41)</f>
        <v>#REF!</v>
      </c>
      <c r="AQ84" s="398" t="e">
        <f>'IS (2)'!AQ48*4/AVERAGE('BS (2)'!AP41,AQ41)</f>
        <v>#REF!</v>
      </c>
      <c r="AR84" s="397" t="e">
        <f>'IS (2)'!AR48/AVERAGE('BS (2)'!AM41,AR41)</f>
        <v>#REF!</v>
      </c>
      <c r="AS84" s="398" t="e">
        <f>'IS (2)'!AS48*4/AVERAGE('BS (2)'!AR41,AS41)</f>
        <v>#REF!</v>
      </c>
      <c r="AT84" s="398" t="e">
        <f>'IS (2)'!AT48*4/AVERAGE('BS (2)'!AS41,AT41)</f>
        <v>#REF!</v>
      </c>
      <c r="AU84" s="398" t="e">
        <f>'IS (2)'!AU48*4/AVERAGE('BS (2)'!AT41,AU41)</f>
        <v>#REF!</v>
      </c>
      <c r="AV84" s="398" t="e">
        <f>'IS (2)'!AV48*4/AVERAGE('BS (2)'!AU41,AV41)</f>
        <v>#REF!</v>
      </c>
      <c r="AW84" s="397" t="e">
        <f>'IS (2)'!AW48/AVERAGE('BS (2)'!AR41,AW41)</f>
        <v>#REF!</v>
      </c>
      <c r="AX84" s="398" t="e">
        <f>'IS (2)'!AX48*4/AVERAGE('BS (2)'!AW41,AX41)</f>
        <v>#REF!</v>
      </c>
      <c r="AY84" s="398" t="e">
        <f>'IS (2)'!AY48*4/AVERAGE('BS (2)'!AX41,AY41)</f>
        <v>#REF!</v>
      </c>
      <c r="AZ84" s="398" t="e">
        <f>'IS (2)'!AZ48*4/AVERAGE('BS (2)'!AY41,AZ41)</f>
        <v>#REF!</v>
      </c>
      <c r="BA84" s="398" t="e">
        <f>'IS (2)'!BA48*4/AVERAGE('BS (2)'!AZ41,BA41)</f>
        <v>#REF!</v>
      </c>
      <c r="BB84" s="397" t="e">
        <f>'IS (2)'!BB48/AVERAGE('BS (2)'!AW41,BB41)</f>
        <v>#REF!</v>
      </c>
      <c r="BC84" s="398" t="e">
        <f>'IS (2)'!BC48*4/AVERAGE('BS (2)'!BB41,BC41)</f>
        <v>#REF!</v>
      </c>
      <c r="BD84" s="398" t="e">
        <f>'IS (2)'!BD48*4/AVERAGE('BS (2)'!BC41,BD41)</f>
        <v>#REF!</v>
      </c>
      <c r="BE84" s="398" t="e">
        <f>'IS (2)'!BE48*4/AVERAGE('BS (2)'!BD41,BE41)</f>
        <v>#REF!</v>
      </c>
      <c r="BF84" s="398" t="e">
        <f>'IS (2)'!BF48*4/AVERAGE('BS (2)'!BE41,BF41)</f>
        <v>#REF!</v>
      </c>
      <c r="BG84" s="397" t="e">
        <f>'IS (2)'!BG48/AVERAGE('BS (2)'!BB41,BG41)</f>
        <v>#REF!</v>
      </c>
      <c r="BH84" s="398" t="e">
        <f>'IS (2)'!BH48*4/AVERAGE('BS (2)'!BG41,BH41)</f>
        <v>#REF!</v>
      </c>
      <c r="BI84" s="398" t="e">
        <f>'IS (2)'!BI48*4/AVERAGE('BS (2)'!BH41,BI41)</f>
        <v>#REF!</v>
      </c>
      <c r="BJ84" s="398" t="e">
        <f>'IS (2)'!BJ48*4/AVERAGE('BS (2)'!BI41,BJ41)</f>
        <v>#REF!</v>
      </c>
      <c r="BK84" s="398" t="e">
        <f>'IS (2)'!BK48*4/AVERAGE('BS (2)'!BJ41,BK41)</f>
        <v>#REF!</v>
      </c>
      <c r="BL84" s="397" t="e">
        <f>'IS (2)'!BL48/AVERAGE('BS (2)'!BG41,BL41)</f>
        <v>#REF!</v>
      </c>
      <c r="BM84" s="398" t="e">
        <f>'IS (2)'!BM48*4/AVERAGE('BS (2)'!BL41,BM41)</f>
        <v>#REF!</v>
      </c>
      <c r="BN84" s="398" t="e">
        <f>'IS (2)'!BN48*4/AVERAGE('BS (2)'!BM41,BN41)</f>
        <v>#REF!</v>
      </c>
      <c r="BO84" s="398" t="e">
        <f>'IS (2)'!BO48*4/AVERAGE('BS (2)'!BN41,BO41)</f>
        <v>#REF!</v>
      </c>
      <c r="BP84" s="398" t="e">
        <f>'IS (2)'!BP48*4/AVERAGE('BS (2)'!BO41,BP41)</f>
        <v>#REF!</v>
      </c>
      <c r="BQ84" s="397" t="e">
        <f>'IS (2)'!BQ48/AVERAGE('BS (2)'!BL41,BQ41)</f>
        <v>#REF!</v>
      </c>
      <c r="BR84" s="398" t="e">
        <f>'IS (2)'!BR48*4/AVERAGE('BS (2)'!BQ41,BR41)</f>
        <v>#REF!</v>
      </c>
      <c r="BS84" s="398" t="e">
        <f>'IS (2)'!BS48*4/AVERAGE('BS (2)'!BR41,BS41)</f>
        <v>#REF!</v>
      </c>
      <c r="BT84" s="398" t="e">
        <f>'IS (2)'!BT48*4/AVERAGE('BS (2)'!BS41,BT41)</f>
        <v>#REF!</v>
      </c>
      <c r="BU84" s="398" t="e">
        <f>'IS (2)'!BU48*4/AVERAGE('BS (2)'!BT41,BU41)</f>
        <v>#REF!</v>
      </c>
      <c r="BV84" s="397" t="e">
        <f>'IS (2)'!BV48/AVERAGE('BS (2)'!BQ41,BV41)</f>
        <v>#REF!</v>
      </c>
      <c r="BW84" s="398" t="e">
        <f>'IS (2)'!BW48*4/AVERAGE('BS (2)'!BV41,BW41)</f>
        <v>#REF!</v>
      </c>
      <c r="BX84" s="398" t="e">
        <f>'IS (2)'!BX48*4/AVERAGE('BS (2)'!BW41,BX41)</f>
        <v>#REF!</v>
      </c>
      <c r="BY84" s="398" t="e">
        <f>'IS (2)'!BY48*4/AVERAGE('BS (2)'!BX41,BY41)</f>
        <v>#REF!</v>
      </c>
      <c r="BZ84" s="398" t="e">
        <f>'IS (2)'!BZ48*4/AVERAGE('BS (2)'!BY41,BZ41)</f>
        <v>#REF!</v>
      </c>
      <c r="CA84" s="397" t="e">
        <f>'IS (2)'!CA48/AVERAGE('BS (2)'!BV41,CA41)</f>
        <v>#REF!</v>
      </c>
      <c r="CB84" s="398" t="e">
        <f>'IS (2)'!CB48*4/AVERAGE('BS (2)'!CA41,CB41)</f>
        <v>#REF!</v>
      </c>
      <c r="CC84" s="398" t="e">
        <f>'IS (2)'!CC48*4/AVERAGE('BS (2)'!CB41,CC41)</f>
        <v>#REF!</v>
      </c>
      <c r="CD84" s="398" t="e">
        <f>'IS (2)'!CD48*4/AVERAGE('BS (2)'!CC41,CD41)</f>
        <v>#REF!</v>
      </c>
      <c r="CE84" s="398" t="e">
        <f>'IS (2)'!CE48*4/AVERAGE('BS (2)'!CD41,CE41)</f>
        <v>#REF!</v>
      </c>
      <c r="CF84" s="397" t="e">
        <f>'IS (2)'!CF48/AVERAGE('BS (2)'!CA41,CF41)</f>
        <v>#REF!</v>
      </c>
      <c r="CG84" s="398" t="e">
        <f>'IS (2)'!CG48*4/AVERAGE('BS (2)'!CF41,CG41)</f>
        <v>#REF!</v>
      </c>
      <c r="CH84" s="398" t="e">
        <f>'IS (2)'!CH48*4/AVERAGE('BS (2)'!CG41,CH41)</f>
        <v>#REF!</v>
      </c>
      <c r="CI84" s="398" t="e">
        <f>'IS (2)'!CI48*4/AVERAGE('BS (2)'!CH41,CI41)</f>
        <v>#REF!</v>
      </c>
      <c r="CJ84" s="398" t="e">
        <f>'IS (2)'!CJ48*4/AVERAGE('BS (2)'!CI41,CJ41)</f>
        <v>#REF!</v>
      </c>
      <c r="CK84" s="397" t="e">
        <f>'IS (2)'!CK48/AVERAGE('BS (2)'!CF41,CK41)</f>
        <v>#REF!</v>
      </c>
      <c r="CL84" s="398" t="e">
        <f>'IS (2)'!CL48*4/AVERAGE('BS (2)'!CK41,CL41)</f>
        <v>#REF!</v>
      </c>
      <c r="CM84" s="398" t="e">
        <f>'IS (2)'!CM48*4/AVERAGE('BS (2)'!CL41,CM41)</f>
        <v>#REF!</v>
      </c>
      <c r="CN84" s="398" t="e">
        <f>'IS (2)'!CN48*4/AVERAGE('BS (2)'!CM41,CN41)</f>
        <v>#REF!</v>
      </c>
      <c r="CO84" s="398" t="e">
        <f>'IS (2)'!CO48*4/AVERAGE('BS (2)'!CN41,CO41)</f>
        <v>#REF!</v>
      </c>
      <c r="CP84" s="397" t="e">
        <f>'IS (2)'!CP48/AVERAGE('BS (2)'!CK41,CP41)</f>
        <v>#REF!</v>
      </c>
      <c r="CQ84" s="397" t="e">
        <f>'IS (2)'!CQ48/AVERAGE('BS (2)'!CP41,CQ41)</f>
        <v>#REF!</v>
      </c>
      <c r="CR84" s="397" t="e">
        <f>'IS (2)'!CR48/AVERAGE('BS (2)'!CQ41,CR41)</f>
        <v>#REF!</v>
      </c>
      <c r="CS84" s="397" t="e">
        <f>'IS (2)'!CS48/AVERAGE('BS (2)'!CR41,CS41)</f>
        <v>#REF!</v>
      </c>
    </row>
    <row r="85" spans="2:112" ht="12" customHeight="1">
      <c r="B85" s="197" t="s">
        <v>166</v>
      </c>
      <c r="C85" s="205"/>
      <c r="D85" s="397" t="e">
        <f>'IS (2)'!D18/AVERAGE(('BS (2)'!D61+'BS (2)'!D62),('BS (2)'!C61+'BS (2)'!C62))</f>
        <v>#REF!</v>
      </c>
      <c r="E85" s="397" t="e">
        <f>'IS (2)'!E18/AVERAGE(('BS (2)'!E61+'BS (2)'!E62),('BS (2)'!D61+'BS (2)'!D62))</f>
        <v>#REF!</v>
      </c>
      <c r="F85" s="397" t="e">
        <f>'IS (2)'!F18/AVERAGE(('BS (2)'!F61+'BS (2)'!F62),('BS (2)'!E61+'BS (2)'!E62))</f>
        <v>#REF!</v>
      </c>
      <c r="G85" s="397" t="e">
        <f>'IS (2)'!G18/AVERAGE(('BS (2)'!G61+'BS (2)'!G62),('BS (2)'!F61+'BS (2)'!F62))</f>
        <v>#REF!</v>
      </c>
      <c r="H85" s="397" t="e">
        <f>'IS (2)'!H18/AVERAGE(('BS (2)'!H61+'BS (2)'!H62),('BS (2)'!G61+'BS (2)'!G62))</f>
        <v>#REF!</v>
      </c>
      <c r="I85" s="397" t="e">
        <f>'IS (2)'!I18/AVERAGE(('BS (2)'!I61+'BS (2)'!I62),('BS (2)'!H61+'BS (2)'!H62))</f>
        <v>#REF!</v>
      </c>
      <c r="J85" s="398" t="e">
        <f>'IS (2)'!J18*4/AVERAGE(('BS (2)'!J61+'BS (2)'!J62),('BS (2)'!E61+'BS (2)'!E62))</f>
        <v>#REF!</v>
      </c>
      <c r="K85" s="398" t="e">
        <f>'IS (2)'!K18*4/AVERAGE(('BS (2)'!K61+'BS (2)'!K62),('BS (2)'!F61+'BS (2)'!F62))</f>
        <v>#REF!</v>
      </c>
      <c r="L85" s="398" t="e">
        <f>'IS (2)'!L18*4/AVERAGE(('BS (2)'!L61+'BS (2)'!L62),('BS (2)'!G61+'BS (2)'!G62))</f>
        <v>#REF!</v>
      </c>
      <c r="M85" s="398" t="e">
        <f>'IS (2)'!M18*4/AVERAGE(('BS (2)'!M61+'BS (2)'!M62),('BS (2)'!H61+'BS (2)'!H62))</f>
        <v>#REF!</v>
      </c>
      <c r="N85" s="397" t="e">
        <f>'IS (2)'!N18/AVERAGE(('BS (2)'!N61+'BS (2)'!N62),('BS (2)'!I61+'BS (2)'!I62))</f>
        <v>#REF!</v>
      </c>
      <c r="O85" s="398" t="e">
        <f>'IS (2)'!O18*4/AVERAGE(('BS (2)'!O61+'BS (2)'!O62),('BS (2)'!J61+'BS (2)'!J62))</f>
        <v>#REF!</v>
      </c>
      <c r="P85" s="398" t="e">
        <f>'IS (2)'!P18*4/AVERAGE(('BS (2)'!P61+'BS (2)'!P62),('BS (2)'!K61+'BS (2)'!K62))</f>
        <v>#REF!</v>
      </c>
      <c r="Q85" s="398" t="e">
        <f>'IS (2)'!Q18*4/AVERAGE(('BS (2)'!Q61+'BS (2)'!Q62),('BS (2)'!L61+'BS (2)'!L62))</f>
        <v>#REF!</v>
      </c>
      <c r="R85" s="398" t="e">
        <f>'IS (2)'!R18*4/AVERAGE(('BS (2)'!R61+'BS (2)'!R62),('BS (2)'!M61+'BS (2)'!M62))</f>
        <v>#REF!</v>
      </c>
      <c r="S85" s="397" t="e">
        <f>'IS (2)'!S18/AVERAGE(('BS (2)'!S61+'BS (2)'!S62),('BS (2)'!N61+'BS (2)'!N62))</f>
        <v>#REF!</v>
      </c>
      <c r="T85" s="398" t="e">
        <f>'IS (2)'!T18*4/AVERAGE(('BS (2)'!T61+'BS (2)'!T62),('BS (2)'!O61+'BS (2)'!O62))</f>
        <v>#REF!</v>
      </c>
      <c r="U85" s="398" t="e">
        <f>'IS (2)'!U18*4/AVERAGE(('BS (2)'!U61+'BS (2)'!U62),('BS (2)'!P61+'BS (2)'!P62))</f>
        <v>#REF!</v>
      </c>
      <c r="V85" s="398" t="e">
        <f>'IS (2)'!V18*4/AVERAGE(('BS (2)'!V61+'BS (2)'!V62),('BS (2)'!Q61+'BS (2)'!Q62))</f>
        <v>#REF!</v>
      </c>
      <c r="W85" s="398" t="e">
        <f>'IS (2)'!W18*4/AVERAGE(('BS (2)'!W61+'BS (2)'!W62),('BS (2)'!R61+'BS (2)'!R62))</f>
        <v>#REF!</v>
      </c>
      <c r="X85" s="397" t="e">
        <f>'IS (2)'!X18/AVERAGE(('BS (2)'!X61+'BS (2)'!X62),('BS (2)'!S61+'BS (2)'!S62))</f>
        <v>#REF!</v>
      </c>
      <c r="Y85" s="398" t="e">
        <f>'IS (2)'!Y18*4/AVERAGE(('BS (2)'!Y61+'BS (2)'!Y62),('BS (2)'!T61+'BS (2)'!T62))</f>
        <v>#REF!</v>
      </c>
      <c r="Z85" s="398" t="e">
        <f>'IS (2)'!Z18*4/AVERAGE(('BS (2)'!Z61+'BS (2)'!Z62),('BS (2)'!U61+'BS (2)'!U62))</f>
        <v>#REF!</v>
      </c>
      <c r="AA85" s="398" t="e">
        <f>'IS (2)'!AA18*4/AVERAGE(('BS (2)'!AA61+'BS (2)'!AA62),('BS (2)'!V61+'BS (2)'!V62))</f>
        <v>#REF!</v>
      </c>
      <c r="AB85" s="398" t="e">
        <f>'IS (2)'!AB18*4/AVERAGE(('BS (2)'!AB61+'BS (2)'!AB62),('BS (2)'!W61+'BS (2)'!W62))</f>
        <v>#REF!</v>
      </c>
      <c r="AC85" s="397" t="e">
        <f>'IS (2)'!AC18/AVERAGE(('BS (2)'!AC61+'BS (2)'!AC62),('BS (2)'!X61+'BS (2)'!X62))</f>
        <v>#REF!</v>
      </c>
      <c r="AD85" s="398" t="e">
        <f>'IS (2)'!AD18*4/AVERAGE(('BS (2)'!AD61+'BS (2)'!AD62),('BS (2)'!Y61+'BS (2)'!Y62))</f>
        <v>#REF!</v>
      </c>
      <c r="AE85" s="398" t="e">
        <f>'IS (2)'!AE18*4/AVERAGE(('BS (2)'!AE61+'BS (2)'!AE62),('BS (2)'!Z61+'BS (2)'!Z62))</f>
        <v>#REF!</v>
      </c>
      <c r="AF85" s="398" t="e">
        <f>'IS (2)'!AF18*4/AVERAGE(('BS (2)'!AF61+'BS (2)'!AF62),('BS (2)'!AA61+'BS (2)'!AA62))</f>
        <v>#REF!</v>
      </c>
      <c r="AG85" s="398" t="e">
        <f>'IS (2)'!AG18*4/AVERAGE(('BS (2)'!AG61+'BS (2)'!AG62),('BS (2)'!AB61+'BS (2)'!AB62))</f>
        <v>#REF!</v>
      </c>
      <c r="AH85" s="397" t="e">
        <f>'IS (2)'!AH18/AVERAGE(('BS (2)'!AH61+'BS (2)'!AH62),('BS (2)'!AC61+'BS (2)'!AC62))</f>
        <v>#REF!</v>
      </c>
      <c r="AI85" s="398" t="e">
        <f>'IS (2)'!AI18*4/AVERAGE(('BS (2)'!AI61+'BS (2)'!AI62),('BS (2)'!AD61+'BS (2)'!AD62))</f>
        <v>#REF!</v>
      </c>
      <c r="AJ85" s="398" t="e">
        <f>'IS (2)'!AJ18*4/AVERAGE(('BS (2)'!AJ61+'BS (2)'!AJ62),('BS (2)'!AE61+'BS (2)'!AE62))</f>
        <v>#REF!</v>
      </c>
      <c r="AK85" s="398" t="e">
        <f>'IS (2)'!AK18*4/AVERAGE(('BS (2)'!AK61+'BS (2)'!AK62),('BS (2)'!AF61+'BS (2)'!AF62))</f>
        <v>#REF!</v>
      </c>
      <c r="AL85" s="398" t="e">
        <f>'IS (2)'!AL18*4/AVERAGE(('BS (2)'!AL61+'BS (2)'!AL62),('BS (2)'!AG61+'BS (2)'!AG62))</f>
        <v>#REF!</v>
      </c>
      <c r="AM85" s="397" t="e">
        <f>'IS (2)'!AM18/AVERAGE(('BS (2)'!AM61+'BS (2)'!AM62),('BS (2)'!AH61+'BS (2)'!AH62))</f>
        <v>#REF!</v>
      </c>
      <c r="AN85" s="398" t="e">
        <f>'IS (2)'!AN18*4/AVERAGE(('BS (2)'!AN61+'BS (2)'!AN62),('BS (2)'!AI61+'BS (2)'!AI62))</f>
        <v>#REF!</v>
      </c>
      <c r="AO85" s="398" t="e">
        <f>'IS (2)'!AO18*4/AVERAGE(('BS (2)'!AO61+'BS (2)'!AO62),('BS (2)'!AJ61+'BS (2)'!AJ62))</f>
        <v>#REF!</v>
      </c>
      <c r="AP85" s="398" t="e">
        <f>'IS (2)'!AP18*4/AVERAGE(('BS (2)'!AP61+'BS (2)'!AP62),('BS (2)'!AK61+'BS (2)'!AK62))</f>
        <v>#REF!</v>
      </c>
      <c r="AQ85" s="398" t="e">
        <f>'IS (2)'!AQ18*4/AVERAGE(('BS (2)'!AQ61+'BS (2)'!AQ62),('BS (2)'!AL61+'BS (2)'!AL62))</f>
        <v>#REF!</v>
      </c>
      <c r="AR85" s="397" t="e">
        <f>'IS (2)'!AR18/AVERAGE(('BS (2)'!AR61+'BS (2)'!AR62),('BS (2)'!AM61+'BS (2)'!AM62))</f>
        <v>#REF!</v>
      </c>
      <c r="AS85" s="398" t="e">
        <f>'IS (2)'!AS18*4/AVERAGE(('BS (2)'!AS61+'BS (2)'!AS62),('BS (2)'!AN61+'BS (2)'!AN62))</f>
        <v>#REF!</v>
      </c>
      <c r="AT85" s="398" t="e">
        <f>'IS (2)'!AT18*4/AVERAGE(('BS (2)'!AT61+'BS (2)'!AT62),('BS (2)'!AO61+'BS (2)'!AO62))</f>
        <v>#REF!</v>
      </c>
      <c r="AU85" s="398" t="e">
        <f>'IS (2)'!AU18*4/AVERAGE(('BS (2)'!AU61+'BS (2)'!AU62),('BS (2)'!AP61+'BS (2)'!AP62))</f>
        <v>#REF!</v>
      </c>
      <c r="AV85" s="398" t="e">
        <f>'IS (2)'!AV18*4/AVERAGE(('BS (2)'!AV61+'BS (2)'!AV62),('BS (2)'!AQ61+'BS (2)'!AQ62))</f>
        <v>#REF!</v>
      </c>
      <c r="AW85" s="397" t="e">
        <f>'IS (2)'!AW18/AVERAGE(('BS (2)'!AW61+'BS (2)'!AW62),('BS (2)'!AR61+'BS (2)'!AR62))</f>
        <v>#REF!</v>
      </c>
      <c r="AX85" s="398" t="e">
        <f>'IS (2)'!AX18*4/AVERAGE(('BS (2)'!AX61+'BS (2)'!AX62),('BS (2)'!AS61+'BS (2)'!AS62))</f>
        <v>#REF!</v>
      </c>
      <c r="AY85" s="398" t="e">
        <f>'IS (2)'!AY18*4/AVERAGE(('BS (2)'!AY61+'BS (2)'!AY62),('BS (2)'!AT61+'BS (2)'!AT62))</f>
        <v>#REF!</v>
      </c>
      <c r="AZ85" s="398" t="e">
        <f>'IS (2)'!AZ18*4/AVERAGE(('BS (2)'!AZ61+'BS (2)'!AZ62),('BS (2)'!AU61+'BS (2)'!AU62))</f>
        <v>#REF!</v>
      </c>
      <c r="BA85" s="398" t="e">
        <f>'IS (2)'!BA18*4/AVERAGE(('BS (2)'!BA61+'BS (2)'!BA62),('BS (2)'!AV61+'BS (2)'!AV62))</f>
        <v>#REF!</v>
      </c>
      <c r="BB85" s="397" t="e">
        <f>'IS (2)'!BB18/AVERAGE(('BS (2)'!BB61+'BS (2)'!BB62),('BS (2)'!AW61+'BS (2)'!AW62))</f>
        <v>#REF!</v>
      </c>
      <c r="BC85" s="398" t="e">
        <f>'IS (2)'!BC18*4/AVERAGE(('BS (2)'!BC61+'BS (2)'!BC62),('BS (2)'!AX61+'BS (2)'!AX62))</f>
        <v>#REF!</v>
      </c>
      <c r="BD85" s="398" t="e">
        <f>'IS (2)'!BD18*4/AVERAGE(('BS (2)'!BD61+'BS (2)'!BD62),('BS (2)'!AY61+'BS (2)'!AY62))</f>
        <v>#REF!</v>
      </c>
      <c r="BE85" s="398" t="e">
        <f>'IS (2)'!BE18*4/AVERAGE(('BS (2)'!BE61+'BS (2)'!BE62),('BS (2)'!AZ61+'BS (2)'!AZ62))</f>
        <v>#REF!</v>
      </c>
      <c r="BF85" s="398" t="e">
        <f>'IS (2)'!BF18*4/AVERAGE(('BS (2)'!BF61+'BS (2)'!BF62),('BS (2)'!BA61+'BS (2)'!BA62))</f>
        <v>#REF!</v>
      </c>
      <c r="BG85" s="397" t="e">
        <f>'IS (2)'!BG18/AVERAGE(('BS (2)'!BG61+'BS (2)'!BG62),('BS (2)'!BB61+'BS (2)'!BB62))</f>
        <v>#REF!</v>
      </c>
      <c r="BH85" s="398" t="e">
        <f>'IS (2)'!BH18*4/AVERAGE(('BS (2)'!BH61+'BS (2)'!BH62),('BS (2)'!BC61+'BS (2)'!BC62))</f>
        <v>#REF!</v>
      </c>
      <c r="BI85" s="398" t="e">
        <f>'IS (2)'!BI18*4/AVERAGE(('BS (2)'!BI61+'BS (2)'!BI62),('BS (2)'!BD61+'BS (2)'!BD62))</f>
        <v>#REF!</v>
      </c>
      <c r="BJ85" s="398" t="e">
        <f>'IS (2)'!BJ18*4/AVERAGE(('BS (2)'!BJ61+'BS (2)'!BJ62),('BS (2)'!BE61+'BS (2)'!BE62))</f>
        <v>#REF!</v>
      </c>
      <c r="BK85" s="398" t="e">
        <f>'IS (2)'!BK18*4/AVERAGE(('BS (2)'!BK61+'BS (2)'!BK62),('BS (2)'!BF61+'BS (2)'!BF62))</f>
        <v>#REF!</v>
      </c>
      <c r="BL85" s="397" t="e">
        <f>'IS (2)'!BL18/AVERAGE(('BS (2)'!BL61+'BS (2)'!BL62),('BS (2)'!BG61+'BS (2)'!BG62))</f>
        <v>#REF!</v>
      </c>
      <c r="BM85" s="398" t="e">
        <f>'IS (2)'!BM18*4/AVERAGE(('BS (2)'!BM61+'BS (2)'!BM62),('BS (2)'!BH61+'BS (2)'!BH62))</f>
        <v>#REF!</v>
      </c>
      <c r="BN85" s="398" t="e">
        <f>'IS (2)'!BN18*4/AVERAGE(('BS (2)'!BN61+'BS (2)'!BN62),('BS (2)'!BI61+'BS (2)'!BI62))</f>
        <v>#REF!</v>
      </c>
      <c r="BO85" s="398" t="e">
        <f>'IS (2)'!BO18*4/AVERAGE(('BS (2)'!BO61+'BS (2)'!BO62),('BS (2)'!BJ61+'BS (2)'!BJ62))</f>
        <v>#REF!</v>
      </c>
      <c r="BP85" s="398" t="e">
        <f>'IS (2)'!BP18*4/AVERAGE(('BS (2)'!BP61+'BS (2)'!BP62),('BS (2)'!BK61+'BS (2)'!BK62))</f>
        <v>#REF!</v>
      </c>
      <c r="BQ85" s="397" t="e">
        <f>'IS (2)'!BQ18/AVERAGE(('BS (2)'!BQ61+'BS (2)'!BQ62),('BS (2)'!BL61+'BS (2)'!BL62))</f>
        <v>#REF!</v>
      </c>
      <c r="BR85" s="398" t="e">
        <f>'IS (2)'!BR18*4/AVERAGE(('BS (2)'!BR61+'BS (2)'!BR62),('BS (2)'!BM61+'BS (2)'!BM62))</f>
        <v>#REF!</v>
      </c>
      <c r="BS85" s="398" t="e">
        <f>'IS (2)'!BS18*4/AVERAGE(('BS (2)'!BS61+'BS (2)'!BS62),('BS (2)'!BN61+'BS (2)'!BN62))</f>
        <v>#REF!</v>
      </c>
      <c r="BT85" s="398" t="e">
        <f>'IS (2)'!BT18*4/AVERAGE(('BS (2)'!BT61+'BS (2)'!BT62),('BS (2)'!BO61+'BS (2)'!BO62))</f>
        <v>#REF!</v>
      </c>
      <c r="BU85" s="398" t="e">
        <f>'IS (2)'!BU18*4/AVERAGE(('BS (2)'!BU61+'BS (2)'!BU62),('BS (2)'!BP61+'BS (2)'!BP62))</f>
        <v>#REF!</v>
      </c>
      <c r="BV85" s="397" t="e">
        <f>'IS (2)'!BV18/AVERAGE(('BS (2)'!BV61+'BS (2)'!BV62),('BS (2)'!BQ61+'BS (2)'!BQ62))</f>
        <v>#REF!</v>
      </c>
      <c r="BW85" s="398" t="e">
        <f>'IS (2)'!BW18*4/AVERAGE(('BS (2)'!BW61+'BS (2)'!BW62),('BS (2)'!BR61+'BS (2)'!BR62))</f>
        <v>#REF!</v>
      </c>
      <c r="BX85" s="398" t="e">
        <f>'IS (2)'!BX18*4/AVERAGE(('BS (2)'!BX61+'BS (2)'!BX62),('BS (2)'!BS61+'BS (2)'!BS62))</f>
        <v>#REF!</v>
      </c>
      <c r="BY85" s="398" t="e">
        <f>'IS (2)'!BY18*4/AVERAGE(('BS (2)'!BY61+'BS (2)'!BY62),('BS (2)'!BT61+'BS (2)'!BT62))</f>
        <v>#REF!</v>
      </c>
      <c r="BZ85" s="398" t="e">
        <f>'IS (2)'!BZ18*4/AVERAGE(('BS (2)'!BZ61+'BS (2)'!BZ62),('BS (2)'!BU61+'BS (2)'!BU62))</f>
        <v>#REF!</v>
      </c>
      <c r="CA85" s="397" t="e">
        <f>'IS (2)'!CA18/AVERAGE(('BS (2)'!CA61+'BS (2)'!CA62),('BS (2)'!BV61+'BS (2)'!BV62))</f>
        <v>#REF!</v>
      </c>
      <c r="CB85" s="398" t="e">
        <f>'IS (2)'!CB18*4/AVERAGE(('BS (2)'!CB61+'BS (2)'!CB62),('BS (2)'!BW61+'BS (2)'!BW62))</f>
        <v>#REF!</v>
      </c>
      <c r="CC85" s="398" t="e">
        <f>'IS (2)'!CC18*4/AVERAGE(('BS (2)'!CC61+'BS (2)'!CC62),('BS (2)'!BX61+'BS (2)'!BX62))</f>
        <v>#REF!</v>
      </c>
      <c r="CD85" s="398" t="e">
        <f>'IS (2)'!CD18*4/AVERAGE(('BS (2)'!CD61+'BS (2)'!CD62),('BS (2)'!BY61+'BS (2)'!BY62))</f>
        <v>#REF!</v>
      </c>
      <c r="CE85" s="398" t="e">
        <f>'IS (2)'!CE18*4/AVERAGE(('BS (2)'!CE61+'BS (2)'!CE62),('BS (2)'!BZ61+'BS (2)'!BZ62))</f>
        <v>#REF!</v>
      </c>
      <c r="CF85" s="397" t="e">
        <f>'IS (2)'!CF18/AVERAGE(('BS (2)'!CF61+'BS (2)'!CF62),('BS (2)'!CA61+'BS (2)'!CA62))</f>
        <v>#REF!</v>
      </c>
      <c r="CG85" s="398" t="e">
        <f>'IS (2)'!CG18*4/AVERAGE(('BS (2)'!CG61+'BS (2)'!CG62),('BS (2)'!CB61+'BS (2)'!CB62))</f>
        <v>#REF!</v>
      </c>
      <c r="CH85" s="398" t="e">
        <f>'IS (2)'!CH18*4/AVERAGE(('BS (2)'!CH61+'BS (2)'!CH62),('BS (2)'!CC61+'BS (2)'!CC62))</f>
        <v>#REF!</v>
      </c>
      <c r="CI85" s="398" t="e">
        <f>'IS (2)'!CI18*4/AVERAGE(('BS (2)'!CI61+'BS (2)'!CI62),('BS (2)'!CD61+'BS (2)'!CD62))</f>
        <v>#REF!</v>
      </c>
      <c r="CJ85" s="398" t="e">
        <f>'IS (2)'!CJ18*4/AVERAGE(('BS (2)'!CJ61+'BS (2)'!CJ62),('BS (2)'!CE61+'BS (2)'!CE62))</f>
        <v>#REF!</v>
      </c>
      <c r="CK85" s="397" t="e">
        <f>'IS (2)'!CK18/AVERAGE(('BS (2)'!CK61+'BS (2)'!CK62),('BS (2)'!CF61+'BS (2)'!CF62))</f>
        <v>#REF!</v>
      </c>
      <c r="CL85" s="398" t="e">
        <f>'IS (2)'!CL18*4/AVERAGE(('BS (2)'!CL61+'BS (2)'!CL62),('BS (2)'!CG61+'BS (2)'!CG62))</f>
        <v>#REF!</v>
      </c>
      <c r="CM85" s="398" t="e">
        <f>'IS (2)'!CM18*4/AVERAGE(('BS (2)'!CM61+'BS (2)'!CM62),('BS (2)'!CH61+'BS (2)'!CH62))</f>
        <v>#REF!</v>
      </c>
      <c r="CN85" s="398" t="e">
        <f>'IS (2)'!CN18*4/AVERAGE(('BS (2)'!CN61+'BS (2)'!CN62),('BS (2)'!CI61+'BS (2)'!CI62))</f>
        <v>#REF!</v>
      </c>
      <c r="CO85" s="398" t="e">
        <f>'IS (2)'!CO18*4/AVERAGE(('BS (2)'!CO61+'BS (2)'!CO62),('BS (2)'!CJ61+'BS (2)'!CJ62))</f>
        <v>#REF!</v>
      </c>
      <c r="CP85" s="397" t="e">
        <f>'IS (2)'!CP18/AVERAGE(('BS (2)'!CP61+'BS (2)'!CP62),('BS (2)'!CK61+'BS (2)'!CK62))</f>
        <v>#REF!</v>
      </c>
      <c r="CQ85" s="397" t="e">
        <f>'IS (2)'!CQ18/AVERAGE(('BS (2)'!CQ61+'BS (2)'!CQ62),('BS (2)'!CP61+'BS (2)'!CP62))</f>
        <v>#REF!</v>
      </c>
      <c r="CR85" s="397" t="e">
        <f>'IS (2)'!CR18/AVERAGE(('BS (2)'!CR61+'BS (2)'!CR62),('BS (2)'!CQ61+'BS (2)'!CQ62))</f>
        <v>#REF!</v>
      </c>
      <c r="CS85" s="397" t="e">
        <f>'IS (2)'!CS18/AVERAGE(('BS (2)'!CS61+'BS (2)'!CS62),('BS (2)'!CR61+'BS (2)'!CR62))</f>
        <v>#REF!</v>
      </c>
    </row>
    <row r="86" spans="2:112" ht="12" customHeight="1">
      <c r="B86" s="167" t="s">
        <v>167</v>
      </c>
      <c r="C86" s="399"/>
      <c r="D86" s="400" t="e">
        <f>'IS (2)'!D18/AVERAGE('BS (2)'!D41,'BS (2)'!C41)</f>
        <v>#REF!</v>
      </c>
      <c r="E86" s="400" t="e">
        <f>'IS (2)'!E18/AVERAGE('BS (2)'!E41,'BS (2)'!D41)</f>
        <v>#REF!</v>
      </c>
      <c r="F86" s="400" t="e">
        <f>'IS (2)'!F18/AVERAGE('BS (2)'!F41,'BS (2)'!E41)</f>
        <v>#REF!</v>
      </c>
      <c r="G86" s="400" t="e">
        <f>'IS (2)'!G18/AVERAGE('BS (2)'!G41,'BS (2)'!F41)</f>
        <v>#REF!</v>
      </c>
      <c r="H86" s="400" t="e">
        <f>'IS (2)'!H18/AVERAGE('BS (2)'!H41,'BS (2)'!G41)</f>
        <v>#REF!</v>
      </c>
      <c r="I86" s="400" t="e">
        <f>'IS (2)'!I18/AVERAGE('BS (2)'!I41,'BS (2)'!H41)</f>
        <v>#REF!</v>
      </c>
      <c r="J86" s="401" t="e">
        <f>'IS (2)'!J18*4/AVERAGE('BS (2)'!J41,'BS (2)'!I41)</f>
        <v>#REF!</v>
      </c>
      <c r="K86" s="401" t="e">
        <f>'IS (2)'!K18*4/AVERAGE('BS (2)'!K41,'BS (2)'!J41)</f>
        <v>#REF!</v>
      </c>
      <c r="L86" s="401" t="e">
        <f>'IS (2)'!L18*4/AVERAGE('BS (2)'!L41,'BS (2)'!K41)</f>
        <v>#REF!</v>
      </c>
      <c r="M86" s="401" t="e">
        <f>'IS (2)'!M18*4/AVERAGE('BS (2)'!M41,'BS (2)'!L41)</f>
        <v>#REF!</v>
      </c>
      <c r="N86" s="400" t="e">
        <f>'IS (2)'!N18/AVERAGE('BS (2)'!N41,'BS (2)'!M41)</f>
        <v>#REF!</v>
      </c>
      <c r="O86" s="401" t="e">
        <f>'IS (2)'!O18*4/AVERAGE('BS (2)'!O41,'BS (2)'!N41)</f>
        <v>#REF!</v>
      </c>
      <c r="P86" s="401" t="e">
        <f>'IS (2)'!P18*4/AVERAGE('BS (2)'!P41,'BS (2)'!O41)</f>
        <v>#REF!</v>
      </c>
      <c r="Q86" s="401" t="e">
        <f>'IS (2)'!Q18*4/AVERAGE('BS (2)'!Q41,'BS (2)'!P41)</f>
        <v>#REF!</v>
      </c>
      <c r="R86" s="401" t="e">
        <f>'IS (2)'!R18*4/AVERAGE('BS (2)'!R41,'BS (2)'!Q41)</f>
        <v>#REF!</v>
      </c>
      <c r="S86" s="400" t="e">
        <f>'IS (2)'!S18/AVERAGE('BS (2)'!S41,'BS (2)'!R41)</f>
        <v>#REF!</v>
      </c>
      <c r="T86" s="401" t="e">
        <f>'IS (2)'!T18*4/AVERAGE('BS (2)'!T41,'BS (2)'!S41)</f>
        <v>#REF!</v>
      </c>
      <c r="U86" s="401" t="e">
        <f>'IS (2)'!U18*4/AVERAGE('BS (2)'!U41,'BS (2)'!T41)</f>
        <v>#REF!</v>
      </c>
      <c r="V86" s="401" t="e">
        <f>'IS (2)'!V18*4/AVERAGE('BS (2)'!V41,'BS (2)'!U41)</f>
        <v>#REF!</v>
      </c>
      <c r="W86" s="401" t="e">
        <f>'IS (2)'!W18*4/AVERAGE('BS (2)'!W41,'BS (2)'!V41)</f>
        <v>#REF!</v>
      </c>
      <c r="X86" s="400" t="e">
        <f>'IS (2)'!X18/AVERAGE('BS (2)'!X41,'BS (2)'!W41)</f>
        <v>#REF!</v>
      </c>
      <c r="Y86" s="401" t="e">
        <f>'IS (2)'!Y18*4/AVERAGE('BS (2)'!Y41,'BS (2)'!X41)</f>
        <v>#REF!</v>
      </c>
      <c r="Z86" s="401" t="e">
        <f>'IS (2)'!Z18*4/AVERAGE('BS (2)'!Z41,'BS (2)'!Y41)</f>
        <v>#REF!</v>
      </c>
      <c r="AA86" s="401" t="e">
        <f>'IS (2)'!AA18*4/AVERAGE('BS (2)'!AA41,'BS (2)'!Z41)</f>
        <v>#REF!</v>
      </c>
      <c r="AB86" s="401" t="e">
        <f>'IS (2)'!AB18*4/AVERAGE('BS (2)'!AB41,'BS (2)'!AA41)</f>
        <v>#REF!</v>
      </c>
      <c r="AC86" s="400" t="e">
        <f>'IS (2)'!AC18/AVERAGE('BS (2)'!AC41,'BS (2)'!AB41)</f>
        <v>#REF!</v>
      </c>
      <c r="AD86" s="401" t="e">
        <f>'IS (2)'!AD18*4/AVERAGE('BS (2)'!AD41,'BS (2)'!AC41)</f>
        <v>#REF!</v>
      </c>
      <c r="AE86" s="401" t="e">
        <f>'IS (2)'!AE18*4/AVERAGE('BS (2)'!AE41,'BS (2)'!AD41)</f>
        <v>#REF!</v>
      </c>
      <c r="AF86" s="401" t="e">
        <f>'IS (2)'!AF18*4/AVERAGE('BS (2)'!AF41,'BS (2)'!AE41)</f>
        <v>#REF!</v>
      </c>
      <c r="AG86" s="401" t="e">
        <f>'IS (2)'!AG18*4/AVERAGE('BS (2)'!AG41,'BS (2)'!AF41)</f>
        <v>#REF!</v>
      </c>
      <c r="AH86" s="400" t="e">
        <f>'IS (2)'!AH18/AVERAGE('BS (2)'!AH41,'BS (2)'!AG41)</f>
        <v>#REF!</v>
      </c>
      <c r="AI86" s="401" t="e">
        <f>'IS (2)'!AI18*4/AVERAGE('BS (2)'!AI41,'BS (2)'!AH41)</f>
        <v>#REF!</v>
      </c>
      <c r="AJ86" s="401" t="e">
        <f>'IS (2)'!AJ18*4/AVERAGE('BS (2)'!AJ41,'BS (2)'!AI41)</f>
        <v>#REF!</v>
      </c>
      <c r="AK86" s="401" t="e">
        <f>'IS (2)'!AK18*4/AVERAGE('BS (2)'!AK41,'BS (2)'!AJ41)</f>
        <v>#REF!</v>
      </c>
      <c r="AL86" s="401" t="e">
        <f>'IS (2)'!AL18*4/AVERAGE('BS (2)'!AL41,'BS (2)'!AK41)</f>
        <v>#REF!</v>
      </c>
      <c r="AM86" s="400" t="e">
        <f>'IS (2)'!AM18/AVERAGE('BS (2)'!AM41,'BS (2)'!AL41)</f>
        <v>#REF!</v>
      </c>
      <c r="AN86" s="401" t="e">
        <f>'IS (2)'!AN18*4/AVERAGE('BS (2)'!AN41,'BS (2)'!AM41)</f>
        <v>#REF!</v>
      </c>
      <c r="AO86" s="401" t="e">
        <f>'IS (2)'!AO18*4/AVERAGE('BS (2)'!AO41,'BS (2)'!AN41)</f>
        <v>#REF!</v>
      </c>
      <c r="AP86" s="401" t="e">
        <f>'IS (2)'!AP18*4/AVERAGE('BS (2)'!AP41,'BS (2)'!AO41)</f>
        <v>#REF!</v>
      </c>
      <c r="AQ86" s="401" t="e">
        <f>'IS (2)'!AQ18*4/AVERAGE('BS (2)'!AQ41,'BS (2)'!AP41)</f>
        <v>#REF!</v>
      </c>
      <c r="AR86" s="400" t="e">
        <f>'IS (2)'!AR18/AVERAGE('BS (2)'!AR41,'BS (2)'!AQ41)</f>
        <v>#REF!</v>
      </c>
      <c r="AS86" s="401" t="e">
        <f>'IS (2)'!AS18*4/AVERAGE('BS (2)'!AS41,'BS (2)'!AR41)</f>
        <v>#REF!</v>
      </c>
      <c r="AT86" s="401" t="e">
        <f>'IS (2)'!AT18*4/AVERAGE('BS (2)'!AT41,'BS (2)'!AS41)</f>
        <v>#REF!</v>
      </c>
      <c r="AU86" s="401" t="e">
        <f>'IS (2)'!AU18*4/AVERAGE('BS (2)'!AU41,'BS (2)'!AT41)</f>
        <v>#REF!</v>
      </c>
      <c r="AV86" s="401" t="e">
        <f>'IS (2)'!AV18*4/AVERAGE('BS (2)'!AV41,'BS (2)'!AU41)</f>
        <v>#REF!</v>
      </c>
      <c r="AW86" s="400" t="e">
        <f>'IS (2)'!AW18/AVERAGE('BS (2)'!AW41,'BS (2)'!AV41)</f>
        <v>#REF!</v>
      </c>
      <c r="AX86" s="401" t="e">
        <f>'IS (2)'!AX18*4/AVERAGE('BS (2)'!AX41,'BS (2)'!AW41)</f>
        <v>#REF!</v>
      </c>
      <c r="AY86" s="401" t="e">
        <f>'IS (2)'!AY18*4/AVERAGE('BS (2)'!AY41,'BS (2)'!AX41)</f>
        <v>#REF!</v>
      </c>
      <c r="AZ86" s="401" t="e">
        <f>'IS (2)'!AZ18*4/AVERAGE('BS (2)'!AZ41,'BS (2)'!AY41)</f>
        <v>#REF!</v>
      </c>
      <c r="BA86" s="401" t="e">
        <f>'IS (2)'!BA18*4/AVERAGE('BS (2)'!BA41,'BS (2)'!AZ41)</f>
        <v>#REF!</v>
      </c>
      <c r="BB86" s="400" t="e">
        <f>'IS (2)'!BB18/AVERAGE('BS (2)'!BB41,'BS (2)'!BA41)</f>
        <v>#REF!</v>
      </c>
      <c r="BC86" s="401" t="e">
        <f>'IS (2)'!BC18*4/AVERAGE('BS (2)'!BC41,'BS (2)'!BB41)</f>
        <v>#REF!</v>
      </c>
      <c r="BD86" s="401" t="e">
        <f>'IS (2)'!BD18*4/AVERAGE('BS (2)'!BD41,'BS (2)'!BC41)</f>
        <v>#REF!</v>
      </c>
      <c r="BE86" s="401" t="e">
        <f>'IS (2)'!BE18*4/AVERAGE('BS (2)'!BE41,'BS (2)'!BD41)</f>
        <v>#REF!</v>
      </c>
      <c r="BF86" s="401" t="e">
        <f>'IS (2)'!BF18*4/AVERAGE('BS (2)'!BF41,'BS (2)'!BE41)</f>
        <v>#REF!</v>
      </c>
      <c r="BG86" s="400" t="e">
        <f>'IS (2)'!BG18/AVERAGE('BS (2)'!BG41,'BS (2)'!BB41)</f>
        <v>#REF!</v>
      </c>
      <c r="BH86" s="401" t="e">
        <f>'IS (2)'!BH18*4/AVERAGE('BS (2)'!BH41,'BS (2)'!BG41)</f>
        <v>#REF!</v>
      </c>
      <c r="BI86" s="401" t="e">
        <f>'IS (2)'!BI18*4/AVERAGE('BS (2)'!BI41,'BS (2)'!BH41)</f>
        <v>#REF!</v>
      </c>
      <c r="BJ86" s="401" t="e">
        <f>'IS (2)'!BJ18*4/AVERAGE('BS (2)'!BJ41,'BS (2)'!BI41)</f>
        <v>#REF!</v>
      </c>
      <c r="BK86" s="401" t="e">
        <f>'IS (2)'!BK18*4/AVERAGE('BS (2)'!BK41,'BS (2)'!BJ41)</f>
        <v>#REF!</v>
      </c>
      <c r="BL86" s="400" t="e">
        <f>'IS (2)'!BL18/AVERAGE('BS (2)'!BL41,'BS (2)'!BG41)</f>
        <v>#REF!</v>
      </c>
      <c r="BM86" s="401" t="e">
        <f>'IS (2)'!BM18*4/AVERAGE('BS (2)'!BM41,'BS (2)'!BL41)</f>
        <v>#REF!</v>
      </c>
      <c r="BN86" s="401" t="e">
        <f>'IS (2)'!BN18*4/AVERAGE('BS (2)'!BN41,'BS (2)'!BM41)</f>
        <v>#REF!</v>
      </c>
      <c r="BO86" s="401" t="e">
        <f>'IS (2)'!BO18*4/AVERAGE('BS (2)'!BO41,'BS (2)'!BN41)</f>
        <v>#REF!</v>
      </c>
      <c r="BP86" s="401" t="e">
        <f>'IS (2)'!BP18*4/AVERAGE('BS (2)'!BP41,'BS (2)'!BO41)</f>
        <v>#REF!</v>
      </c>
      <c r="BQ86" s="400" t="e">
        <f>'IS (2)'!BQ18/AVERAGE('BS (2)'!BQ41,'BS (2)'!BL41)</f>
        <v>#REF!</v>
      </c>
      <c r="BR86" s="401" t="e">
        <f>'IS (2)'!BR18*4/AVERAGE('BS (2)'!BR41,'BS (2)'!BQ41)</f>
        <v>#REF!</v>
      </c>
      <c r="BS86" s="401" t="e">
        <f>'IS (2)'!BS18*4/AVERAGE('BS (2)'!BS41,'BS (2)'!BR41)</f>
        <v>#REF!</v>
      </c>
      <c r="BT86" s="401" t="e">
        <f>'IS (2)'!BT18*4/AVERAGE('BS (2)'!BT41,'BS (2)'!BS41)</f>
        <v>#REF!</v>
      </c>
      <c r="BU86" s="401" t="e">
        <f>'IS (2)'!BU18*4/AVERAGE('BS (2)'!BU41,'BS (2)'!BT41)</f>
        <v>#REF!</v>
      </c>
      <c r="BV86" s="400" t="e">
        <f>'IS (2)'!BV18/AVERAGE('BS (2)'!BV41,'BS (2)'!BQ41)</f>
        <v>#REF!</v>
      </c>
      <c r="BW86" s="401" t="e">
        <f>'IS (2)'!BW18*4/AVERAGE('BS (2)'!BW41,'BS (2)'!BV41)</f>
        <v>#REF!</v>
      </c>
      <c r="BX86" s="401" t="e">
        <f>'IS (2)'!BX18*4/AVERAGE('BS (2)'!BX41,'BS (2)'!BW41)</f>
        <v>#REF!</v>
      </c>
      <c r="BY86" s="401" t="e">
        <f>'IS (2)'!BY18*4/AVERAGE('BS (2)'!BY41,'BS (2)'!BX41)</f>
        <v>#REF!</v>
      </c>
      <c r="BZ86" s="401" t="e">
        <f>'IS (2)'!BZ18*4/AVERAGE('BS (2)'!BZ41,'BS (2)'!BY41)</f>
        <v>#REF!</v>
      </c>
      <c r="CA86" s="400" t="e">
        <f>'IS (2)'!CA18/AVERAGE('BS (2)'!CA41,'BS (2)'!BV41)</f>
        <v>#REF!</v>
      </c>
      <c r="CB86" s="401" t="e">
        <f>'IS (2)'!CB18*4/AVERAGE('BS (2)'!CB41,'BS (2)'!CA41)</f>
        <v>#REF!</v>
      </c>
      <c r="CC86" s="401" t="e">
        <f>'IS (2)'!CC18*4/AVERAGE('BS (2)'!CC41,'BS (2)'!CB41)</f>
        <v>#REF!</v>
      </c>
      <c r="CD86" s="401" t="e">
        <f>'IS (2)'!CD18*4/AVERAGE('BS (2)'!CD41,'BS (2)'!CC41)</f>
        <v>#REF!</v>
      </c>
      <c r="CE86" s="401" t="e">
        <f>'IS (2)'!CE18*4/AVERAGE('BS (2)'!CE41,'BS (2)'!CD41)</f>
        <v>#REF!</v>
      </c>
      <c r="CF86" s="400" t="e">
        <f>'IS (2)'!CF18/AVERAGE('BS (2)'!CF41,'BS (2)'!CA41)</f>
        <v>#REF!</v>
      </c>
      <c r="CG86" s="401" t="e">
        <f>'IS (2)'!CG18*4/AVERAGE('BS (2)'!CG41,'BS (2)'!CF41)</f>
        <v>#REF!</v>
      </c>
      <c r="CH86" s="401" t="e">
        <f>'IS (2)'!CH18*4/AVERAGE('BS (2)'!CH41,'BS (2)'!CG41)</f>
        <v>#REF!</v>
      </c>
      <c r="CI86" s="401" t="e">
        <f>'IS (2)'!CI18*4/AVERAGE('BS (2)'!CI41,'BS (2)'!CH41)</f>
        <v>#REF!</v>
      </c>
      <c r="CJ86" s="401" t="e">
        <f>'IS (2)'!CJ18*4/AVERAGE('BS (2)'!CJ41,'BS (2)'!CI41)</f>
        <v>#REF!</v>
      </c>
      <c r="CK86" s="400" t="e">
        <f>'IS (2)'!CK18/AVERAGE('BS (2)'!CK41,'BS (2)'!CF41)</f>
        <v>#REF!</v>
      </c>
      <c r="CL86" s="401" t="e">
        <f>'IS (2)'!CL18*4/AVERAGE('BS (2)'!CL41,'BS (2)'!CK41)</f>
        <v>#REF!</v>
      </c>
      <c r="CM86" s="401" t="e">
        <f>'IS (2)'!CM18*4/AVERAGE('BS (2)'!CM41,'BS (2)'!CL41)</f>
        <v>#REF!</v>
      </c>
      <c r="CN86" s="401" t="e">
        <f>'IS (2)'!CN18*4/AVERAGE('BS (2)'!CN41,'BS (2)'!CM41)</f>
        <v>#REF!</v>
      </c>
      <c r="CO86" s="401" t="e">
        <f>'IS (2)'!CO18*4/AVERAGE('BS (2)'!CO41,'BS (2)'!CN41)</f>
        <v>#REF!</v>
      </c>
      <c r="CP86" s="400" t="e">
        <f>'IS (2)'!CP18/AVERAGE('BS (2)'!CP41,'BS (2)'!CK41)</f>
        <v>#REF!</v>
      </c>
      <c r="CQ86" s="400" t="e">
        <f>'IS (2)'!CQ18/AVERAGE('BS (2)'!CQ41,'BS (2)'!CP41)</f>
        <v>#REF!</v>
      </c>
      <c r="CR86" s="400" t="e">
        <f>'IS (2)'!CR18/AVERAGE('BS (2)'!CR41,'BS (2)'!CQ41)</f>
        <v>#REF!</v>
      </c>
      <c r="CS86" s="400" t="e">
        <f>'IS (2)'!CS18/AVERAGE('BS (2)'!CS41,'BS (2)'!CR41)</f>
        <v>#REF!</v>
      </c>
    </row>
    <row r="87" spans="2:112" ht="6" customHeight="1" thickBot="1">
      <c r="C87" s="236"/>
      <c r="D87" s="236"/>
      <c r="E87" s="236"/>
      <c r="F87" s="236"/>
      <c r="G87" s="236"/>
      <c r="H87" s="236"/>
      <c r="I87" s="236"/>
      <c r="N87" s="236"/>
      <c r="S87" s="236"/>
      <c r="X87" s="236"/>
      <c r="AC87" s="236"/>
      <c r="AH87" s="236"/>
      <c r="AM87" s="236"/>
      <c r="AR87" s="236"/>
      <c r="AW87" s="236"/>
      <c r="BB87" s="236"/>
      <c r="BG87" s="236"/>
      <c r="BL87" s="236"/>
      <c r="BQ87" s="236"/>
      <c r="BV87" s="236"/>
      <c r="CA87" s="236"/>
      <c r="CF87" s="236"/>
      <c r="CK87" s="236"/>
      <c r="CP87" s="236"/>
      <c r="CQ87" s="236"/>
      <c r="CR87" s="236"/>
      <c r="CS87" s="236"/>
    </row>
    <row r="89" spans="2:112">
      <c r="D89" s="164"/>
      <c r="E89" s="164"/>
      <c r="F89" s="164"/>
      <c r="G89" s="164"/>
      <c r="H89" s="164"/>
      <c r="I89" s="164"/>
      <c r="N89" s="164"/>
      <c r="S89" s="164"/>
      <c r="X89" s="164"/>
      <c r="AC89" s="164"/>
      <c r="AH89" s="164"/>
      <c r="AM89" s="164"/>
      <c r="AR89" s="164"/>
      <c r="AW89" s="164"/>
      <c r="BB89" s="164"/>
      <c r="BG89" s="164"/>
      <c r="BL89" s="164"/>
      <c r="BQ89" s="164"/>
      <c r="BV89" s="164"/>
      <c r="CA89" s="164"/>
      <c r="CF89" s="164"/>
      <c r="CK89" s="164"/>
      <c r="CP89" s="164"/>
      <c r="CQ89" s="164"/>
      <c r="CR89" s="164"/>
      <c r="CS89" s="164"/>
    </row>
    <row r="90" spans="2:112">
      <c r="BG90" s="162"/>
      <c r="BH90" s="162"/>
      <c r="BI90" s="162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</row>
    <row r="91" spans="2:112"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</row>
    <row r="92" spans="2:112" ht="14.25">
      <c r="AM92" s="162"/>
      <c r="AN92" s="162"/>
      <c r="AO92" s="162"/>
      <c r="AP92" s="162"/>
      <c r="AQ92" s="162"/>
      <c r="AR92" s="162"/>
      <c r="AS92" s="162"/>
      <c r="AT92" s="162"/>
      <c r="AU92" s="162"/>
      <c r="AV92" s="162"/>
      <c r="AW92" s="162"/>
      <c r="AX92" s="162"/>
      <c r="AY92" s="162"/>
      <c r="AZ92" s="162"/>
      <c r="BA92" s="162"/>
      <c r="BB92" s="162"/>
      <c r="BC92" s="162"/>
      <c r="BD92" s="162"/>
      <c r="BE92" s="162"/>
      <c r="BF92" s="162"/>
      <c r="BG92" s="162"/>
      <c r="BH92" s="162"/>
      <c r="BI92" s="162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  <c r="CX92" s="410"/>
      <c r="CY92" s="410"/>
      <c r="CZ92" s="409">
        <v>43830</v>
      </c>
      <c r="DA92" s="410"/>
      <c r="DB92" s="409">
        <v>43920</v>
      </c>
      <c r="DC92" s="412">
        <v>43948</v>
      </c>
      <c r="DD92" s="413"/>
      <c r="DE92" s="410"/>
      <c r="DF92" s="410"/>
      <c r="DG92" s="412" t="s">
        <v>583</v>
      </c>
      <c r="DH92" s="412"/>
    </row>
    <row r="93" spans="2:112">
      <c r="CX93" s="411" t="s">
        <v>573</v>
      </c>
      <c r="CY93" s="410"/>
      <c r="CZ93" s="410" t="s">
        <v>574</v>
      </c>
      <c r="DA93" s="410" t="s">
        <v>576</v>
      </c>
      <c r="DB93" s="410" t="s">
        <v>574</v>
      </c>
      <c r="DC93" s="410" t="s">
        <v>539</v>
      </c>
      <c r="DD93" s="410" t="s">
        <v>581</v>
      </c>
      <c r="DE93" s="410" t="s">
        <v>582</v>
      </c>
      <c r="DF93" s="410" t="s">
        <v>580</v>
      </c>
      <c r="DG93" s="410" t="s">
        <v>584</v>
      </c>
      <c r="DH93" s="410" t="s">
        <v>585</v>
      </c>
    </row>
    <row r="95" spans="2:112">
      <c r="CX95" s="156" t="s">
        <v>575</v>
      </c>
      <c r="CZ95" s="415">
        <v>313</v>
      </c>
      <c r="DA95" s="156">
        <f>DB95-CZ95</f>
        <v>380</v>
      </c>
      <c r="DB95" s="415">
        <f>1000-307</f>
        <v>693</v>
      </c>
      <c r="DD95" s="188">
        <f>IF(DC95="",DB95*1,DB95*DC95/100)</f>
        <v>693</v>
      </c>
      <c r="DE95" s="402">
        <v>100</v>
      </c>
      <c r="DF95" s="405">
        <v>45444</v>
      </c>
      <c r="DG95" s="158"/>
      <c r="DH95" s="158"/>
    </row>
    <row r="96" spans="2:112">
      <c r="CX96" s="406" t="s">
        <v>579</v>
      </c>
      <c r="CY96" s="407"/>
      <c r="CZ96" s="408">
        <f>SUM(CZ95)</f>
        <v>313</v>
      </c>
      <c r="DA96" s="408">
        <f t="shared" ref="DA96:DD96" si="139">SUM(DA95)</f>
        <v>380</v>
      </c>
      <c r="DB96" s="408">
        <f t="shared" si="139"/>
        <v>693</v>
      </c>
      <c r="DC96" s="407"/>
      <c r="DD96" s="408">
        <f t="shared" si="139"/>
        <v>693</v>
      </c>
      <c r="DE96" s="407"/>
      <c r="DF96" s="407"/>
      <c r="DG96" s="419">
        <f>DB96/$DA$105</f>
        <v>1.3159893657424993</v>
      </c>
      <c r="DH96" s="419">
        <f>DD96/$DA$105</f>
        <v>1.3159893657424993</v>
      </c>
    </row>
    <row r="98" spans="102:112">
      <c r="CX98" s="156" t="s">
        <v>578</v>
      </c>
      <c r="CZ98" s="414">
        <v>400</v>
      </c>
      <c r="DA98" s="156">
        <f t="shared" ref="DA98:DA99" si="140">DB98-CZ98</f>
        <v>-100</v>
      </c>
      <c r="DB98" s="414">
        <v>300</v>
      </c>
      <c r="DC98" s="420">
        <v>99.106999999999999</v>
      </c>
      <c r="DD98" s="190">
        <f t="shared" ref="DD98:DD102" si="141">IF(DC98="",DB98*1,DB98*DC98/100)</f>
        <v>297.32099999999997</v>
      </c>
      <c r="DE98" s="403">
        <v>3.95</v>
      </c>
      <c r="DF98" s="405">
        <v>46585</v>
      </c>
    </row>
    <row r="99" spans="102:112">
      <c r="CX99" s="156" t="s">
        <v>577</v>
      </c>
      <c r="CZ99" s="414">
        <v>300</v>
      </c>
      <c r="DA99" s="156">
        <f t="shared" si="140"/>
        <v>100</v>
      </c>
      <c r="DB99" s="414">
        <v>400</v>
      </c>
      <c r="DC99" s="420">
        <v>110.84099999999999</v>
      </c>
      <c r="DD99" s="190">
        <f t="shared" si="141"/>
        <v>443.36399999999992</v>
      </c>
      <c r="DE99" s="403">
        <v>4.7</v>
      </c>
      <c r="DF99" s="405">
        <v>45855</v>
      </c>
    </row>
    <row r="100" spans="102:112">
      <c r="CX100" s="406" t="s">
        <v>566</v>
      </c>
      <c r="CY100" s="407"/>
      <c r="CZ100" s="408">
        <f>SUM(CZ96:CZ99)</f>
        <v>1013</v>
      </c>
      <c r="DA100" s="408">
        <f t="shared" ref="DA100:DD100" si="142">SUM(DA96:DA99)</f>
        <v>380</v>
      </c>
      <c r="DB100" s="408">
        <f t="shared" si="142"/>
        <v>1393</v>
      </c>
      <c r="DC100" s="407"/>
      <c r="DD100" s="408">
        <f t="shared" si="142"/>
        <v>1433.6849999999999</v>
      </c>
      <c r="DE100" s="407"/>
      <c r="DF100" s="407"/>
      <c r="DG100" s="419">
        <f>DB100/$DA$105</f>
        <v>2.6452715533611855</v>
      </c>
      <c r="DH100" s="419">
        <f>DD100/$DA$105</f>
        <v>2.7225313330801373</v>
      </c>
    </row>
    <row r="101" spans="102:112">
      <c r="DD101" s="190"/>
    </row>
    <row r="102" spans="102:112">
      <c r="CX102" s="156" t="s">
        <v>587</v>
      </c>
      <c r="CZ102" s="414">
        <v>-329</v>
      </c>
      <c r="DB102" s="414">
        <v>-329</v>
      </c>
      <c r="DD102" s="190">
        <f t="shared" si="141"/>
        <v>-329</v>
      </c>
    </row>
    <row r="103" spans="102:112">
      <c r="CX103" s="406" t="s">
        <v>566</v>
      </c>
      <c r="CY103" s="407"/>
      <c r="CZ103" s="408">
        <f>SUM(CZ100:CZ102)</f>
        <v>684</v>
      </c>
      <c r="DA103" s="408">
        <f t="shared" ref="DA103:DD103" si="143">SUM(DA100:DA102)</f>
        <v>380</v>
      </c>
      <c r="DB103" s="408">
        <f t="shared" si="143"/>
        <v>1064</v>
      </c>
      <c r="DC103" s="407"/>
      <c r="DD103" s="408">
        <f t="shared" si="143"/>
        <v>1104.6849999999999</v>
      </c>
      <c r="DE103" s="407"/>
      <c r="DF103" s="407"/>
      <c r="DG103" s="419">
        <f>DB103/$DA$105</f>
        <v>2.0205089251804029</v>
      </c>
      <c r="DH103" s="419">
        <f>DD103/$DA$105</f>
        <v>2.0977687048993547</v>
      </c>
    </row>
    <row r="105" spans="102:112">
      <c r="CX105" s="416" t="s">
        <v>586</v>
      </c>
      <c r="CY105" s="417"/>
      <c r="CZ105" s="417"/>
      <c r="DA105" s="418">
        <f>SUM('IS (2)'!CH48:CJ48,'IS (2)'!CL48)</f>
        <v>526.59999999999991</v>
      </c>
    </row>
    <row r="107" spans="102:112">
      <c r="CX107" s="422" t="s">
        <v>588</v>
      </c>
      <c r="CY107" s="237"/>
      <c r="CZ107" s="423">
        <v>2014</v>
      </c>
      <c r="DA107" s="423">
        <f>CZ107+1</f>
        <v>2015</v>
      </c>
      <c r="DB107" s="423">
        <f t="shared" ref="DB107:DH107" si="144">DA107+1</f>
        <v>2016</v>
      </c>
      <c r="DC107" s="423">
        <f t="shared" si="144"/>
        <v>2017</v>
      </c>
      <c r="DD107" s="423">
        <f t="shared" si="144"/>
        <v>2018</v>
      </c>
      <c r="DE107" s="423">
        <f t="shared" si="144"/>
        <v>2019</v>
      </c>
      <c r="DF107" s="424">
        <f t="shared" si="144"/>
        <v>2020</v>
      </c>
      <c r="DG107" s="424">
        <f t="shared" si="144"/>
        <v>2021</v>
      </c>
      <c r="DH107" s="425">
        <f t="shared" si="144"/>
        <v>2022</v>
      </c>
    </row>
    <row r="108" spans="102:112">
      <c r="CX108" s="194" t="s">
        <v>548</v>
      </c>
      <c r="CZ108" s="188">
        <f>BL57</f>
        <v>344.1</v>
      </c>
      <c r="DA108" s="188">
        <f>BQ57</f>
        <v>524.70000000000005</v>
      </c>
      <c r="DB108" s="188">
        <f>BV57</f>
        <v>649.19999999999993</v>
      </c>
      <c r="DC108" s="188">
        <f>CA57</f>
        <v>745.5</v>
      </c>
      <c r="DD108" s="188">
        <f>CF57</f>
        <v>914.69999999999993</v>
      </c>
      <c r="DE108" s="188">
        <f>CK57</f>
        <v>986.19999999999993</v>
      </c>
      <c r="DF108" s="188">
        <f t="shared" ref="DF108:DH110" si="145">CP57</f>
        <v>916.6</v>
      </c>
      <c r="DG108" s="188">
        <f t="shared" si="145"/>
        <v>761.53</v>
      </c>
      <c r="DH108" s="426">
        <f t="shared" si="145"/>
        <v>686.75500000000011</v>
      </c>
    </row>
    <row r="109" spans="102:112">
      <c r="CX109" s="194" t="s">
        <v>589</v>
      </c>
      <c r="CZ109" s="189" t="e">
        <f>BL58</f>
        <v>#REF!</v>
      </c>
      <c r="DA109" s="189" t="e">
        <f>BQ58</f>
        <v>#REF!</v>
      </c>
      <c r="DB109" s="189" t="e">
        <f>BV58</f>
        <v>#REF!</v>
      </c>
      <c r="DC109" s="189" t="e">
        <f>CA58</f>
        <v>#REF!</v>
      </c>
      <c r="DD109" s="189" t="e">
        <f>CF58</f>
        <v>#REF!</v>
      </c>
      <c r="DE109" s="189" t="e">
        <f>CK58</f>
        <v>#REF!</v>
      </c>
      <c r="DF109" s="189" t="e">
        <f t="shared" si="145"/>
        <v>#REF!</v>
      </c>
      <c r="DG109" s="189" t="e">
        <f t="shared" si="145"/>
        <v>#REF!</v>
      </c>
      <c r="DH109" s="427" t="e">
        <f t="shared" si="145"/>
        <v>#REF!</v>
      </c>
    </row>
    <row r="110" spans="102:112">
      <c r="CX110" s="194" t="s">
        <v>590</v>
      </c>
      <c r="CZ110" s="189" t="e">
        <f>BL59</f>
        <v>#REF!</v>
      </c>
      <c r="DA110" s="189" t="e">
        <f>BQ59</f>
        <v>#REF!</v>
      </c>
      <c r="DB110" s="189" t="e">
        <f>BV59</f>
        <v>#REF!</v>
      </c>
      <c r="DC110" s="189" t="e">
        <f>CA59</f>
        <v>#REF!</v>
      </c>
      <c r="DD110" s="189" t="e">
        <f>CF59</f>
        <v>#REF!</v>
      </c>
      <c r="DE110" s="189" t="e">
        <f>CK59</f>
        <v>#REF!</v>
      </c>
      <c r="DF110" s="189" t="e">
        <f t="shared" si="145"/>
        <v>#REF!</v>
      </c>
      <c r="DG110" s="189" t="e">
        <f t="shared" si="145"/>
        <v>#REF!</v>
      </c>
      <c r="DH110" s="427" t="e">
        <f t="shared" si="145"/>
        <v>#REF!</v>
      </c>
    </row>
    <row r="111" spans="102:112">
      <c r="CX111" s="194"/>
      <c r="DH111" s="239"/>
    </row>
    <row r="112" spans="102:112">
      <c r="CX112" s="194" t="s">
        <v>161</v>
      </c>
      <c r="CZ112" s="421">
        <f>1/BL78</f>
        <v>38.225000000000001</v>
      </c>
      <c r="DA112" s="421">
        <f>1/BQ78</f>
        <v>23.408450704225352</v>
      </c>
      <c r="DB112" s="421">
        <f>1/BV78</f>
        <v>16.294117647058822</v>
      </c>
      <c r="DC112" s="421">
        <f>1/CA78</f>
        <v>12.795620437956208</v>
      </c>
      <c r="DD112" s="421">
        <f>1/CF78</f>
        <v>9.8461538461538467</v>
      </c>
      <c r="DE112" s="421">
        <f>1/CK78</f>
        <v>9.3450549450549421</v>
      </c>
      <c r="DF112" s="421">
        <f>1/CP78</f>
        <v>2.9664665941545589</v>
      </c>
      <c r="DG112" s="421">
        <f>1/CQ78</f>
        <v>4.9123805559469558</v>
      </c>
      <c r="DH112" s="428">
        <f>1/CR78</f>
        <v>6.5092088256359766</v>
      </c>
    </row>
    <row r="113" spans="102:112">
      <c r="CX113" s="194" t="s">
        <v>519</v>
      </c>
      <c r="CZ113" s="421">
        <f>BL79</f>
        <v>1.1007957559681698</v>
      </c>
      <c r="DA113" s="404">
        <f>BQ79</f>
        <v>1.4102250489236792</v>
      </c>
      <c r="DB113" s="404">
        <f>BV79</f>
        <v>1.5094838994265547</v>
      </c>
      <c r="DC113" s="404">
        <f>CA79</f>
        <v>1.7701604043067456</v>
      </c>
      <c r="DD113" s="404">
        <f>CF79</f>
        <v>1.9166498078090231</v>
      </c>
      <c r="DE113" s="404">
        <f>CK79</f>
        <v>1.8532369024519317</v>
      </c>
      <c r="DF113" s="404">
        <f t="shared" ref="DF113:DH114" si="146">CP79</f>
        <v>4.220165014185957</v>
      </c>
      <c r="DG113" s="404">
        <f t="shared" si="146"/>
        <v>2.7645444306321378</v>
      </c>
      <c r="DH113" s="429">
        <f t="shared" si="146"/>
        <v>2.2679838441205953</v>
      </c>
    </row>
    <row r="114" spans="102:112">
      <c r="CX114" s="195" t="s">
        <v>162</v>
      </c>
      <c r="CY114" s="196"/>
      <c r="CZ114" s="430">
        <f>BL80</f>
        <v>0.91273209549071621</v>
      </c>
      <c r="DA114" s="431">
        <f>BQ80</f>
        <v>1.2835127201565559</v>
      </c>
      <c r="DB114" s="431">
        <f>BV80</f>
        <v>1.4318482576091749</v>
      </c>
      <c r="DC114" s="431">
        <f>CA80</f>
        <v>1.6381015161502963</v>
      </c>
      <c r="DD114" s="431">
        <f>CF80</f>
        <v>1.8504956504147279</v>
      </c>
      <c r="DE114" s="431">
        <f>CK80</f>
        <v>1.7396366202152058</v>
      </c>
      <c r="DF114" s="431">
        <f t="shared" si="146"/>
        <v>2.9427183354909463</v>
      </c>
      <c r="DG114" s="431">
        <f t="shared" si="146"/>
        <v>2.0751932185897406</v>
      </c>
      <c r="DH114" s="432">
        <f t="shared" si="146"/>
        <v>1.7031703060350352</v>
      </c>
    </row>
  </sheetData>
  <pageMargins left="0.8" right="0.3" top="0.7" bottom="0.7" header="0.5" footer="0.5"/>
  <pageSetup scale="12" orientation="portrait" r:id="rId1"/>
  <headerFooter alignWithMargins="0"/>
  <customProperties>
    <customPr name="Qube.Worksheet.Visibility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7DB8-34BD-0843-B841-968A4E7DB6D5}">
  <dimension ref="A1:CV359"/>
  <sheetViews>
    <sheetView showGridLines="0" zoomScaleNormal="100" zoomScaleSheetLayoutView="85" workbookViewId="0">
      <pane xSplit="2" ySplit="3" topLeftCell="BB4" activePane="bottomRight" state="frozen"/>
      <selection activeCell="CT39" sqref="CT39:CT40"/>
      <selection pane="topRight" activeCell="CT39" sqref="CT39:CT40"/>
      <selection pane="bottomLeft" activeCell="CT39" sqref="CT39:CT40"/>
      <selection pane="bottomRight" activeCell="B3" sqref="B3:CK3"/>
    </sheetView>
  </sheetViews>
  <sheetFormatPr defaultColWidth="9.85546875" defaultRowHeight="14.25" outlineLevelRow="1" outlineLevelCol="1"/>
  <cols>
    <col min="1" max="1" width="1.85546875" style="498" customWidth="1"/>
    <col min="2" max="2" width="44.85546875" style="498" customWidth="1"/>
    <col min="3" max="3" width="1.42578125" style="498" hidden="1" customWidth="1"/>
    <col min="4" max="9" width="9.85546875" style="498" hidden="1" customWidth="1"/>
    <col min="10" max="13" width="9.85546875" style="498" hidden="1" customWidth="1" outlineLevel="1"/>
    <col min="14" max="14" width="9.85546875" style="498" hidden="1" customWidth="1" collapsed="1"/>
    <col min="15" max="18" width="9.85546875" style="498" hidden="1" customWidth="1" outlineLevel="1"/>
    <col min="19" max="19" width="9.85546875" style="498" hidden="1" customWidth="1" collapsed="1"/>
    <col min="20" max="22" width="9.85546875" style="498" hidden="1" customWidth="1" outlineLevel="1"/>
    <col min="23" max="23" width="2.5703125" style="498" hidden="1" customWidth="1" outlineLevel="1"/>
    <col min="24" max="24" width="9.85546875" style="498" hidden="1" customWidth="1" collapsed="1"/>
    <col min="25" max="28" width="9.85546875" style="498" hidden="1" customWidth="1" outlineLevel="1"/>
    <col min="29" max="29" width="9.85546875" style="498" hidden="1" customWidth="1" collapsed="1"/>
    <col min="30" max="33" width="9.85546875" style="498" hidden="1" customWidth="1" outlineLevel="1"/>
    <col min="34" max="34" width="9.85546875" style="498" hidden="1" customWidth="1" collapsed="1"/>
    <col min="35" max="38" width="9.85546875" style="498" hidden="1" customWidth="1" outlineLevel="1"/>
    <col min="39" max="39" width="9.85546875" style="498" hidden="1" customWidth="1" collapsed="1"/>
    <col min="40" max="43" width="9.85546875" style="498" hidden="1" customWidth="1" outlineLevel="1"/>
    <col min="44" max="44" width="9.85546875" style="498" hidden="1" customWidth="1" collapsed="1"/>
    <col min="45" max="48" width="9.85546875" style="498" hidden="1" customWidth="1" outlineLevel="1"/>
    <col min="49" max="49" width="9.85546875" style="498" hidden="1" customWidth="1" collapsed="1"/>
    <col min="50" max="53" width="9.85546875" style="498" hidden="1" customWidth="1" outlineLevel="1"/>
    <col min="54" max="54" width="11.85546875" style="498" customWidth="1" collapsed="1"/>
    <col min="55" max="58" width="10.140625" style="498" hidden="1" customWidth="1" outlineLevel="1"/>
    <col min="59" max="59" width="11.85546875" style="498" customWidth="1" collapsed="1"/>
    <col min="60" max="63" width="9.85546875" style="498" hidden="1" customWidth="1" outlineLevel="1"/>
    <col min="64" max="64" width="13.7109375" style="498" customWidth="1" collapsed="1"/>
    <col min="65" max="68" width="9.85546875" style="498" hidden="1" customWidth="1" outlineLevel="1"/>
    <col min="69" max="69" width="13.7109375" style="498" customWidth="1" collapsed="1"/>
    <col min="70" max="73" width="9.85546875" style="498" hidden="1" customWidth="1" outlineLevel="1"/>
    <col min="74" max="74" width="13.7109375" style="498" customWidth="1" collapsed="1"/>
    <col min="75" max="78" width="9.85546875" style="498" hidden="1" customWidth="1" outlineLevel="1"/>
    <col min="79" max="79" width="13.7109375" style="498" customWidth="1" collapsed="1"/>
    <col min="80" max="83" width="9.85546875" style="498" hidden="1" customWidth="1" outlineLevel="1"/>
    <col min="84" max="84" width="13.7109375" style="498" customWidth="1" collapsed="1"/>
    <col min="85" max="88" width="9.85546875" style="498" hidden="1" customWidth="1" outlineLevel="1"/>
    <col min="89" max="89" width="13.7109375" style="498" customWidth="1" collapsed="1"/>
    <col min="90" max="93" width="9.85546875" style="498" hidden="1" customWidth="1" outlineLevel="1"/>
    <col min="94" max="94" width="9.85546875" style="498" collapsed="1"/>
    <col min="95" max="16384" width="9.85546875" style="498"/>
  </cols>
  <sheetData>
    <row r="1" spans="1:97">
      <c r="A1" s="603"/>
      <c r="B1" s="604"/>
    </row>
    <row r="2" spans="1:97" ht="6" customHeight="1">
      <c r="A2" s="605"/>
      <c r="B2" s="605"/>
    </row>
    <row r="3" spans="1:97">
      <c r="A3" s="604"/>
      <c r="B3" s="678" t="s">
        <v>573</v>
      </c>
      <c r="C3" s="679">
        <v>1997</v>
      </c>
      <c r="D3" s="679">
        <v>1998</v>
      </c>
      <c r="E3" s="679">
        <v>1999</v>
      </c>
      <c r="F3" s="679">
        <v>2000</v>
      </c>
      <c r="G3" s="679">
        <v>2001</v>
      </c>
      <c r="H3" s="679">
        <v>2002</v>
      </c>
      <c r="I3" s="679">
        <v>2003</v>
      </c>
      <c r="J3" s="680" t="s">
        <v>0</v>
      </c>
      <c r="K3" s="680" t="s">
        <v>1</v>
      </c>
      <c r="L3" s="680" t="s">
        <v>2</v>
      </c>
      <c r="M3" s="680" t="s">
        <v>3</v>
      </c>
      <c r="N3" s="679">
        <v>2004</v>
      </c>
      <c r="O3" s="680" t="s">
        <v>4</v>
      </c>
      <c r="P3" s="680" t="s">
        <v>5</v>
      </c>
      <c r="Q3" s="680" t="s">
        <v>6</v>
      </c>
      <c r="R3" s="680" t="s">
        <v>7</v>
      </c>
      <c r="S3" s="679">
        <v>2005</v>
      </c>
      <c r="T3" s="680" t="s">
        <v>8</v>
      </c>
      <c r="U3" s="680" t="s">
        <v>9</v>
      </c>
      <c r="V3" s="680" t="s">
        <v>10</v>
      </c>
      <c r="W3" s="680" t="s">
        <v>11</v>
      </c>
      <c r="X3" s="679">
        <v>2006</v>
      </c>
      <c r="Y3" s="680" t="s">
        <v>12</v>
      </c>
      <c r="Z3" s="680" t="s">
        <v>13</v>
      </c>
      <c r="AA3" s="680" t="s">
        <v>14</v>
      </c>
      <c r="AB3" s="680" t="s">
        <v>15</v>
      </c>
      <c r="AC3" s="679">
        <v>2007</v>
      </c>
      <c r="AD3" s="680" t="s">
        <v>16</v>
      </c>
      <c r="AE3" s="680" t="s">
        <v>17</v>
      </c>
      <c r="AF3" s="680" t="s">
        <v>18</v>
      </c>
      <c r="AG3" s="680" t="s">
        <v>19</v>
      </c>
      <c r="AH3" s="679">
        <v>2008</v>
      </c>
      <c r="AI3" s="680" t="s">
        <v>20</v>
      </c>
      <c r="AJ3" s="680" t="s">
        <v>21</v>
      </c>
      <c r="AK3" s="680" t="s">
        <v>22</v>
      </c>
      <c r="AL3" s="680" t="s">
        <v>23</v>
      </c>
      <c r="AM3" s="679">
        <v>2009</v>
      </c>
      <c r="AN3" s="680" t="s">
        <v>208</v>
      </c>
      <c r="AO3" s="680" t="s">
        <v>209</v>
      </c>
      <c r="AP3" s="680" t="s">
        <v>210</v>
      </c>
      <c r="AQ3" s="680" t="s">
        <v>211</v>
      </c>
      <c r="AR3" s="679">
        <v>2010</v>
      </c>
      <c r="AS3" s="680" t="s">
        <v>212</v>
      </c>
      <c r="AT3" s="680" t="s">
        <v>213</v>
      </c>
      <c r="AU3" s="680" t="s">
        <v>214</v>
      </c>
      <c r="AV3" s="680" t="s">
        <v>215</v>
      </c>
      <c r="AW3" s="679">
        <v>2011</v>
      </c>
      <c r="AX3" s="680" t="s">
        <v>282</v>
      </c>
      <c r="AY3" s="680" t="s">
        <v>283</v>
      </c>
      <c r="AZ3" s="680" t="s">
        <v>284</v>
      </c>
      <c r="BA3" s="680" t="s">
        <v>285</v>
      </c>
      <c r="BB3" s="679">
        <v>2012</v>
      </c>
      <c r="BC3" s="680" t="s">
        <v>308</v>
      </c>
      <c r="BD3" s="680" t="s">
        <v>309</v>
      </c>
      <c r="BE3" s="680" t="s">
        <v>310</v>
      </c>
      <c r="BF3" s="680" t="s">
        <v>311</v>
      </c>
      <c r="BG3" s="679">
        <v>2013</v>
      </c>
      <c r="BH3" s="680" t="s">
        <v>312</v>
      </c>
      <c r="BI3" s="680" t="s">
        <v>313</v>
      </c>
      <c r="BJ3" s="680" t="s">
        <v>314</v>
      </c>
      <c r="BK3" s="680" t="s">
        <v>315</v>
      </c>
      <c r="BL3" s="679">
        <v>2014</v>
      </c>
      <c r="BM3" s="680" t="s">
        <v>382</v>
      </c>
      <c r="BN3" s="680" t="s">
        <v>383</v>
      </c>
      <c r="BO3" s="680" t="s">
        <v>384</v>
      </c>
      <c r="BP3" s="680" t="s">
        <v>385</v>
      </c>
      <c r="BQ3" s="679">
        <v>2015</v>
      </c>
      <c r="BR3" s="680" t="s">
        <v>386</v>
      </c>
      <c r="BS3" s="680" t="s">
        <v>387</v>
      </c>
      <c r="BT3" s="680" t="s">
        <v>388</v>
      </c>
      <c r="BU3" s="680" t="s">
        <v>389</v>
      </c>
      <c r="BV3" s="679">
        <v>2016</v>
      </c>
      <c r="BW3" s="680" t="s">
        <v>390</v>
      </c>
      <c r="BX3" s="680" t="s">
        <v>391</v>
      </c>
      <c r="BY3" s="680" t="s">
        <v>392</v>
      </c>
      <c r="BZ3" s="680" t="s">
        <v>393</v>
      </c>
      <c r="CA3" s="679">
        <v>2017</v>
      </c>
      <c r="CB3" s="680" t="s">
        <v>445</v>
      </c>
      <c r="CC3" s="680" t="s">
        <v>446</v>
      </c>
      <c r="CD3" s="680" t="s">
        <v>447</v>
      </c>
      <c r="CE3" s="680" t="s">
        <v>448</v>
      </c>
      <c r="CF3" s="679">
        <v>2018</v>
      </c>
      <c r="CG3" s="680" t="s">
        <v>459</v>
      </c>
      <c r="CH3" s="680" t="s">
        <v>460</v>
      </c>
      <c r="CI3" s="680" t="s">
        <v>461</v>
      </c>
      <c r="CJ3" s="680" t="s">
        <v>462</v>
      </c>
      <c r="CK3" s="679">
        <v>2019</v>
      </c>
      <c r="CL3" s="680" t="s">
        <v>466</v>
      </c>
      <c r="CM3" s="680" t="s">
        <v>467</v>
      </c>
      <c r="CN3" s="680" t="s">
        <v>468</v>
      </c>
      <c r="CO3" s="680" t="s">
        <v>469</v>
      </c>
      <c r="CP3" s="679">
        <v>2020</v>
      </c>
      <c r="CQ3" s="679">
        <v>2021</v>
      </c>
      <c r="CR3" s="679">
        <v>2022</v>
      </c>
      <c r="CS3" s="679">
        <v>2023</v>
      </c>
    </row>
    <row r="4" spans="1:97" s="606" customFormat="1" ht="5.0999999999999996" customHeight="1">
      <c r="B4" s="607"/>
      <c r="C4" s="608"/>
      <c r="D4" s="608"/>
      <c r="E4" s="608"/>
      <c r="F4" s="608"/>
      <c r="G4" s="608"/>
      <c r="H4" s="608"/>
      <c r="I4" s="60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8"/>
      <c r="X4" s="608"/>
      <c r="Y4" s="608"/>
      <c r="Z4" s="608"/>
      <c r="AA4" s="608"/>
      <c r="AB4" s="608"/>
      <c r="AC4" s="608"/>
      <c r="AD4" s="608"/>
      <c r="AE4" s="608"/>
      <c r="AF4" s="608"/>
      <c r="AG4" s="608"/>
      <c r="AH4" s="608"/>
      <c r="AI4" s="608"/>
      <c r="AJ4" s="608"/>
      <c r="AK4" s="608"/>
      <c r="AL4" s="609"/>
      <c r="AM4" s="609"/>
      <c r="AN4" s="608"/>
      <c r="AO4" s="608"/>
      <c r="AP4" s="608"/>
      <c r="AQ4" s="609"/>
      <c r="AR4" s="609"/>
      <c r="AS4" s="608"/>
      <c r="AT4" s="608"/>
      <c r="AU4" s="608"/>
      <c r="AV4" s="609"/>
      <c r="AW4" s="609"/>
      <c r="AX4" s="608"/>
      <c r="AY4" s="608"/>
      <c r="AZ4" s="608"/>
      <c r="BA4" s="609"/>
      <c r="BB4" s="609"/>
      <c r="BC4" s="608"/>
      <c r="BD4" s="608"/>
      <c r="BE4" s="608"/>
      <c r="BF4" s="609"/>
      <c r="BG4" s="609"/>
      <c r="BH4" s="608"/>
      <c r="BI4" s="608"/>
      <c r="BJ4" s="608"/>
      <c r="BK4" s="609"/>
      <c r="BL4" s="609"/>
      <c r="BM4" s="608"/>
      <c r="BN4" s="608"/>
      <c r="BO4" s="608"/>
      <c r="BP4" s="609"/>
      <c r="BQ4" s="609"/>
      <c r="BR4" s="608"/>
      <c r="BS4" s="608"/>
      <c r="BT4" s="608"/>
      <c r="BU4" s="609"/>
      <c r="BV4" s="609"/>
      <c r="BW4" s="608"/>
      <c r="BX4" s="608"/>
      <c r="BY4" s="608"/>
      <c r="BZ4" s="609"/>
      <c r="CA4" s="609"/>
      <c r="CB4" s="608"/>
      <c r="CC4" s="608"/>
      <c r="CD4" s="608"/>
      <c r="CE4" s="609"/>
      <c r="CF4" s="609"/>
      <c r="CG4" s="608"/>
      <c r="CH4" s="608"/>
      <c r="CI4" s="608"/>
      <c r="CJ4" s="609"/>
      <c r="CK4" s="609"/>
      <c r="CL4" s="608"/>
      <c r="CM4" s="608"/>
      <c r="CN4" s="608"/>
      <c r="CO4" s="609"/>
      <c r="CP4" s="609"/>
      <c r="CQ4" s="609"/>
      <c r="CR4" s="609"/>
      <c r="CS4" s="609"/>
    </row>
    <row r="5" spans="1:97">
      <c r="B5" s="681" t="s">
        <v>24</v>
      </c>
    </row>
    <row r="6" spans="1:97">
      <c r="B6" s="498" t="s">
        <v>78</v>
      </c>
      <c r="C6" s="498">
        <v>936.85500000000002</v>
      </c>
      <c r="D6" s="498">
        <v>1089.0440000000001</v>
      </c>
      <c r="E6" s="498">
        <v>1151.5</v>
      </c>
      <c r="F6" s="498">
        <v>1055.7</v>
      </c>
      <c r="G6" s="498">
        <v>1009.4</v>
      </c>
      <c r="H6" s="498">
        <v>850.8</v>
      </c>
      <c r="I6" s="498">
        <v>896.9</v>
      </c>
      <c r="J6" s="498">
        <v>262.8</v>
      </c>
      <c r="K6" s="498">
        <v>272.2</v>
      </c>
      <c r="L6" s="498">
        <v>263.10000000000002</v>
      </c>
      <c r="M6" s="498">
        <f t="shared" ref="M6:M20" si="0">N6-SUM(J6:L6)</f>
        <v>276.39999999999998</v>
      </c>
      <c r="N6" s="498">
        <v>1074.5</v>
      </c>
      <c r="O6" s="498">
        <v>290.60000000000002</v>
      </c>
      <c r="P6" s="498">
        <v>311.3</v>
      </c>
      <c r="Q6" s="498">
        <v>276.60000000000002</v>
      </c>
      <c r="R6" s="498">
        <f t="shared" ref="R6:R20" si="1">S6-SUM(O6:Q6)</f>
        <v>282.89999999999998</v>
      </c>
      <c r="S6" s="498">
        <v>1161.4000000000001</v>
      </c>
      <c r="T6" s="498">
        <v>307</v>
      </c>
      <c r="U6" s="498">
        <v>316</v>
      </c>
      <c r="V6" s="498">
        <v>289.10000000000002</v>
      </c>
      <c r="W6" s="498">
        <f t="shared" ref="W6:W20" si="2">X6-SUM(T6:V6)</f>
        <v>280.99999999999989</v>
      </c>
      <c r="X6" s="498">
        <v>1193.0999999999999</v>
      </c>
      <c r="Y6" s="498">
        <v>282.60000000000002</v>
      </c>
      <c r="Z6" s="498">
        <v>289.8</v>
      </c>
      <c r="AA6" s="498">
        <v>281.10000000000002</v>
      </c>
      <c r="AB6" s="498">
        <f t="shared" ref="AB6:AB20" si="3">AC6-SUM(Y6:AA6)</f>
        <v>317.5999999999998</v>
      </c>
      <c r="AC6" s="498">
        <v>1171.0999999999999</v>
      </c>
      <c r="AD6" s="498">
        <v>344.5</v>
      </c>
      <c r="AE6" s="498">
        <v>359.5</v>
      </c>
      <c r="AF6" s="498">
        <v>331.4</v>
      </c>
      <c r="AG6" s="498">
        <f t="shared" ref="AG6:AG20" si="4">AH6-SUM(AD6:AF6)</f>
        <v>289.5</v>
      </c>
      <c r="AH6" s="498">
        <v>1324.9</v>
      </c>
      <c r="AI6" s="498">
        <v>307.3</v>
      </c>
      <c r="AJ6" s="498">
        <v>277.3</v>
      </c>
      <c r="AK6" s="498">
        <v>257.10000000000002</v>
      </c>
      <c r="AL6" s="604">
        <v>266.60000000000002</v>
      </c>
      <c r="AM6" s="498">
        <f>SUM(AI6:AL6)</f>
        <v>1108.3000000000002</v>
      </c>
      <c r="AN6" s="498">
        <v>263</v>
      </c>
      <c r="AO6" s="604">
        <v>305.10000000000002</v>
      </c>
      <c r="AP6" s="604">
        <v>294.5</v>
      </c>
      <c r="AQ6" s="498">
        <f t="shared" ref="AQ6:AQ20" si="5">AR6-SUM(AN6:AP6)</f>
        <v>310.99999999999989</v>
      </c>
      <c r="AR6" s="498">
        <v>1173.5999999999999</v>
      </c>
      <c r="AS6" s="498">
        <v>331.6</v>
      </c>
      <c r="AT6" s="604">
        <v>353.7</v>
      </c>
      <c r="AU6" s="604">
        <v>351.8</v>
      </c>
      <c r="AV6" s="498">
        <v>355.3</v>
      </c>
      <c r="AW6" s="611">
        <f>SUM(AS6:AV6)</f>
        <v>1392.3999999999999</v>
      </c>
      <c r="AX6" s="604">
        <v>400.1</v>
      </c>
      <c r="AY6" s="604">
        <v>399.2</v>
      </c>
      <c r="AZ6" s="604">
        <v>391.6</v>
      </c>
      <c r="BA6" s="604">
        <v>387.3</v>
      </c>
      <c r="BB6" s="687">
        <f>SUM(AX6:BA6)</f>
        <v>1578.2</v>
      </c>
      <c r="BC6" s="684">
        <v>416.5</v>
      </c>
      <c r="BD6" s="684">
        <v>422.6</v>
      </c>
      <c r="BE6" s="684">
        <v>412.3</v>
      </c>
      <c r="BF6" s="684">
        <v>426.8</v>
      </c>
      <c r="BG6" s="687">
        <f>SUM(BC6:BF6)</f>
        <v>1678.2</v>
      </c>
      <c r="BH6" s="684">
        <v>461.7</v>
      </c>
      <c r="BI6" s="685">
        <v>470.1</v>
      </c>
      <c r="BJ6" s="684">
        <v>451.9</v>
      </c>
      <c r="BK6" s="684">
        <v>471.8</v>
      </c>
      <c r="BL6" s="687">
        <f>SUM(BH6:BK6)</f>
        <v>1855.4999999999998</v>
      </c>
      <c r="BM6" s="684">
        <v>471.8</v>
      </c>
      <c r="BN6" s="685">
        <v>475.7</v>
      </c>
      <c r="BO6" s="684">
        <v>448.8</v>
      </c>
      <c r="BP6" s="684">
        <v>464.9</v>
      </c>
      <c r="BQ6" s="687">
        <f>SUM(BM6:BP6)</f>
        <v>1861.1999999999998</v>
      </c>
      <c r="BR6" s="684">
        <v>497.7</v>
      </c>
      <c r="BS6" s="685">
        <v>522.6</v>
      </c>
      <c r="BT6" s="684">
        <v>500.5</v>
      </c>
      <c r="BU6" s="684">
        <v>483.5</v>
      </c>
      <c r="BV6" s="687">
        <f>SUM(BR6:BU6)</f>
        <v>2004.3</v>
      </c>
      <c r="BW6" s="684">
        <v>478.8</v>
      </c>
      <c r="BX6" s="684">
        <v>491.3</v>
      </c>
      <c r="BY6" s="684">
        <v>491.5</v>
      </c>
      <c r="BZ6" s="684">
        <v>511.7</v>
      </c>
      <c r="CA6" s="687">
        <f>SUM(BW6:BZ6)</f>
        <v>1973.3</v>
      </c>
      <c r="CB6" s="684">
        <v>540.1</v>
      </c>
      <c r="CC6" s="685">
        <v>547.5</v>
      </c>
      <c r="CD6" s="684">
        <v>540.5</v>
      </c>
      <c r="CE6" s="684">
        <v>561</v>
      </c>
      <c r="CF6" s="687">
        <f>SUM(CB6:CE6)</f>
        <v>2189.1</v>
      </c>
      <c r="CG6" s="684">
        <v>609.9</v>
      </c>
      <c r="CH6" s="685">
        <v>609</v>
      </c>
      <c r="CI6" s="684">
        <v>572.5</v>
      </c>
      <c r="CJ6" s="684">
        <v>564.29999999999995</v>
      </c>
      <c r="CK6" s="687">
        <f>SUM(CG6:CJ6)</f>
        <v>2355.6999999999998</v>
      </c>
      <c r="CL6" s="604">
        <v>541</v>
      </c>
      <c r="CM6" s="611"/>
      <c r="CN6" s="604"/>
      <c r="CO6" s="604"/>
    </row>
    <row r="7" spans="1:97" ht="15" thickBot="1">
      <c r="B7" s="498" t="s">
        <v>79</v>
      </c>
      <c r="C7" s="613">
        <v>-714.22299999999996</v>
      </c>
      <c r="D7" s="613">
        <v>-817.78499999999997</v>
      </c>
      <c r="E7" s="613">
        <v>-909</v>
      </c>
      <c r="F7" s="613">
        <v>-824.3</v>
      </c>
      <c r="G7" s="613">
        <v>-818.6</v>
      </c>
      <c r="H7" s="613">
        <v>-689.5</v>
      </c>
      <c r="I7" s="613">
        <v>-722.4</v>
      </c>
      <c r="J7" s="613">
        <v>-208.2</v>
      </c>
      <c r="K7" s="613">
        <v>-210.7</v>
      </c>
      <c r="L7" s="613">
        <v>-208.2</v>
      </c>
      <c r="M7" s="613">
        <f t="shared" si="0"/>
        <v>-218.30000000000007</v>
      </c>
      <c r="N7" s="613">
        <v>-845.4</v>
      </c>
      <c r="O7" s="613">
        <v>-224.8</v>
      </c>
      <c r="P7" s="613">
        <v>-240.7</v>
      </c>
      <c r="Q7" s="613">
        <v>-218.2</v>
      </c>
      <c r="R7" s="613">
        <f t="shared" si="1"/>
        <v>-223.5</v>
      </c>
      <c r="S7" s="613">
        <v>-907.2</v>
      </c>
      <c r="T7" s="613">
        <v>-235.9</v>
      </c>
      <c r="U7" s="613">
        <v>-244.3</v>
      </c>
      <c r="V7" s="613">
        <v>-229.1</v>
      </c>
      <c r="W7" s="613">
        <f t="shared" si="2"/>
        <v>-218.99999999999989</v>
      </c>
      <c r="X7" s="613">
        <v>-928.3</v>
      </c>
      <c r="Y7" s="613">
        <v>-211.1</v>
      </c>
      <c r="Z7" s="613">
        <v>-219.4</v>
      </c>
      <c r="AA7" s="613">
        <v>-214.2</v>
      </c>
      <c r="AB7" s="613">
        <f t="shared" si="3"/>
        <v>-243.29999999999995</v>
      </c>
      <c r="AC7" s="613">
        <v>-888</v>
      </c>
      <c r="AD7" s="613">
        <v>-264.39999999999998</v>
      </c>
      <c r="AE7" s="613">
        <v>-283.39999999999998</v>
      </c>
      <c r="AF7" s="613">
        <v>-260.3</v>
      </c>
      <c r="AG7" s="613">
        <f t="shared" si="4"/>
        <v>-227.60000000000014</v>
      </c>
      <c r="AH7" s="613">
        <v>-1035.7</v>
      </c>
      <c r="AI7" s="613">
        <v>-230.3</v>
      </c>
      <c r="AJ7" s="613">
        <v>-214.2</v>
      </c>
      <c r="AK7" s="613">
        <v>-205</v>
      </c>
      <c r="AL7" s="614">
        <v>-210.3</v>
      </c>
      <c r="AM7" s="613">
        <f>SUM(AI7:AL7)</f>
        <v>-859.8</v>
      </c>
      <c r="AN7" s="613">
        <f>-196.9</f>
        <v>-196.9</v>
      </c>
      <c r="AO7" s="614">
        <v>-226.7</v>
      </c>
      <c r="AP7" s="614">
        <v>-224</v>
      </c>
      <c r="AQ7" s="613">
        <f t="shared" si="5"/>
        <v>-243.39999999999998</v>
      </c>
      <c r="AR7" s="613">
        <v>-891</v>
      </c>
      <c r="AS7" s="613">
        <v>-248.6</v>
      </c>
      <c r="AT7" s="614">
        <v>-266.7</v>
      </c>
      <c r="AU7" s="614">
        <v>-265.3</v>
      </c>
      <c r="AV7" s="613">
        <v>-269.7</v>
      </c>
      <c r="AW7" s="615">
        <f>SUM(AS7:AV7)</f>
        <v>-1050.3</v>
      </c>
      <c r="AX7" s="614">
        <v>-293.7</v>
      </c>
      <c r="AY7" s="614">
        <v>-293.7</v>
      </c>
      <c r="AZ7" s="614">
        <v>-292.39999999999998</v>
      </c>
      <c r="BA7" s="614">
        <v>-291.7</v>
      </c>
      <c r="BB7" s="692">
        <f>SUM(AX7:BA7)</f>
        <v>-1171.5</v>
      </c>
      <c r="BC7" s="693">
        <v>-304.5</v>
      </c>
      <c r="BD7" s="693">
        <v>-305.8</v>
      </c>
      <c r="BE7" s="693">
        <v>-300.2</v>
      </c>
      <c r="BF7" s="693">
        <v>-313.7</v>
      </c>
      <c r="BG7" s="692">
        <f>SUM(BC7:BF7)</f>
        <v>-1224.2</v>
      </c>
      <c r="BH7" s="693">
        <v>-332.5</v>
      </c>
      <c r="BI7" s="694">
        <v>-341</v>
      </c>
      <c r="BJ7" s="693">
        <v>-329.9</v>
      </c>
      <c r="BK7" s="693">
        <v>-343.3</v>
      </c>
      <c r="BL7" s="692">
        <f>SUM(BH7:BK7)</f>
        <v>-1346.7</v>
      </c>
      <c r="BM7" s="693">
        <v>-330</v>
      </c>
      <c r="BN7" s="694">
        <v>-336.6</v>
      </c>
      <c r="BO7" s="693">
        <v>-324.7</v>
      </c>
      <c r="BP7" s="693">
        <v>-337.1</v>
      </c>
      <c r="BQ7" s="692">
        <f>SUM(BM7:BP7)</f>
        <v>-1328.4</v>
      </c>
      <c r="BR7" s="693">
        <v>-354.7</v>
      </c>
      <c r="BS7" s="694">
        <v>-372.3</v>
      </c>
      <c r="BT7" s="693">
        <v>-364.8</v>
      </c>
      <c r="BU7" s="693">
        <v>-347.9</v>
      </c>
      <c r="BV7" s="692">
        <f>SUM(BR7:BU7)</f>
        <v>-1439.6999999999998</v>
      </c>
      <c r="BW7" s="693">
        <v>-344.7</v>
      </c>
      <c r="BX7" s="693">
        <v>-351.4</v>
      </c>
      <c r="BY7" s="693">
        <v>-355.9</v>
      </c>
      <c r="BZ7" s="693">
        <v>-369.5</v>
      </c>
      <c r="CA7" s="692">
        <f>SUM(BW7:BZ7)</f>
        <v>-1421.5</v>
      </c>
      <c r="CB7" s="693">
        <v>-397.5</v>
      </c>
      <c r="CC7" s="694">
        <v>-402.7</v>
      </c>
      <c r="CD7" s="693">
        <v>-397.5</v>
      </c>
      <c r="CE7" s="693">
        <v>-410.6</v>
      </c>
      <c r="CF7" s="692">
        <f>SUM(CB7:CE7)</f>
        <v>-1608.3000000000002</v>
      </c>
      <c r="CG7" s="693">
        <v>-442.7</v>
      </c>
      <c r="CH7" s="694">
        <v>-440.2</v>
      </c>
      <c r="CI7" s="693">
        <v>-414.6</v>
      </c>
      <c r="CJ7" s="693">
        <v>-417.8</v>
      </c>
      <c r="CK7" s="692">
        <f>SUM(CG7:CJ7)</f>
        <v>-1715.3</v>
      </c>
      <c r="CL7" s="614">
        <v>-400.1</v>
      </c>
      <c r="CM7" s="615"/>
      <c r="CN7" s="614"/>
      <c r="CO7" s="614"/>
    </row>
    <row r="8" spans="1:97">
      <c r="B8" s="526" t="s">
        <v>80</v>
      </c>
      <c r="C8" s="526">
        <f t="shared" ref="C8:L8" si="6">SUM(C6:C7)</f>
        <v>222.63200000000006</v>
      </c>
      <c r="D8" s="526">
        <f t="shared" si="6"/>
        <v>271.25900000000013</v>
      </c>
      <c r="E8" s="526">
        <f t="shared" si="6"/>
        <v>242.5</v>
      </c>
      <c r="F8" s="526">
        <f t="shared" si="6"/>
        <v>231.40000000000009</v>
      </c>
      <c r="G8" s="526">
        <f t="shared" si="6"/>
        <v>190.79999999999995</v>
      </c>
      <c r="H8" s="526">
        <f t="shared" si="6"/>
        <v>161.29999999999995</v>
      </c>
      <c r="I8" s="526">
        <f t="shared" si="6"/>
        <v>174.5</v>
      </c>
      <c r="J8" s="526">
        <f t="shared" si="6"/>
        <v>54.600000000000023</v>
      </c>
      <c r="K8" s="526">
        <f t="shared" si="6"/>
        <v>61.5</v>
      </c>
      <c r="L8" s="526">
        <f t="shared" si="6"/>
        <v>54.900000000000034</v>
      </c>
      <c r="M8" s="526">
        <f t="shared" si="0"/>
        <v>58.099999999999966</v>
      </c>
      <c r="N8" s="526">
        <f>SUM(N6:N7)</f>
        <v>229.10000000000002</v>
      </c>
      <c r="O8" s="526">
        <f>SUM(O6:O7)</f>
        <v>65.800000000000011</v>
      </c>
      <c r="P8" s="526">
        <f>SUM(P6:P7)</f>
        <v>70.600000000000023</v>
      </c>
      <c r="Q8" s="526">
        <f>SUM(Q6:Q7)</f>
        <v>58.400000000000034</v>
      </c>
      <c r="R8" s="526">
        <f t="shared" si="1"/>
        <v>59.399999999999977</v>
      </c>
      <c r="S8" s="526">
        <f>SUM(S6:S7)</f>
        <v>254.20000000000005</v>
      </c>
      <c r="T8" s="526">
        <f>SUM(T6:T7)</f>
        <v>71.099999999999994</v>
      </c>
      <c r="U8" s="526">
        <f>SUM(U6:U7)</f>
        <v>71.699999999999989</v>
      </c>
      <c r="V8" s="526">
        <f>SUM(V6:V7)</f>
        <v>60.000000000000028</v>
      </c>
      <c r="W8" s="526">
        <f t="shared" si="2"/>
        <v>61.999999999999943</v>
      </c>
      <c r="X8" s="526">
        <f>SUM(X6:X7)</f>
        <v>264.79999999999995</v>
      </c>
      <c r="Y8" s="526">
        <f>SUM(Y6:Y7)</f>
        <v>71.500000000000028</v>
      </c>
      <c r="Z8" s="526">
        <f>SUM(Z6:Z7)</f>
        <v>70.400000000000006</v>
      </c>
      <c r="AA8" s="526">
        <f>SUM(AA6:AA7)</f>
        <v>66.900000000000034</v>
      </c>
      <c r="AB8" s="526">
        <f t="shared" si="3"/>
        <v>74.299999999999841</v>
      </c>
      <c r="AC8" s="526">
        <f>SUM(AC6:AC7)</f>
        <v>283.09999999999991</v>
      </c>
      <c r="AD8" s="526">
        <f>SUM(AD6:AD7)</f>
        <v>80.100000000000023</v>
      </c>
      <c r="AE8" s="526">
        <f>SUM(AE6:AE7)</f>
        <v>76.100000000000023</v>
      </c>
      <c r="AF8" s="526">
        <f>SUM(AF6:AF7)</f>
        <v>71.099999999999966</v>
      </c>
      <c r="AG8" s="526">
        <f t="shared" si="4"/>
        <v>61.900000000000034</v>
      </c>
      <c r="AH8" s="526">
        <f t="shared" ref="AH8:AP8" si="7">SUM(AH6:AH7)</f>
        <v>289.20000000000005</v>
      </c>
      <c r="AI8" s="526">
        <f t="shared" si="7"/>
        <v>77</v>
      </c>
      <c r="AJ8" s="526">
        <f t="shared" si="7"/>
        <v>63.100000000000023</v>
      </c>
      <c r="AK8" s="526">
        <f t="shared" si="7"/>
        <v>52.100000000000023</v>
      </c>
      <c r="AL8" s="526">
        <f t="shared" si="7"/>
        <v>56.300000000000011</v>
      </c>
      <c r="AM8" s="526">
        <f t="shared" si="7"/>
        <v>248.50000000000023</v>
      </c>
      <c r="AN8" s="526">
        <f t="shared" si="7"/>
        <v>66.099999999999994</v>
      </c>
      <c r="AO8" s="526">
        <f t="shared" si="7"/>
        <v>78.400000000000034</v>
      </c>
      <c r="AP8" s="526">
        <f t="shared" si="7"/>
        <v>70.5</v>
      </c>
      <c r="AQ8" s="526">
        <f t="shared" si="5"/>
        <v>67.599999999999881</v>
      </c>
      <c r="AR8" s="526">
        <f t="shared" ref="AR8:CL8" si="8">SUM(AR6:AR7)</f>
        <v>282.59999999999991</v>
      </c>
      <c r="AS8" s="526">
        <f t="shared" si="8"/>
        <v>83.000000000000028</v>
      </c>
      <c r="AT8" s="603">
        <f t="shared" si="8"/>
        <v>87</v>
      </c>
      <c r="AU8" s="603">
        <f t="shared" si="8"/>
        <v>86.5</v>
      </c>
      <c r="AV8" s="603">
        <f t="shared" si="8"/>
        <v>85.600000000000023</v>
      </c>
      <c r="AW8" s="616">
        <f t="shared" si="8"/>
        <v>342.09999999999991</v>
      </c>
      <c r="AX8" s="526">
        <f t="shared" si="8"/>
        <v>106.40000000000003</v>
      </c>
      <c r="AY8" s="526">
        <f t="shared" si="8"/>
        <v>105.5</v>
      </c>
      <c r="AZ8" s="526">
        <f t="shared" si="8"/>
        <v>99.200000000000045</v>
      </c>
      <c r="BA8" s="526">
        <f t="shared" si="8"/>
        <v>95.600000000000023</v>
      </c>
      <c r="BB8" s="713">
        <f t="shared" si="8"/>
        <v>406.70000000000005</v>
      </c>
      <c r="BC8" s="713">
        <f t="shared" si="8"/>
        <v>112</v>
      </c>
      <c r="BD8" s="713">
        <f t="shared" si="8"/>
        <v>116.80000000000001</v>
      </c>
      <c r="BE8" s="713">
        <f t="shared" si="8"/>
        <v>112.10000000000002</v>
      </c>
      <c r="BF8" s="713">
        <f t="shared" si="8"/>
        <v>113.10000000000002</v>
      </c>
      <c r="BG8" s="713">
        <f t="shared" si="8"/>
        <v>454</v>
      </c>
      <c r="BH8" s="713">
        <f t="shared" si="8"/>
        <v>129.19999999999999</v>
      </c>
      <c r="BI8" s="713">
        <f t="shared" si="8"/>
        <v>129.10000000000002</v>
      </c>
      <c r="BJ8" s="713">
        <f t="shared" si="8"/>
        <v>122</v>
      </c>
      <c r="BK8" s="713">
        <f t="shared" si="8"/>
        <v>128.5</v>
      </c>
      <c r="BL8" s="713">
        <f t="shared" si="8"/>
        <v>508.79999999999973</v>
      </c>
      <c r="BM8" s="713">
        <f t="shared" si="8"/>
        <v>141.80000000000001</v>
      </c>
      <c r="BN8" s="713">
        <f t="shared" si="8"/>
        <v>139.09999999999997</v>
      </c>
      <c r="BO8" s="713">
        <f t="shared" si="8"/>
        <v>124.10000000000002</v>
      </c>
      <c r="BP8" s="713">
        <f t="shared" si="8"/>
        <v>127.79999999999995</v>
      </c>
      <c r="BQ8" s="713">
        <f t="shared" si="8"/>
        <v>532.79999999999973</v>
      </c>
      <c r="BR8" s="713">
        <f t="shared" si="8"/>
        <v>143</v>
      </c>
      <c r="BS8" s="713">
        <f t="shared" si="8"/>
        <v>150.30000000000001</v>
      </c>
      <c r="BT8" s="713">
        <f t="shared" si="8"/>
        <v>135.69999999999999</v>
      </c>
      <c r="BU8" s="713">
        <f t="shared" si="8"/>
        <v>135.60000000000002</v>
      </c>
      <c r="BV8" s="713">
        <f t="shared" si="8"/>
        <v>564.60000000000014</v>
      </c>
      <c r="BW8" s="713">
        <f t="shared" si="8"/>
        <v>134.10000000000002</v>
      </c>
      <c r="BX8" s="713">
        <f t="shared" si="8"/>
        <v>139.90000000000003</v>
      </c>
      <c r="BY8" s="713">
        <f t="shared" si="8"/>
        <v>135.60000000000002</v>
      </c>
      <c r="BZ8" s="713">
        <f t="shared" si="8"/>
        <v>142.19999999999999</v>
      </c>
      <c r="CA8" s="713">
        <f t="shared" si="8"/>
        <v>551.79999999999995</v>
      </c>
      <c r="CB8" s="713">
        <f t="shared" si="8"/>
        <v>142.60000000000002</v>
      </c>
      <c r="CC8" s="713">
        <f t="shared" si="8"/>
        <v>144.80000000000001</v>
      </c>
      <c r="CD8" s="713">
        <f t="shared" si="8"/>
        <v>143</v>
      </c>
      <c r="CE8" s="713">
        <f t="shared" si="8"/>
        <v>150.39999999999998</v>
      </c>
      <c r="CF8" s="713">
        <f t="shared" si="8"/>
        <v>580.79999999999973</v>
      </c>
      <c r="CG8" s="713">
        <f t="shared" si="8"/>
        <v>167.2</v>
      </c>
      <c r="CH8" s="713">
        <f t="shared" si="8"/>
        <v>168.8</v>
      </c>
      <c r="CI8" s="713">
        <f t="shared" si="8"/>
        <v>157.89999999999998</v>
      </c>
      <c r="CJ8" s="713">
        <f t="shared" si="8"/>
        <v>146.49999999999994</v>
      </c>
      <c r="CK8" s="713">
        <f t="shared" si="8"/>
        <v>640.39999999999986</v>
      </c>
      <c r="CL8" s="616">
        <f t="shared" si="8"/>
        <v>140.89999999999998</v>
      </c>
      <c r="CM8" s="616"/>
      <c r="CN8" s="616"/>
      <c r="CO8" s="616"/>
    </row>
    <row r="9" spans="1:97">
      <c r="B9" s="498" t="s">
        <v>87</v>
      </c>
      <c r="C9" s="498">
        <v>-102.449</v>
      </c>
      <c r="D9" s="498">
        <v>-117.88500000000001</v>
      </c>
      <c r="E9" s="498">
        <v>-128.69999999999999</v>
      </c>
      <c r="F9" s="498">
        <v>-123.9</v>
      </c>
      <c r="G9" s="498">
        <v>-120.9</v>
      </c>
      <c r="H9" s="498">
        <v>-85.9</v>
      </c>
      <c r="I9" s="498">
        <v>-95</v>
      </c>
      <c r="J9" s="498">
        <v>-25.5</v>
      </c>
      <c r="K9" s="498">
        <v>-28.2</v>
      </c>
      <c r="L9" s="498">
        <v>-28.9</v>
      </c>
      <c r="M9" s="498">
        <f t="shared" si="0"/>
        <v>-30.5</v>
      </c>
      <c r="N9" s="498">
        <v>-113.1</v>
      </c>
      <c r="O9" s="498">
        <v>-26.6</v>
      </c>
      <c r="P9" s="498">
        <v>-28.2</v>
      </c>
      <c r="Q9" s="498">
        <v>-26.9</v>
      </c>
      <c r="R9" s="498">
        <f t="shared" si="1"/>
        <v>-24.900000000000006</v>
      </c>
      <c r="S9" s="498">
        <v>-106.6</v>
      </c>
      <c r="T9" s="498">
        <v>-30.7</v>
      </c>
      <c r="U9" s="498">
        <v>-28.8</v>
      </c>
      <c r="V9" s="498">
        <v>-26.6</v>
      </c>
      <c r="W9" s="498">
        <f t="shared" si="2"/>
        <v>-27.100000000000009</v>
      </c>
      <c r="X9" s="498">
        <v>-113.2</v>
      </c>
      <c r="Y9" s="498">
        <v>-31</v>
      </c>
      <c r="Z9" s="498">
        <v>-27.4</v>
      </c>
      <c r="AA9" s="498">
        <v>-26.4</v>
      </c>
      <c r="AB9" s="498">
        <f t="shared" si="3"/>
        <v>-29.200000000000003</v>
      </c>
      <c r="AC9" s="498">
        <v>-114</v>
      </c>
      <c r="AD9" s="498">
        <v>-31.9</v>
      </c>
      <c r="AE9" s="498">
        <v>-30</v>
      </c>
      <c r="AF9" s="498">
        <v>-26.9</v>
      </c>
      <c r="AG9" s="498">
        <f t="shared" si="4"/>
        <v>-24.100000000000009</v>
      </c>
      <c r="AH9" s="498">
        <v>-112.9</v>
      </c>
      <c r="AI9" s="498">
        <v>-29.3</v>
      </c>
      <c r="AJ9" s="498">
        <v>-25.3</v>
      </c>
      <c r="AK9" s="498">
        <v>-25.8</v>
      </c>
      <c r="AL9" s="604">
        <v>-26.8</v>
      </c>
      <c r="AM9" s="498">
        <f>SUM(AI9:AL9)</f>
        <v>-107.2</v>
      </c>
      <c r="AN9" s="498">
        <v>-31.4</v>
      </c>
      <c r="AO9" s="604">
        <v>-29.6</v>
      </c>
      <c r="AP9" s="604">
        <v>-28.7</v>
      </c>
      <c r="AQ9" s="498">
        <f t="shared" si="5"/>
        <v>-28.799999999999997</v>
      </c>
      <c r="AR9" s="498">
        <v>-118.5</v>
      </c>
      <c r="AS9" s="498">
        <v>-32.9</v>
      </c>
      <c r="AT9" s="604">
        <v>-29.7</v>
      </c>
      <c r="AU9" s="604">
        <v>-29.9</v>
      </c>
      <c r="AV9" s="498">
        <v>-28</v>
      </c>
      <c r="AW9" s="611">
        <f>SUM(AS9:AV9)</f>
        <v>-120.5</v>
      </c>
      <c r="AX9" s="604">
        <v>-36.6</v>
      </c>
      <c r="AY9" s="604">
        <v>-32.5</v>
      </c>
      <c r="AZ9" s="604">
        <v>-30.3</v>
      </c>
      <c r="BA9" s="604">
        <v>-31.3</v>
      </c>
      <c r="BB9" s="498">
        <f>SUM(AX9:BA9)</f>
        <v>-130.69999999999999</v>
      </c>
      <c r="BC9" s="604">
        <v>-38</v>
      </c>
      <c r="BD9" s="604">
        <v>-34.799999999999997</v>
      </c>
      <c r="BE9" s="604">
        <v>-32.9</v>
      </c>
      <c r="BF9" s="604">
        <v>-35.700000000000003</v>
      </c>
      <c r="BG9" s="498">
        <f>SUM(BC9:BF9)</f>
        <v>-141.39999999999998</v>
      </c>
      <c r="BH9" s="604">
        <v>-41</v>
      </c>
      <c r="BI9" s="611">
        <v>-37.1</v>
      </c>
      <c r="BJ9" s="604">
        <v>-32.9</v>
      </c>
      <c r="BK9" s="604">
        <v>-38.1</v>
      </c>
      <c r="BL9" s="498">
        <f>SUM(BH9:BK9)</f>
        <v>-149.1</v>
      </c>
      <c r="BM9" s="604">
        <v>-46.7</v>
      </c>
      <c r="BN9" s="611">
        <v>-38.1</v>
      </c>
      <c r="BO9" s="604">
        <v>-35.5</v>
      </c>
      <c r="BP9" s="604">
        <v>-35.799999999999997</v>
      </c>
      <c r="BQ9" s="498">
        <f>SUM(BM9:BP9)</f>
        <v>-156.10000000000002</v>
      </c>
      <c r="BR9" s="604">
        <v>-47.4</v>
      </c>
      <c r="BS9" s="611">
        <v>-38.6</v>
      </c>
      <c r="BT9" s="604">
        <v>-35.1</v>
      </c>
      <c r="BU9" s="604">
        <v>-36.5</v>
      </c>
      <c r="BV9" s="498">
        <f>SUM(BR9:BU9)</f>
        <v>-157.6</v>
      </c>
      <c r="BW9" s="604">
        <v>-42.9</v>
      </c>
      <c r="BX9" s="604">
        <v>-38.1</v>
      </c>
      <c r="BY9" s="604">
        <v>-34.700000000000003</v>
      </c>
      <c r="BZ9" s="604">
        <v>-36.1</v>
      </c>
      <c r="CA9" s="498">
        <f>SUM(BW9:BZ9)</f>
        <v>-151.80000000000001</v>
      </c>
      <c r="CB9" s="604">
        <v>-46.4</v>
      </c>
      <c r="CC9" s="611">
        <v>-35.299999999999997</v>
      </c>
      <c r="CD9" s="604">
        <v>-32.6</v>
      </c>
      <c r="CE9" s="604">
        <v>-31.7</v>
      </c>
      <c r="CF9" s="690">
        <f>SUM(CB9:CE9)</f>
        <v>-145.99999999999997</v>
      </c>
      <c r="CG9" s="604">
        <v>-49.5</v>
      </c>
      <c r="CH9" s="611">
        <v>-39.5</v>
      </c>
      <c r="CI9" s="604">
        <v>-33.799999999999997</v>
      </c>
      <c r="CJ9" s="604">
        <v>-35.9</v>
      </c>
      <c r="CK9" s="690">
        <f>SUM(CG9:CJ9)</f>
        <v>-158.69999999999999</v>
      </c>
      <c r="CL9" s="604">
        <v>-46.5</v>
      </c>
      <c r="CM9" s="611"/>
      <c r="CN9" s="604"/>
      <c r="CO9" s="604"/>
    </row>
    <row r="10" spans="1:97">
      <c r="B10" s="498" t="s">
        <v>88</v>
      </c>
      <c r="C10" s="498">
        <v>-18.382999999999999</v>
      </c>
      <c r="D10" s="498">
        <v>-23.623999999999999</v>
      </c>
      <c r="E10" s="498">
        <v>-24.8</v>
      </c>
      <c r="F10" s="498">
        <v>-21.2</v>
      </c>
      <c r="G10" s="498">
        <v>-18.600000000000001</v>
      </c>
      <c r="H10" s="498">
        <v>-14.7</v>
      </c>
      <c r="I10" s="498">
        <v>-17.7</v>
      </c>
      <c r="J10" s="498">
        <v>-4.9000000000000004</v>
      </c>
      <c r="K10" s="498">
        <v>-5</v>
      </c>
      <c r="L10" s="498">
        <v>-5.3</v>
      </c>
      <c r="M10" s="498">
        <f t="shared" si="0"/>
        <v>-6.1000000000000014</v>
      </c>
      <c r="N10" s="498">
        <v>-21.3</v>
      </c>
      <c r="O10" s="498">
        <v>-5.7</v>
      </c>
      <c r="P10" s="498">
        <v>-6</v>
      </c>
      <c r="Q10" s="498">
        <v>-6</v>
      </c>
      <c r="R10" s="498">
        <f t="shared" si="1"/>
        <v>-7.6999999999999993</v>
      </c>
      <c r="S10" s="498">
        <v>-25.4</v>
      </c>
      <c r="T10" s="498">
        <v>-7.6</v>
      </c>
      <c r="U10" s="498">
        <v>-7.5</v>
      </c>
      <c r="V10" s="498">
        <v>-6.3</v>
      </c>
      <c r="W10" s="498">
        <f t="shared" si="2"/>
        <v>-9</v>
      </c>
      <c r="X10" s="498">
        <v>-30.4</v>
      </c>
      <c r="Y10" s="498">
        <v>-9.5</v>
      </c>
      <c r="Z10" s="498">
        <v>-8.5</v>
      </c>
      <c r="AA10" s="498">
        <v>-7.7</v>
      </c>
      <c r="AB10" s="498">
        <f t="shared" si="3"/>
        <v>-8.5000000000000036</v>
      </c>
      <c r="AC10" s="498">
        <v>-34.200000000000003</v>
      </c>
      <c r="AD10" s="498">
        <v>-8.5</v>
      </c>
      <c r="AE10" s="498">
        <v>-8</v>
      </c>
      <c r="AF10" s="498">
        <v>-7.6</v>
      </c>
      <c r="AG10" s="498">
        <f t="shared" si="4"/>
        <v>-7.2999999999999972</v>
      </c>
      <c r="AH10" s="498">
        <v>-31.4</v>
      </c>
      <c r="AI10" s="498">
        <v>-7.8</v>
      </c>
      <c r="AJ10" s="498">
        <v>-6.4</v>
      </c>
      <c r="AK10" s="498">
        <v>-8.4</v>
      </c>
      <c r="AL10" s="604">
        <v>-7.5</v>
      </c>
      <c r="AM10" s="498">
        <f>SUM(AI10:AL10)</f>
        <v>-30.1</v>
      </c>
      <c r="AN10" s="498">
        <v>-7.4</v>
      </c>
      <c r="AO10" s="604">
        <v>-8.3000000000000007</v>
      </c>
      <c r="AP10" s="604">
        <v>-7.3</v>
      </c>
      <c r="AQ10" s="498">
        <f t="shared" si="5"/>
        <v>-7.8000000000000007</v>
      </c>
      <c r="AR10" s="498">
        <v>-30.8</v>
      </c>
      <c r="AS10" s="498">
        <v>-8.6</v>
      </c>
      <c r="AT10" s="604">
        <v>-7.9</v>
      </c>
      <c r="AU10" s="604">
        <v>-7.9</v>
      </c>
      <c r="AV10" s="498">
        <v>-8.1999999999999993</v>
      </c>
      <c r="AW10" s="611">
        <f>SUM(AS10:AV10)</f>
        <v>-32.599999999999994</v>
      </c>
      <c r="AX10" s="604">
        <v>-9.1999999999999993</v>
      </c>
      <c r="AY10" s="604">
        <v>-8.6</v>
      </c>
      <c r="AZ10" s="604">
        <v>-8.9</v>
      </c>
      <c r="BA10" s="604">
        <v>-10</v>
      </c>
      <c r="BB10" s="498">
        <f>SUM(AX10:BA10)</f>
        <v>-36.699999999999996</v>
      </c>
      <c r="BC10" s="604">
        <v>-11</v>
      </c>
      <c r="BD10" s="604">
        <v>-10.1</v>
      </c>
      <c r="BE10" s="604">
        <v>-10.199999999999999</v>
      </c>
      <c r="BF10" s="604">
        <v>-10.4</v>
      </c>
      <c r="BG10" s="498">
        <f>SUM(BC10:BF10)</f>
        <v>-41.7</v>
      </c>
      <c r="BH10" s="604">
        <v>-13.6</v>
      </c>
      <c r="BI10" s="611">
        <v>-10.9</v>
      </c>
      <c r="BJ10" s="604">
        <v>-10.1</v>
      </c>
      <c r="BK10" s="604">
        <v>-13.3</v>
      </c>
      <c r="BL10" s="498">
        <f>SUM(BH10:BK10)</f>
        <v>-47.900000000000006</v>
      </c>
      <c r="BM10" s="604">
        <v>-12.5</v>
      </c>
      <c r="BN10" s="611">
        <v>-10.4</v>
      </c>
      <c r="BO10" s="604">
        <v>-10.6</v>
      </c>
      <c r="BP10" s="604">
        <v>-10.8</v>
      </c>
      <c r="BQ10" s="498">
        <f>SUM(BM10:BP10)</f>
        <v>-44.3</v>
      </c>
      <c r="BR10" s="604">
        <v>-11.7</v>
      </c>
      <c r="BS10" s="611">
        <v>-11.6</v>
      </c>
      <c r="BT10" s="604">
        <v>-11.5</v>
      </c>
      <c r="BU10" s="604">
        <v>-12.1</v>
      </c>
      <c r="BV10" s="498">
        <f>SUM(BR10:BU10)</f>
        <v>-46.9</v>
      </c>
      <c r="BW10" s="604">
        <v>-12.6</v>
      </c>
      <c r="BX10" s="604">
        <v>-12.1</v>
      </c>
      <c r="BY10" s="604">
        <v>-11.8</v>
      </c>
      <c r="BZ10" s="604">
        <v>-12.9</v>
      </c>
      <c r="CA10" s="498">
        <f>SUM(BW10:BZ10)</f>
        <v>-49.4</v>
      </c>
      <c r="CB10" s="604">
        <v>-13.8</v>
      </c>
      <c r="CC10" s="611">
        <v>-13</v>
      </c>
      <c r="CD10" s="604">
        <v>-13.9</v>
      </c>
      <c r="CE10" s="604">
        <v>-15.2</v>
      </c>
      <c r="CF10" s="690">
        <f>SUM(CB10:CE10)</f>
        <v>-55.900000000000006</v>
      </c>
      <c r="CG10" s="604">
        <v>-14.9</v>
      </c>
      <c r="CH10" s="611">
        <v>-14.2</v>
      </c>
      <c r="CI10" s="604">
        <v>-14.2</v>
      </c>
      <c r="CJ10" s="604">
        <v>-13.2</v>
      </c>
      <c r="CK10" s="690">
        <f>SUM(CG10:CJ10)</f>
        <v>-56.5</v>
      </c>
      <c r="CL10" s="604">
        <v>-14</v>
      </c>
      <c r="CM10" s="611"/>
      <c r="CN10" s="604"/>
      <c r="CO10" s="604"/>
    </row>
    <row r="11" spans="1:97">
      <c r="B11" s="498" t="s">
        <v>81</v>
      </c>
      <c r="C11" s="613">
        <v>-25.343</v>
      </c>
      <c r="D11" s="613">
        <v>-12.711</v>
      </c>
      <c r="E11" s="613">
        <v>-20.100000000000001</v>
      </c>
      <c r="F11" s="613">
        <v>-10.9</v>
      </c>
      <c r="G11" s="613">
        <f>-58.4-309.1</f>
        <v>-367.5</v>
      </c>
      <c r="H11" s="613">
        <v>-0.5</v>
      </c>
      <c r="I11" s="613">
        <v>-4</v>
      </c>
      <c r="J11" s="613">
        <v>-0.5</v>
      </c>
      <c r="K11" s="613">
        <f>-0.9-1.5</f>
        <v>-2.4</v>
      </c>
      <c r="L11" s="613">
        <f>-0.6-1.5</f>
        <v>-2.1</v>
      </c>
      <c r="M11" s="613">
        <f t="shared" si="0"/>
        <v>-0.90000000000000036</v>
      </c>
      <c r="N11" s="613">
        <f>-2.9-3</f>
        <v>-5.9</v>
      </c>
      <c r="O11" s="613">
        <f>-0.4-0.2</f>
        <v>-0.60000000000000009</v>
      </c>
      <c r="P11" s="613">
        <f>-0.4+0.9</f>
        <v>0.5</v>
      </c>
      <c r="Q11" s="613">
        <f>-1-15.8</f>
        <v>-16.8</v>
      </c>
      <c r="R11" s="613">
        <f t="shared" si="1"/>
        <v>-1.0999999999999979</v>
      </c>
      <c r="S11" s="613">
        <f>-2.9-15.1</f>
        <v>-18</v>
      </c>
      <c r="T11" s="613">
        <v>-3</v>
      </c>
      <c r="U11" s="613">
        <v>-1.1000000000000001</v>
      </c>
      <c r="V11" s="613">
        <v>-1.4</v>
      </c>
      <c r="W11" s="613">
        <f t="shared" si="2"/>
        <v>-9.3000000000000007</v>
      </c>
      <c r="X11" s="613">
        <v>-14.8</v>
      </c>
      <c r="Y11" s="613">
        <v>-1.1000000000000001</v>
      </c>
      <c r="Z11" s="613">
        <v>-0.5</v>
      </c>
      <c r="AA11" s="613">
        <v>-2.6</v>
      </c>
      <c r="AB11" s="613">
        <f t="shared" si="3"/>
        <v>-15.7</v>
      </c>
      <c r="AC11" s="613">
        <f>-7.3-12.6</f>
        <v>-19.899999999999999</v>
      </c>
      <c r="AD11" s="613">
        <f>-0.6-2.7</f>
        <v>-3.3000000000000003</v>
      </c>
      <c r="AE11" s="613">
        <f>-1.2-7.6</f>
        <v>-8.7999999999999989</v>
      </c>
      <c r="AF11" s="613">
        <v>-0.7</v>
      </c>
      <c r="AG11" s="613">
        <f t="shared" si="4"/>
        <v>-1.2000000000000011</v>
      </c>
      <c r="AH11" s="613">
        <f>-3.8-10.2</f>
        <v>-14</v>
      </c>
      <c r="AI11" s="613">
        <v>0</v>
      </c>
      <c r="AJ11" s="613">
        <v>-1.7</v>
      </c>
      <c r="AK11" s="613">
        <v>1.7</v>
      </c>
      <c r="AL11" s="604">
        <v>-7.5</v>
      </c>
      <c r="AM11" s="613">
        <f>SUM(AI11:AL11)</f>
        <v>-7.5</v>
      </c>
      <c r="AN11" s="613">
        <v>-3.5</v>
      </c>
      <c r="AO11" s="604">
        <v>0</v>
      </c>
      <c r="AP11" s="614">
        <v>0</v>
      </c>
      <c r="AQ11" s="613">
        <f t="shared" si="5"/>
        <v>0</v>
      </c>
      <c r="AR11" s="613">
        <v>-3.5</v>
      </c>
      <c r="AS11" s="613">
        <v>5.7</v>
      </c>
      <c r="AT11" s="614">
        <v>0</v>
      </c>
      <c r="AU11" s="614">
        <v>-2.7</v>
      </c>
      <c r="AV11" s="613">
        <v>0</v>
      </c>
      <c r="AW11" s="615">
        <f>SUM(AS11:AV11)</f>
        <v>3</v>
      </c>
      <c r="AX11" s="604">
        <v>0</v>
      </c>
      <c r="AY11" s="604">
        <v>9.5</v>
      </c>
      <c r="AZ11" s="604">
        <v>0</v>
      </c>
      <c r="BA11" s="604">
        <v>0</v>
      </c>
      <c r="BB11" s="498">
        <f>SUM(AX11:BA11)</f>
        <v>9.5</v>
      </c>
      <c r="BC11" s="604">
        <v>0</v>
      </c>
      <c r="BD11" s="604">
        <v>0</v>
      </c>
      <c r="BE11" s="604">
        <v>0</v>
      </c>
      <c r="BF11" s="604">
        <v>0</v>
      </c>
      <c r="BG11" s="498">
        <f>SUM(BC11:BF11)</f>
        <v>0</v>
      </c>
      <c r="BH11" s="604">
        <v>0</v>
      </c>
      <c r="BI11" s="611">
        <v>-6</v>
      </c>
      <c r="BJ11" s="604">
        <v>0</v>
      </c>
      <c r="BK11" s="604">
        <v>0</v>
      </c>
      <c r="BL11" s="498">
        <f>SUM(BH11:BK11)</f>
        <v>-6</v>
      </c>
      <c r="BM11" s="604">
        <v>0</v>
      </c>
      <c r="BN11" s="611">
        <v>0</v>
      </c>
      <c r="BO11" s="611">
        <v>0</v>
      </c>
      <c r="BP11" s="611">
        <v>0</v>
      </c>
      <c r="BQ11" s="498">
        <f>SUM(BM11:BP11)</f>
        <v>0</v>
      </c>
      <c r="BR11" s="611">
        <v>0</v>
      </c>
      <c r="BS11" s="611">
        <v>0</v>
      </c>
      <c r="BT11" s="604">
        <v>0</v>
      </c>
      <c r="BU11" s="611">
        <v>0</v>
      </c>
      <c r="BV11" s="498">
        <f>SUM(BR11:BU11)</f>
        <v>0</v>
      </c>
      <c r="BW11" s="611">
        <v>0</v>
      </c>
      <c r="BX11" s="611"/>
      <c r="BY11" s="604"/>
      <c r="BZ11" s="604"/>
      <c r="CA11" s="498">
        <f>SUM(BW11:BZ11)</f>
        <v>0</v>
      </c>
      <c r="CB11" s="604"/>
      <c r="CC11" s="611"/>
      <c r="CD11" s="604"/>
      <c r="CE11" s="604">
        <v>-7.7</v>
      </c>
      <c r="CF11" s="690">
        <f>SUM(CB11:CE11)</f>
        <v>-7.7</v>
      </c>
      <c r="CG11" s="604"/>
      <c r="CH11" s="611"/>
      <c r="CI11" s="604"/>
      <c r="CJ11" s="604"/>
      <c r="CK11" s="690">
        <f>SUM(CG11:CJ11)</f>
        <v>0</v>
      </c>
      <c r="CL11" s="604">
        <v>-14.7</v>
      </c>
      <c r="CM11" s="611"/>
      <c r="CN11" s="604"/>
      <c r="CO11" s="604"/>
    </row>
    <row r="12" spans="1:97">
      <c r="B12" s="526" t="s">
        <v>82</v>
      </c>
      <c r="C12" s="526">
        <f t="shared" ref="C12:L12" si="9">SUM(C8:C11)</f>
        <v>76.457000000000065</v>
      </c>
      <c r="D12" s="526">
        <f t="shared" si="9"/>
        <v>117.03900000000014</v>
      </c>
      <c r="E12" s="526">
        <f t="shared" si="9"/>
        <v>68.900000000000006</v>
      </c>
      <c r="F12" s="526">
        <f t="shared" si="9"/>
        <v>75.400000000000077</v>
      </c>
      <c r="G12" s="526">
        <f t="shared" si="9"/>
        <v>-316.20000000000005</v>
      </c>
      <c r="H12" s="526">
        <f t="shared" si="9"/>
        <v>60.199999999999946</v>
      </c>
      <c r="I12" s="526">
        <f t="shared" si="9"/>
        <v>57.8</v>
      </c>
      <c r="J12" s="526">
        <f t="shared" si="9"/>
        <v>23.700000000000024</v>
      </c>
      <c r="K12" s="526">
        <f t="shared" si="9"/>
        <v>25.9</v>
      </c>
      <c r="L12" s="526">
        <f t="shared" si="9"/>
        <v>18.600000000000033</v>
      </c>
      <c r="M12" s="526">
        <f t="shared" si="0"/>
        <v>20.599999999999966</v>
      </c>
      <c r="N12" s="526">
        <f>SUM(N8:N11)</f>
        <v>88.800000000000026</v>
      </c>
      <c r="O12" s="526">
        <f>SUM(O8:O11)</f>
        <v>32.900000000000006</v>
      </c>
      <c r="P12" s="526">
        <f>SUM(P8:P11)</f>
        <v>36.90000000000002</v>
      </c>
      <c r="Q12" s="526">
        <f>SUM(Q8:Q11)</f>
        <v>8.7000000000000348</v>
      </c>
      <c r="R12" s="526">
        <f t="shared" si="1"/>
        <v>25.699999999999989</v>
      </c>
      <c r="S12" s="526">
        <f>SUM(S8:S11)</f>
        <v>104.20000000000005</v>
      </c>
      <c r="T12" s="526">
        <f>SUM(T8:T11)</f>
        <v>29.79999999999999</v>
      </c>
      <c r="U12" s="526">
        <f>SUM(U8:U11)</f>
        <v>34.29999999999999</v>
      </c>
      <c r="V12" s="526">
        <f>SUM(V8:V11)</f>
        <v>25.700000000000028</v>
      </c>
      <c r="W12" s="526">
        <f t="shared" si="2"/>
        <v>16.599999999999952</v>
      </c>
      <c r="X12" s="526">
        <f>SUM(X8:X11)</f>
        <v>106.39999999999996</v>
      </c>
      <c r="Y12" s="526">
        <f>SUM(Y8:Y11)</f>
        <v>29.900000000000027</v>
      </c>
      <c r="Z12" s="526">
        <f>SUM(Z8:Z11)</f>
        <v>34.000000000000007</v>
      </c>
      <c r="AA12" s="526">
        <f>SUM(AA8:AA11)</f>
        <v>30.200000000000031</v>
      </c>
      <c r="AB12" s="526">
        <f t="shared" si="3"/>
        <v>20.899999999999849</v>
      </c>
      <c r="AC12" s="526">
        <f>SUM(AC8:AC11)</f>
        <v>114.99999999999991</v>
      </c>
      <c r="AD12" s="526">
        <f>SUM(AD8:AD11)</f>
        <v>36.400000000000027</v>
      </c>
      <c r="AE12" s="526">
        <f>SUM(AE8:AE11)</f>
        <v>29.300000000000026</v>
      </c>
      <c r="AF12" s="526">
        <f>SUM(AF8:AF11)</f>
        <v>35.899999999999963</v>
      </c>
      <c r="AG12" s="526">
        <f t="shared" si="4"/>
        <v>29.300000000000026</v>
      </c>
      <c r="AH12" s="526">
        <f t="shared" ref="AH12:AP12" si="10">SUM(AH8:AH11)</f>
        <v>130.90000000000003</v>
      </c>
      <c r="AI12" s="526">
        <f t="shared" si="10"/>
        <v>39.900000000000006</v>
      </c>
      <c r="AJ12" s="526">
        <f t="shared" si="10"/>
        <v>29.700000000000028</v>
      </c>
      <c r="AK12" s="526">
        <f t="shared" si="10"/>
        <v>19.600000000000019</v>
      </c>
      <c r="AL12" s="526">
        <f t="shared" si="10"/>
        <v>14.500000000000011</v>
      </c>
      <c r="AM12" s="526">
        <f t="shared" si="10"/>
        <v>103.70000000000024</v>
      </c>
      <c r="AN12" s="526">
        <f t="shared" si="10"/>
        <v>23.799999999999997</v>
      </c>
      <c r="AO12" s="526">
        <f t="shared" si="10"/>
        <v>40.500000000000028</v>
      </c>
      <c r="AP12" s="526">
        <f t="shared" si="10"/>
        <v>34.5</v>
      </c>
      <c r="AQ12" s="526">
        <f t="shared" si="5"/>
        <v>30.999999999999872</v>
      </c>
      <c r="AR12" s="526">
        <f t="shared" ref="AR12:CL12" si="11">SUM(AR8:AR11)</f>
        <v>129.7999999999999</v>
      </c>
      <c r="AS12" s="526">
        <f t="shared" si="11"/>
        <v>47.200000000000031</v>
      </c>
      <c r="AT12" s="603">
        <f t="shared" si="11"/>
        <v>49.4</v>
      </c>
      <c r="AU12" s="603">
        <f t="shared" si="11"/>
        <v>46</v>
      </c>
      <c r="AV12" s="603">
        <f t="shared" si="11"/>
        <v>49.40000000000002</v>
      </c>
      <c r="AW12" s="616">
        <f t="shared" si="11"/>
        <v>191.99999999999991</v>
      </c>
      <c r="AX12" s="603">
        <f t="shared" si="11"/>
        <v>60.600000000000037</v>
      </c>
      <c r="AY12" s="603">
        <f t="shared" si="11"/>
        <v>73.900000000000006</v>
      </c>
      <c r="AZ12" s="603">
        <f t="shared" si="11"/>
        <v>60.00000000000005</v>
      </c>
      <c r="BA12" s="603">
        <f t="shared" si="11"/>
        <v>54.300000000000026</v>
      </c>
      <c r="BB12" s="526">
        <f t="shared" si="11"/>
        <v>248.80000000000007</v>
      </c>
      <c r="BC12" s="603">
        <f t="shared" si="11"/>
        <v>63</v>
      </c>
      <c r="BD12" s="603">
        <f t="shared" si="11"/>
        <v>71.90000000000002</v>
      </c>
      <c r="BE12" s="603">
        <f t="shared" si="11"/>
        <v>69.000000000000014</v>
      </c>
      <c r="BF12" s="603">
        <f t="shared" si="11"/>
        <v>67.000000000000014</v>
      </c>
      <c r="BG12" s="526">
        <f t="shared" si="11"/>
        <v>270.90000000000003</v>
      </c>
      <c r="BH12" s="686">
        <f t="shared" si="11"/>
        <v>74.599999999999994</v>
      </c>
      <c r="BI12" s="688">
        <f t="shared" si="11"/>
        <v>75.100000000000023</v>
      </c>
      <c r="BJ12" s="686">
        <f t="shared" si="11"/>
        <v>79</v>
      </c>
      <c r="BK12" s="686">
        <f t="shared" si="11"/>
        <v>77.100000000000009</v>
      </c>
      <c r="BL12" s="526">
        <f t="shared" si="11"/>
        <v>305.79999999999973</v>
      </c>
      <c r="BM12" s="686">
        <f t="shared" si="11"/>
        <v>82.600000000000009</v>
      </c>
      <c r="BN12" s="686">
        <f t="shared" si="11"/>
        <v>90.599999999999966</v>
      </c>
      <c r="BO12" s="686">
        <f t="shared" si="11"/>
        <v>78.000000000000028</v>
      </c>
      <c r="BP12" s="686">
        <f t="shared" si="11"/>
        <v>81.19999999999996</v>
      </c>
      <c r="BQ12" s="526">
        <f t="shared" si="11"/>
        <v>332.39999999999969</v>
      </c>
      <c r="BR12" s="686">
        <f t="shared" si="11"/>
        <v>83.899999999999991</v>
      </c>
      <c r="BS12" s="686">
        <f t="shared" si="11"/>
        <v>100.10000000000002</v>
      </c>
      <c r="BT12" s="686">
        <f t="shared" si="11"/>
        <v>89.1</v>
      </c>
      <c r="BU12" s="686">
        <f t="shared" si="11"/>
        <v>87.000000000000028</v>
      </c>
      <c r="BV12" s="526">
        <f t="shared" si="11"/>
        <v>360.10000000000014</v>
      </c>
      <c r="BW12" s="686">
        <f t="shared" si="11"/>
        <v>78.600000000000023</v>
      </c>
      <c r="BX12" s="686">
        <f t="shared" si="11"/>
        <v>89.700000000000045</v>
      </c>
      <c r="BY12" s="686">
        <f t="shared" si="11"/>
        <v>89.100000000000023</v>
      </c>
      <c r="BZ12" s="686">
        <f t="shared" si="11"/>
        <v>93.199999999999989</v>
      </c>
      <c r="CA12" s="526">
        <f t="shared" si="11"/>
        <v>350.59999999999997</v>
      </c>
      <c r="CB12" s="686">
        <f t="shared" si="11"/>
        <v>82.40000000000002</v>
      </c>
      <c r="CC12" s="686">
        <f t="shared" si="11"/>
        <v>96.500000000000014</v>
      </c>
      <c r="CD12" s="686">
        <f t="shared" si="11"/>
        <v>96.5</v>
      </c>
      <c r="CE12" s="686">
        <f t="shared" si="11"/>
        <v>95.799999999999969</v>
      </c>
      <c r="CF12" s="689">
        <f t="shared" si="11"/>
        <v>371.19999999999976</v>
      </c>
      <c r="CG12" s="686">
        <f t="shared" si="11"/>
        <v>102.79999999999998</v>
      </c>
      <c r="CH12" s="686">
        <f t="shared" si="11"/>
        <v>115.10000000000001</v>
      </c>
      <c r="CI12" s="686">
        <f t="shared" si="11"/>
        <v>109.89999999999998</v>
      </c>
      <c r="CJ12" s="686">
        <f t="shared" si="11"/>
        <v>97.399999999999935</v>
      </c>
      <c r="CK12" s="689">
        <f t="shared" si="11"/>
        <v>425.19999999999987</v>
      </c>
      <c r="CL12" s="618">
        <f t="shared" si="11"/>
        <v>65.699999999999974</v>
      </c>
      <c r="CM12" s="618"/>
      <c r="CN12" s="618"/>
      <c r="CO12" s="618"/>
      <c r="CP12" s="526"/>
      <c r="CQ12" s="526"/>
      <c r="CR12" s="526"/>
      <c r="CS12" s="526"/>
    </row>
    <row r="13" spans="1:97">
      <c r="B13" s="498" t="s">
        <v>83</v>
      </c>
      <c r="C13" s="498">
        <v>-25.704999999999998</v>
      </c>
      <c r="D13" s="498">
        <v>-38.674999999999997</v>
      </c>
      <c r="E13" s="498">
        <v>-73.900000000000006</v>
      </c>
      <c r="F13" s="498">
        <v>-68.7</v>
      </c>
      <c r="G13" s="498">
        <v>-64.8</v>
      </c>
      <c r="H13" s="498">
        <v>-62.8</v>
      </c>
      <c r="I13" s="498">
        <v>-53.6</v>
      </c>
      <c r="J13" s="498">
        <v>-12.4</v>
      </c>
      <c r="K13" s="498">
        <v>-11.9</v>
      </c>
      <c r="L13" s="498">
        <v>-12</v>
      </c>
      <c r="M13" s="498">
        <f t="shared" si="0"/>
        <v>-11.400000000000006</v>
      </c>
      <c r="N13" s="498">
        <v>-47.7</v>
      </c>
      <c r="O13" s="498">
        <v>-11.9</v>
      </c>
      <c r="P13" s="498">
        <v>-7.4</v>
      </c>
      <c r="Q13" s="498">
        <v>-7.4</v>
      </c>
      <c r="R13" s="498">
        <f t="shared" si="1"/>
        <v>-7.1999999999999957</v>
      </c>
      <c r="S13" s="498">
        <v>-33.9</v>
      </c>
      <c r="T13" s="498">
        <v>-7.8</v>
      </c>
      <c r="U13" s="498">
        <v>-7.1</v>
      </c>
      <c r="V13" s="498">
        <v>-6.8</v>
      </c>
      <c r="W13" s="498">
        <f t="shared" si="2"/>
        <v>-6.3000000000000007</v>
      </c>
      <c r="X13" s="498">
        <v>-28</v>
      </c>
      <c r="Y13" s="498">
        <v>-5.7</v>
      </c>
      <c r="Z13" s="498">
        <v>-6</v>
      </c>
      <c r="AA13" s="498">
        <v>-5.3</v>
      </c>
      <c r="AB13" s="498">
        <f t="shared" si="3"/>
        <v>-4.3999999999999986</v>
      </c>
      <c r="AC13" s="498">
        <v>-21.4</v>
      </c>
      <c r="AD13" s="498">
        <v>-5</v>
      </c>
      <c r="AE13" s="498">
        <v>-5.9</v>
      </c>
      <c r="AF13" s="498">
        <v>-4.5999999999999996</v>
      </c>
      <c r="AG13" s="498">
        <f t="shared" si="4"/>
        <v>-4.6999999999999993</v>
      </c>
      <c r="AH13" s="498">
        <v>-20.2</v>
      </c>
      <c r="AI13" s="498">
        <v>-5.4</v>
      </c>
      <c r="AJ13" s="498">
        <v>-7.5</v>
      </c>
      <c r="AK13" s="498">
        <v>-6.9</v>
      </c>
      <c r="AL13" s="604">
        <v>-6.3</v>
      </c>
      <c r="AM13" s="498">
        <f>SUM(AI13:AL13)</f>
        <v>-26.1</v>
      </c>
      <c r="AN13" s="498">
        <v>-6.6</v>
      </c>
      <c r="AO13" s="604">
        <v>-7.1</v>
      </c>
      <c r="AP13" s="604">
        <v>-5.3</v>
      </c>
      <c r="AQ13" s="498">
        <f t="shared" si="5"/>
        <v>-4.1999999999999993</v>
      </c>
      <c r="AR13" s="498">
        <v>-23.2</v>
      </c>
      <c r="AS13" s="498">
        <v>-4.2</v>
      </c>
      <c r="AT13" s="604">
        <v>-2.9</v>
      </c>
      <c r="AU13" s="604">
        <v>-2.2000000000000002</v>
      </c>
      <c r="AV13" s="498">
        <v>-2.2999999999999998</v>
      </c>
      <c r="AW13" s="611">
        <f>SUM(AS13:AV13)</f>
        <v>-11.600000000000001</v>
      </c>
      <c r="AX13" s="604">
        <v>-3</v>
      </c>
      <c r="AY13" s="604">
        <v>-3</v>
      </c>
      <c r="AZ13" s="604">
        <v>-2.2000000000000002</v>
      </c>
      <c r="BA13" s="604">
        <v>-1.8</v>
      </c>
      <c r="BB13" s="498">
        <f>SUM(AX13:BA13)</f>
        <v>-10</v>
      </c>
      <c r="BC13" s="604">
        <v>-1.7</v>
      </c>
      <c r="BD13" s="604">
        <v>-2.1</v>
      </c>
      <c r="BE13" s="604">
        <v>-1.9</v>
      </c>
      <c r="BF13" s="604">
        <v>-1.6</v>
      </c>
      <c r="BG13" s="498">
        <f>SUM(BC13:BF13)</f>
        <v>-7.2999999999999989</v>
      </c>
      <c r="BH13" s="604">
        <v>-1.8</v>
      </c>
      <c r="BI13" s="611">
        <v>-2</v>
      </c>
      <c r="BJ13" s="604">
        <v>-2.1</v>
      </c>
      <c r="BK13" s="604">
        <v>-2.1</v>
      </c>
      <c r="BL13" s="498">
        <f>SUM(BH13:BK13)</f>
        <v>-8</v>
      </c>
      <c r="BM13" s="604">
        <v>-1.9</v>
      </c>
      <c r="BN13" s="611">
        <v>-2.5</v>
      </c>
      <c r="BO13" s="604">
        <v>-4.5999999999999996</v>
      </c>
      <c r="BP13" s="604">
        <v>-5.2</v>
      </c>
      <c r="BQ13" s="498">
        <f>SUM(BM13:BP13)</f>
        <v>-14.2</v>
      </c>
      <c r="BR13" s="604">
        <v>-5.6</v>
      </c>
      <c r="BS13" s="611">
        <v>-5.7</v>
      </c>
      <c r="BT13" s="604">
        <v>-5.5</v>
      </c>
      <c r="BU13" s="604">
        <v>-5.3</v>
      </c>
      <c r="BV13" s="498">
        <f>SUM(BR13:BU13)</f>
        <v>-22.1</v>
      </c>
      <c r="BW13" s="604">
        <v>-6.2</v>
      </c>
      <c r="BX13" s="604">
        <v>-6.8</v>
      </c>
      <c r="BY13" s="604">
        <v>-7</v>
      </c>
      <c r="BZ13" s="604">
        <v>-7.4</v>
      </c>
      <c r="CA13" s="498">
        <f>SUM(BW13:BZ13)</f>
        <v>-27.4</v>
      </c>
      <c r="CB13" s="604">
        <v>-8</v>
      </c>
      <c r="CC13" s="611">
        <v>-8.6999999999999993</v>
      </c>
      <c r="CD13" s="604">
        <v>-10.6</v>
      </c>
      <c r="CE13" s="604">
        <v>-10.4</v>
      </c>
      <c r="CF13" s="690">
        <f>SUM(CB13:CE13)</f>
        <v>-37.699999999999996</v>
      </c>
      <c r="CG13" s="604">
        <v>-12</v>
      </c>
      <c r="CH13" s="611">
        <v>-11.9</v>
      </c>
      <c r="CI13" s="604">
        <v>-11</v>
      </c>
      <c r="CJ13" s="604">
        <v>-10.6</v>
      </c>
      <c r="CK13" s="690">
        <f>SUM(CG13:CJ13)</f>
        <v>-45.5</v>
      </c>
      <c r="CL13" s="604">
        <v>-12</v>
      </c>
      <c r="CM13" s="611"/>
      <c r="CN13" s="604"/>
      <c r="CO13" s="604"/>
    </row>
    <row r="14" spans="1:97">
      <c r="B14" s="498" t="s">
        <v>84</v>
      </c>
      <c r="C14" s="613">
        <v>0</v>
      </c>
      <c r="D14" s="613">
        <v>0.51700000000000002</v>
      </c>
      <c r="E14" s="613">
        <v>-20</v>
      </c>
      <c r="F14" s="613">
        <v>68.3</v>
      </c>
      <c r="G14" s="613">
        <v>0</v>
      </c>
      <c r="H14" s="613">
        <f>9.8+0.5</f>
        <v>10.3</v>
      </c>
      <c r="I14" s="613">
        <v>-0.4</v>
      </c>
      <c r="J14" s="613">
        <v>-0.1</v>
      </c>
      <c r="K14" s="613">
        <v>-0.5</v>
      </c>
      <c r="L14" s="613">
        <v>0</v>
      </c>
      <c r="M14" s="613">
        <f t="shared" si="0"/>
        <v>-1.6</v>
      </c>
      <c r="N14" s="613">
        <v>-2.2000000000000002</v>
      </c>
      <c r="O14" s="613">
        <v>-40.299999999999997</v>
      </c>
      <c r="P14" s="613">
        <v>-0.6</v>
      </c>
      <c r="Q14" s="613"/>
      <c r="R14" s="613">
        <f t="shared" si="1"/>
        <v>0</v>
      </c>
      <c r="S14" s="613">
        <v>-40.9</v>
      </c>
      <c r="T14" s="613">
        <v>0</v>
      </c>
      <c r="U14" s="613">
        <v>0</v>
      </c>
      <c r="V14" s="613">
        <v>0</v>
      </c>
      <c r="W14" s="613">
        <f t="shared" si="2"/>
        <v>15.7</v>
      </c>
      <c r="X14" s="613">
        <v>15.7</v>
      </c>
      <c r="Y14" s="613">
        <v>-0.4</v>
      </c>
      <c r="Z14" s="613"/>
      <c r="AA14" s="613">
        <v>-0.5</v>
      </c>
      <c r="AB14" s="613">
        <f t="shared" si="3"/>
        <v>-0.20000000000000007</v>
      </c>
      <c r="AC14" s="613">
        <v>-1.1000000000000001</v>
      </c>
      <c r="AD14" s="613"/>
      <c r="AE14" s="613"/>
      <c r="AF14" s="613"/>
      <c r="AG14" s="613">
        <f t="shared" si="4"/>
        <v>0</v>
      </c>
      <c r="AH14" s="613"/>
      <c r="AI14" s="613">
        <v>0</v>
      </c>
      <c r="AJ14" s="613">
        <v>0</v>
      </c>
      <c r="AK14" s="613">
        <v>0</v>
      </c>
      <c r="AL14" s="604">
        <v>0</v>
      </c>
      <c r="AM14" s="613">
        <f>SUM(AI14:AL14)</f>
        <v>0</v>
      </c>
      <c r="AN14" s="613">
        <v>0</v>
      </c>
      <c r="AO14" s="604">
        <v>0</v>
      </c>
      <c r="AP14" s="604">
        <v>-6.8</v>
      </c>
      <c r="AQ14" s="613">
        <f t="shared" si="5"/>
        <v>0</v>
      </c>
      <c r="AR14" s="613">
        <v>-6.8</v>
      </c>
      <c r="AS14" s="613">
        <v>-4.9000000000000004</v>
      </c>
      <c r="AT14" s="614">
        <v>0</v>
      </c>
      <c r="AU14" s="614">
        <v>0</v>
      </c>
      <c r="AV14" s="613">
        <v>0</v>
      </c>
      <c r="AW14" s="615">
        <f>SUM(AS14:AV14)</f>
        <v>-4.9000000000000004</v>
      </c>
      <c r="AX14" s="604">
        <v>0</v>
      </c>
      <c r="AY14" s="604">
        <v>-1.1000000000000001</v>
      </c>
      <c r="AZ14" s="604">
        <v>0</v>
      </c>
      <c r="BA14" s="604">
        <v>0</v>
      </c>
      <c r="BB14" s="498">
        <f>SUM(AX14:BA14)</f>
        <v>-1.1000000000000001</v>
      </c>
      <c r="BC14" s="604">
        <v>0</v>
      </c>
      <c r="BD14" s="604">
        <v>-1</v>
      </c>
      <c r="BE14" s="604">
        <v>0</v>
      </c>
      <c r="BF14" s="604">
        <v>0</v>
      </c>
      <c r="BG14" s="498">
        <f>SUM(BC14:BF14)</f>
        <v>-1</v>
      </c>
      <c r="BH14" s="604">
        <v>0</v>
      </c>
      <c r="BI14" s="611">
        <v>0</v>
      </c>
      <c r="BJ14" s="604">
        <v>-0.5</v>
      </c>
      <c r="BK14" s="604">
        <v>0</v>
      </c>
      <c r="BL14" s="498">
        <f>SUM(BH14:BK14)</f>
        <v>-0.5</v>
      </c>
      <c r="BM14" s="604">
        <v>0</v>
      </c>
      <c r="BN14" s="611">
        <v>0</v>
      </c>
      <c r="BO14" s="604">
        <v>0</v>
      </c>
      <c r="BP14" s="604">
        <v>0</v>
      </c>
      <c r="BQ14" s="498">
        <f>SUM(BM14:BP14)</f>
        <v>0</v>
      </c>
      <c r="BR14" s="604">
        <v>0</v>
      </c>
      <c r="BS14" s="611">
        <v>-0.4</v>
      </c>
      <c r="BT14" s="604">
        <v>0</v>
      </c>
      <c r="BU14" s="604">
        <v>0</v>
      </c>
      <c r="BV14" s="498">
        <f>SUM(BR14:BU14)</f>
        <v>-0.4</v>
      </c>
      <c r="BW14" s="604">
        <v>0</v>
      </c>
      <c r="BX14" s="604">
        <v>0</v>
      </c>
      <c r="BY14" s="604">
        <v>0</v>
      </c>
      <c r="BZ14" s="604">
        <v>0</v>
      </c>
      <c r="CA14" s="498">
        <f>SUM(BW14:BZ14)</f>
        <v>0</v>
      </c>
      <c r="CB14" s="604"/>
      <c r="CC14" s="611"/>
      <c r="CD14" s="604"/>
      <c r="CE14" s="604"/>
      <c r="CF14" s="690">
        <f>SUM(CB14:CE14)</f>
        <v>0</v>
      </c>
      <c r="CG14" s="604"/>
      <c r="CH14" s="611"/>
      <c r="CI14" s="604"/>
      <c r="CJ14" s="604"/>
      <c r="CK14" s="690">
        <f>SUM(CG14:CJ14)</f>
        <v>0</v>
      </c>
      <c r="CL14" s="604"/>
      <c r="CM14" s="611"/>
      <c r="CN14" s="604"/>
      <c r="CO14" s="604"/>
    </row>
    <row r="15" spans="1:97">
      <c r="B15" s="526" t="s">
        <v>85</v>
      </c>
      <c r="C15" s="526">
        <f t="shared" ref="C15:L15" si="12">SUM(C12:C14)</f>
        <v>50.752000000000066</v>
      </c>
      <c r="D15" s="526">
        <f t="shared" si="12"/>
        <v>78.881000000000142</v>
      </c>
      <c r="E15" s="526">
        <f t="shared" si="12"/>
        <v>-25</v>
      </c>
      <c r="F15" s="526">
        <f t="shared" si="12"/>
        <v>75.000000000000071</v>
      </c>
      <c r="G15" s="526">
        <f t="shared" si="12"/>
        <v>-381.00000000000006</v>
      </c>
      <c r="H15" s="526">
        <f t="shared" si="12"/>
        <v>7.6999999999999496</v>
      </c>
      <c r="I15" s="526">
        <f t="shared" si="12"/>
        <v>3.7999999999999958</v>
      </c>
      <c r="J15" s="526">
        <f t="shared" si="12"/>
        <v>11.200000000000024</v>
      </c>
      <c r="K15" s="526">
        <f t="shared" si="12"/>
        <v>13.499999999999998</v>
      </c>
      <c r="L15" s="526">
        <f t="shared" si="12"/>
        <v>6.6000000000000334</v>
      </c>
      <c r="M15" s="526">
        <f t="shared" si="0"/>
        <v>7.5999999999999623</v>
      </c>
      <c r="N15" s="526">
        <f>SUM(N12:N14)</f>
        <v>38.90000000000002</v>
      </c>
      <c r="O15" s="526">
        <f>SUM(O12:O14)</f>
        <v>-19.29999999999999</v>
      </c>
      <c r="P15" s="526">
        <f>SUM(P12:P14)</f>
        <v>28.90000000000002</v>
      </c>
      <c r="Q15" s="526">
        <f>SUM(Q12:Q14)</f>
        <v>1.3000000000000345</v>
      </c>
      <c r="R15" s="526">
        <f t="shared" si="1"/>
        <v>18.499999999999979</v>
      </c>
      <c r="S15" s="526">
        <f>SUM(S12:S14)</f>
        <v>29.400000000000041</v>
      </c>
      <c r="T15" s="526">
        <f>SUM(T12:T14)</f>
        <v>21.999999999999989</v>
      </c>
      <c r="U15" s="526">
        <f>SUM(U12:U14)</f>
        <v>27.199999999999989</v>
      </c>
      <c r="V15" s="526">
        <f>SUM(V12:V14)</f>
        <v>18.900000000000027</v>
      </c>
      <c r="W15" s="526">
        <f t="shared" si="2"/>
        <v>25.999999999999972</v>
      </c>
      <c r="X15" s="526">
        <f>SUM(X12:X14)</f>
        <v>94.099999999999966</v>
      </c>
      <c r="Y15" s="526">
        <f>SUM(Y12:Y14)</f>
        <v>23.800000000000029</v>
      </c>
      <c r="Z15" s="526">
        <f>SUM(Z12:Z14)</f>
        <v>28.000000000000007</v>
      </c>
      <c r="AA15" s="526">
        <f>SUM(AA12:AA14)</f>
        <v>24.400000000000031</v>
      </c>
      <c r="AB15" s="526">
        <f t="shared" si="3"/>
        <v>16.299999999999841</v>
      </c>
      <c r="AC15" s="526">
        <f>SUM(AC12:AC14)</f>
        <v>92.499999999999915</v>
      </c>
      <c r="AD15" s="526">
        <f>SUM(AD12:AD14)</f>
        <v>31.400000000000027</v>
      </c>
      <c r="AE15" s="526">
        <f>SUM(AE12:AE14)</f>
        <v>23.400000000000027</v>
      </c>
      <c r="AF15" s="526">
        <f>SUM(AF12:AF14)</f>
        <v>31.299999999999962</v>
      </c>
      <c r="AG15" s="526">
        <f t="shared" si="4"/>
        <v>24.600000000000009</v>
      </c>
      <c r="AH15" s="526">
        <f t="shared" ref="AH15:AP15" si="13">SUM(AH12:AH14)</f>
        <v>110.70000000000003</v>
      </c>
      <c r="AI15" s="526">
        <f t="shared" si="13"/>
        <v>34.500000000000007</v>
      </c>
      <c r="AJ15" s="526">
        <f t="shared" si="13"/>
        <v>22.200000000000028</v>
      </c>
      <c r="AK15" s="526">
        <f t="shared" si="13"/>
        <v>12.700000000000019</v>
      </c>
      <c r="AL15" s="526">
        <f t="shared" si="13"/>
        <v>8.2000000000000099</v>
      </c>
      <c r="AM15" s="526">
        <f t="shared" si="13"/>
        <v>77.60000000000025</v>
      </c>
      <c r="AN15" s="526">
        <f t="shared" si="13"/>
        <v>17.199999999999996</v>
      </c>
      <c r="AO15" s="526">
        <f t="shared" si="13"/>
        <v>33.400000000000027</v>
      </c>
      <c r="AP15" s="526">
        <f t="shared" si="13"/>
        <v>22.4</v>
      </c>
      <c r="AQ15" s="526">
        <f t="shared" si="5"/>
        <v>26.799999999999869</v>
      </c>
      <c r="AR15" s="526">
        <f t="shared" ref="AR15:CL15" si="14">SUM(AR12:AR14)</f>
        <v>99.799999999999898</v>
      </c>
      <c r="AS15" s="526">
        <f t="shared" si="14"/>
        <v>38.10000000000003</v>
      </c>
      <c r="AT15" s="603">
        <f t="shared" si="14"/>
        <v>46.5</v>
      </c>
      <c r="AU15" s="603">
        <f t="shared" si="14"/>
        <v>43.8</v>
      </c>
      <c r="AV15" s="603">
        <f t="shared" si="14"/>
        <v>47.100000000000023</v>
      </c>
      <c r="AW15" s="616">
        <f t="shared" si="14"/>
        <v>175.49999999999991</v>
      </c>
      <c r="AX15" s="603">
        <f t="shared" si="14"/>
        <v>57.600000000000037</v>
      </c>
      <c r="AY15" s="603">
        <f t="shared" si="14"/>
        <v>69.800000000000011</v>
      </c>
      <c r="AZ15" s="603">
        <f t="shared" si="14"/>
        <v>57.800000000000047</v>
      </c>
      <c r="BA15" s="603">
        <f t="shared" si="14"/>
        <v>52.500000000000028</v>
      </c>
      <c r="BB15" s="526">
        <f t="shared" si="14"/>
        <v>237.70000000000007</v>
      </c>
      <c r="BC15" s="689">
        <f t="shared" si="14"/>
        <v>61.3</v>
      </c>
      <c r="BD15" s="689">
        <f t="shared" si="14"/>
        <v>68.800000000000026</v>
      </c>
      <c r="BE15" s="689">
        <f t="shared" si="14"/>
        <v>67.100000000000009</v>
      </c>
      <c r="BF15" s="689">
        <f t="shared" si="14"/>
        <v>65.40000000000002</v>
      </c>
      <c r="BG15" s="526">
        <f t="shared" si="14"/>
        <v>262.60000000000002</v>
      </c>
      <c r="BH15" s="689">
        <f t="shared" si="14"/>
        <v>72.8</v>
      </c>
      <c r="BI15" s="688">
        <f t="shared" si="14"/>
        <v>73.100000000000023</v>
      </c>
      <c r="BJ15" s="686">
        <f t="shared" si="14"/>
        <v>76.400000000000006</v>
      </c>
      <c r="BK15" s="686">
        <f t="shared" si="14"/>
        <v>75.000000000000014</v>
      </c>
      <c r="BL15" s="526">
        <f t="shared" si="14"/>
        <v>297.29999999999973</v>
      </c>
      <c r="BM15" s="686">
        <f t="shared" si="14"/>
        <v>80.7</v>
      </c>
      <c r="BN15" s="686">
        <f t="shared" si="14"/>
        <v>88.099999999999966</v>
      </c>
      <c r="BO15" s="686">
        <f t="shared" si="14"/>
        <v>73.400000000000034</v>
      </c>
      <c r="BP15" s="686">
        <f t="shared" si="14"/>
        <v>75.999999999999957</v>
      </c>
      <c r="BQ15" s="526">
        <f t="shared" si="14"/>
        <v>318.1999999999997</v>
      </c>
      <c r="BR15" s="686">
        <f t="shared" si="14"/>
        <v>78.3</v>
      </c>
      <c r="BS15" s="686">
        <f t="shared" si="14"/>
        <v>94.000000000000014</v>
      </c>
      <c r="BT15" s="686">
        <f t="shared" si="14"/>
        <v>83.6</v>
      </c>
      <c r="BU15" s="686">
        <f t="shared" si="14"/>
        <v>81.700000000000031</v>
      </c>
      <c r="BV15" s="526">
        <f t="shared" si="14"/>
        <v>337.60000000000014</v>
      </c>
      <c r="BW15" s="686">
        <f t="shared" si="14"/>
        <v>72.40000000000002</v>
      </c>
      <c r="BX15" s="686">
        <f t="shared" si="14"/>
        <v>82.900000000000048</v>
      </c>
      <c r="BY15" s="686">
        <f t="shared" si="14"/>
        <v>82.100000000000023</v>
      </c>
      <c r="BZ15" s="686">
        <f t="shared" si="14"/>
        <v>85.799999999999983</v>
      </c>
      <c r="CA15" s="526">
        <f t="shared" si="14"/>
        <v>323.2</v>
      </c>
      <c r="CB15" s="686">
        <f t="shared" si="14"/>
        <v>74.40000000000002</v>
      </c>
      <c r="CC15" s="686">
        <f t="shared" si="14"/>
        <v>87.800000000000011</v>
      </c>
      <c r="CD15" s="686">
        <f t="shared" si="14"/>
        <v>85.9</v>
      </c>
      <c r="CE15" s="686">
        <f t="shared" si="14"/>
        <v>85.399999999999963</v>
      </c>
      <c r="CF15" s="689">
        <f t="shared" si="14"/>
        <v>333.49999999999977</v>
      </c>
      <c r="CG15" s="686">
        <f t="shared" si="14"/>
        <v>90.799999999999983</v>
      </c>
      <c r="CH15" s="686">
        <f t="shared" si="14"/>
        <v>103.2</v>
      </c>
      <c r="CI15" s="686">
        <f t="shared" si="14"/>
        <v>98.899999999999977</v>
      </c>
      <c r="CJ15" s="686">
        <f t="shared" si="14"/>
        <v>86.79999999999994</v>
      </c>
      <c r="CK15" s="689">
        <f t="shared" si="14"/>
        <v>379.69999999999987</v>
      </c>
      <c r="CL15" s="618">
        <f t="shared" si="14"/>
        <v>53.699999999999974</v>
      </c>
      <c r="CM15" s="618"/>
      <c r="CN15" s="618"/>
      <c r="CO15" s="618"/>
      <c r="CP15" s="526"/>
      <c r="CQ15" s="526"/>
      <c r="CR15" s="526"/>
      <c r="CS15" s="526"/>
    </row>
    <row r="16" spans="1:97">
      <c r="B16" s="498" t="s">
        <v>25</v>
      </c>
      <c r="C16" s="498">
        <v>22.878</v>
      </c>
      <c r="D16" s="498">
        <v>-28.442</v>
      </c>
      <c r="E16" s="498">
        <v>1.7</v>
      </c>
      <c r="F16" s="498">
        <v>-26.3</v>
      </c>
      <c r="G16" s="498">
        <v>-40.5</v>
      </c>
      <c r="H16" s="498">
        <v>-11.3</v>
      </c>
      <c r="I16" s="498">
        <v>-13.5</v>
      </c>
      <c r="J16" s="498">
        <v>-3.4</v>
      </c>
      <c r="K16" s="498">
        <v>-5.2</v>
      </c>
      <c r="L16" s="498">
        <v>-2.2999999999999998</v>
      </c>
      <c r="M16" s="498">
        <f t="shared" si="0"/>
        <v>-0.30000000000000071</v>
      </c>
      <c r="N16" s="498">
        <v>-11.2</v>
      </c>
      <c r="O16" s="498">
        <v>-3.6</v>
      </c>
      <c r="P16" s="498">
        <v>-3.6</v>
      </c>
      <c r="Q16" s="498">
        <v>-1.4</v>
      </c>
      <c r="R16" s="498">
        <f t="shared" si="1"/>
        <v>115.3</v>
      </c>
      <c r="S16" s="498">
        <v>106.7</v>
      </c>
      <c r="T16" s="498">
        <v>-8.6</v>
      </c>
      <c r="U16" s="498">
        <v>-10.7</v>
      </c>
      <c r="V16" s="498">
        <v>-4.2</v>
      </c>
      <c r="W16" s="498">
        <f t="shared" si="2"/>
        <v>-10.600000000000005</v>
      </c>
      <c r="X16" s="498">
        <v>-34.1</v>
      </c>
      <c r="Y16" s="498">
        <v>-10</v>
      </c>
      <c r="Z16" s="498">
        <v>-11.9</v>
      </c>
      <c r="AA16" s="498">
        <v>-7.2</v>
      </c>
      <c r="AB16" s="498">
        <f t="shared" si="3"/>
        <v>-4.3000000000000007</v>
      </c>
      <c r="AC16" s="498">
        <v>-33.4</v>
      </c>
      <c r="AD16" s="498">
        <v>-9.6</v>
      </c>
      <c r="AE16" s="498">
        <v>2</v>
      </c>
      <c r="AF16" s="498">
        <v>-11.3</v>
      </c>
      <c r="AG16" s="498">
        <f t="shared" si="4"/>
        <v>3.2999999999999989</v>
      </c>
      <c r="AH16" s="498">
        <v>-15.6</v>
      </c>
      <c r="AI16" s="498">
        <v>-11.2</v>
      </c>
      <c r="AJ16" s="498">
        <v>-5.7</v>
      </c>
      <c r="AK16" s="498">
        <v>-2.5</v>
      </c>
      <c r="AL16" s="604">
        <v>-2.6</v>
      </c>
      <c r="AM16" s="498">
        <f>SUM(AI16:AL16)</f>
        <v>-22</v>
      </c>
      <c r="AN16" s="498">
        <v>-1.5</v>
      </c>
      <c r="AO16" s="604">
        <v>-10.6</v>
      </c>
      <c r="AP16" s="604">
        <v>-6.8</v>
      </c>
      <c r="AQ16" s="498">
        <f t="shared" si="5"/>
        <v>-4</v>
      </c>
      <c r="AR16" s="498">
        <v>-22.9</v>
      </c>
      <c r="AS16" s="498">
        <v>-12.2</v>
      </c>
      <c r="AT16" s="604">
        <v>-9.3000000000000007</v>
      </c>
      <c r="AU16" s="604">
        <v>-12</v>
      </c>
      <c r="AV16" s="498">
        <v>-8.1</v>
      </c>
      <c r="AW16" s="611">
        <f>SUM(AS16:AV16)</f>
        <v>-41.6</v>
      </c>
      <c r="AX16" s="604">
        <v>-18.399999999999999</v>
      </c>
      <c r="AY16" s="604">
        <v>-22.1</v>
      </c>
      <c r="AZ16" s="604">
        <v>-18</v>
      </c>
      <c r="BA16" s="604">
        <v>-15.6</v>
      </c>
      <c r="BB16" s="498">
        <f>SUM(AX16:BA16)</f>
        <v>-74.099999999999994</v>
      </c>
      <c r="BC16" s="604">
        <v>-17.899999999999999</v>
      </c>
      <c r="BD16" s="690">
        <v>-20.6</v>
      </c>
      <c r="BE16" s="604">
        <v>-18.7</v>
      </c>
      <c r="BF16" s="604">
        <v>-18.8</v>
      </c>
      <c r="BG16" s="498">
        <f>SUM(BC16:BF16)</f>
        <v>-76</v>
      </c>
      <c r="BH16" s="604">
        <v>-22.8</v>
      </c>
      <c r="BI16" s="611">
        <v>-22.9</v>
      </c>
      <c r="BJ16" s="604">
        <v>-21.2</v>
      </c>
      <c r="BK16" s="604">
        <v>-22.4</v>
      </c>
      <c r="BL16" s="498">
        <f>SUM(BH16:BK16)</f>
        <v>-89.300000000000011</v>
      </c>
      <c r="BM16" s="604">
        <v>-12.9</v>
      </c>
      <c r="BN16" s="611">
        <v>-27</v>
      </c>
      <c r="BO16" s="604">
        <v>-20.7</v>
      </c>
      <c r="BP16" s="604">
        <v>-22.4</v>
      </c>
      <c r="BQ16" s="498">
        <f>SUM(BM16:BP16)</f>
        <v>-83</v>
      </c>
      <c r="BR16" s="604">
        <v>-22.7</v>
      </c>
      <c r="BS16" s="611">
        <v>-28.7</v>
      </c>
      <c r="BT16" s="604">
        <v>-16.100000000000001</v>
      </c>
      <c r="BU16" s="604">
        <v>-22.8</v>
      </c>
      <c r="BV16" s="498">
        <f>SUM(BR16:BU16)</f>
        <v>-90.3</v>
      </c>
      <c r="BW16" s="604">
        <v>-8.6</v>
      </c>
      <c r="BX16" s="604">
        <v>-22.1</v>
      </c>
      <c r="BY16" s="604">
        <v>-13.6</v>
      </c>
      <c r="BZ16" s="604">
        <v>1.8</v>
      </c>
      <c r="CA16" s="498">
        <f>SUM(BW16:BZ16)</f>
        <v>-42.500000000000007</v>
      </c>
      <c r="CB16" s="604">
        <v>-14.1</v>
      </c>
      <c r="CC16" s="611">
        <v>-20</v>
      </c>
      <c r="CD16" s="604">
        <v>-7.8</v>
      </c>
      <c r="CE16" s="604">
        <v>-20.6</v>
      </c>
      <c r="CF16" s="690">
        <f>SUM(CB16:CE16)</f>
        <v>-62.5</v>
      </c>
      <c r="CG16" s="604">
        <v>-20.6</v>
      </c>
      <c r="CH16" s="611">
        <v>-23.6</v>
      </c>
      <c r="CI16" s="604">
        <v>-18.2</v>
      </c>
      <c r="CJ16" s="604">
        <v>-14.4</v>
      </c>
      <c r="CK16" s="690">
        <f>SUM(CG16:CJ16)</f>
        <v>-76.800000000000011</v>
      </c>
      <c r="CL16" s="604">
        <v>-11.8</v>
      </c>
      <c r="CM16" s="611"/>
      <c r="CN16" s="604"/>
      <c r="CO16" s="604"/>
    </row>
    <row r="17" spans="2:97" ht="15" thickBot="1">
      <c r="B17" s="498" t="s">
        <v>101</v>
      </c>
      <c r="C17" s="613">
        <v>0</v>
      </c>
      <c r="D17" s="613">
        <v>0</v>
      </c>
      <c r="E17" s="613">
        <v>0</v>
      </c>
      <c r="F17" s="613">
        <v>5.5</v>
      </c>
      <c r="G17" s="613">
        <v>-9.5</v>
      </c>
      <c r="H17" s="613">
        <v>-10</v>
      </c>
      <c r="I17" s="613">
        <v>-1.4</v>
      </c>
      <c r="J17" s="613">
        <v>0.3</v>
      </c>
      <c r="K17" s="613">
        <v>0.5</v>
      </c>
      <c r="L17" s="613">
        <v>0</v>
      </c>
      <c r="M17" s="613">
        <f t="shared" si="0"/>
        <v>0.30000000000000004</v>
      </c>
      <c r="N17" s="613">
        <v>1.1000000000000001</v>
      </c>
      <c r="O17" s="613">
        <v>0.5</v>
      </c>
      <c r="P17" s="613">
        <v>0.9</v>
      </c>
      <c r="Q17" s="613">
        <v>1.2</v>
      </c>
      <c r="R17" s="613">
        <f t="shared" si="1"/>
        <v>1.0000000000000004</v>
      </c>
      <c r="S17" s="613">
        <v>3.6</v>
      </c>
      <c r="T17" s="613">
        <v>1.1000000000000001</v>
      </c>
      <c r="U17" s="613">
        <v>1.1000000000000001</v>
      </c>
      <c r="V17" s="613">
        <v>1</v>
      </c>
      <c r="W17" s="613">
        <f t="shared" si="2"/>
        <v>0.89999999999999947</v>
      </c>
      <c r="X17" s="613">
        <v>4.0999999999999996</v>
      </c>
      <c r="Y17" s="613">
        <v>1</v>
      </c>
      <c r="Z17" s="613">
        <v>1.4</v>
      </c>
      <c r="AA17" s="613">
        <v>0.9</v>
      </c>
      <c r="AB17" s="613">
        <f t="shared" si="3"/>
        <v>1</v>
      </c>
      <c r="AC17" s="613">
        <v>4.3</v>
      </c>
      <c r="AD17" s="613">
        <v>1.4</v>
      </c>
      <c r="AE17" s="613">
        <v>1.3</v>
      </c>
      <c r="AF17" s="613">
        <v>13</v>
      </c>
      <c r="AG17" s="613">
        <f t="shared" si="4"/>
        <v>0.40000000000000213</v>
      </c>
      <c r="AH17" s="613">
        <v>16.100000000000001</v>
      </c>
      <c r="AI17" s="613">
        <v>0.1</v>
      </c>
      <c r="AJ17" s="613">
        <v>0.3</v>
      </c>
      <c r="AK17" s="613">
        <v>0.2</v>
      </c>
      <c r="AL17" s="604">
        <v>0.1</v>
      </c>
      <c r="AM17" s="613">
        <f>SUM(AI17:AL17)</f>
        <v>0.70000000000000007</v>
      </c>
      <c r="AN17" s="613">
        <v>0.1</v>
      </c>
      <c r="AO17" s="614">
        <v>0.3</v>
      </c>
      <c r="AP17" s="614">
        <v>0</v>
      </c>
      <c r="AQ17" s="613">
        <f t="shared" si="5"/>
        <v>9.9999999999999978E-2</v>
      </c>
      <c r="AR17" s="613">
        <v>0.5</v>
      </c>
      <c r="AS17" s="613">
        <v>0</v>
      </c>
      <c r="AT17" s="614">
        <v>0.2</v>
      </c>
      <c r="AU17" s="614">
        <v>0.4</v>
      </c>
      <c r="AV17" s="613">
        <v>0.5</v>
      </c>
      <c r="AW17" s="615">
        <f>SUM(AS17:AV17)</f>
        <v>1.1000000000000001</v>
      </c>
      <c r="AX17" s="604">
        <v>0.4</v>
      </c>
      <c r="BB17" s="498">
        <f>SUM(AX17:BA17)</f>
        <v>0.4</v>
      </c>
      <c r="BC17" s="604">
        <v>0.2</v>
      </c>
      <c r="BD17" s="690">
        <v>0.3</v>
      </c>
      <c r="BE17" s="604">
        <v>0.3</v>
      </c>
      <c r="BF17" s="604">
        <v>0.5</v>
      </c>
      <c r="BG17" s="498">
        <f>SUM(BC17:BF17)</f>
        <v>1.3</v>
      </c>
      <c r="BH17" s="604">
        <v>0.1</v>
      </c>
      <c r="BI17" s="611">
        <v>0.4</v>
      </c>
      <c r="BJ17" s="604">
        <v>0.6</v>
      </c>
      <c r="BK17" s="604">
        <v>0.3</v>
      </c>
      <c r="BL17" s="498">
        <f>SUM(BH17:BK17)</f>
        <v>1.4000000000000001</v>
      </c>
      <c r="BM17" s="604">
        <v>0.3</v>
      </c>
      <c r="BN17" s="611">
        <v>0.6</v>
      </c>
      <c r="BO17" s="604">
        <v>0.8</v>
      </c>
      <c r="BP17" s="604">
        <v>0.3</v>
      </c>
      <c r="BQ17" s="498">
        <f>SUM(BM17:BP17)</f>
        <v>2</v>
      </c>
      <c r="BR17" s="604">
        <v>0.4</v>
      </c>
      <c r="BS17" s="611">
        <v>0.8</v>
      </c>
      <c r="BT17" s="604">
        <v>0.7</v>
      </c>
      <c r="BU17" s="604">
        <v>0.6</v>
      </c>
      <c r="BV17" s="498">
        <f>SUM(BR17:BU17)</f>
        <v>2.5</v>
      </c>
      <c r="BW17" s="604">
        <v>0.8</v>
      </c>
      <c r="BX17" s="604">
        <v>0.8</v>
      </c>
      <c r="BY17" s="604">
        <v>1.2</v>
      </c>
      <c r="BZ17" s="604">
        <v>0.5</v>
      </c>
      <c r="CA17" s="498">
        <f>SUM(BW17:BZ17)</f>
        <v>3.3</v>
      </c>
      <c r="CB17" s="604">
        <v>1.3</v>
      </c>
      <c r="CC17" s="611">
        <v>1</v>
      </c>
      <c r="CD17" s="604">
        <v>2</v>
      </c>
      <c r="CE17" s="604">
        <v>1.3</v>
      </c>
      <c r="CF17" s="690">
        <f>SUM(CB17:CE17)</f>
        <v>5.6</v>
      </c>
      <c r="CG17" s="604">
        <v>2</v>
      </c>
      <c r="CH17" s="611">
        <v>1.3</v>
      </c>
      <c r="CI17" s="604">
        <v>-0.4</v>
      </c>
      <c r="CJ17" s="604">
        <v>0.8</v>
      </c>
      <c r="CK17" s="690">
        <f>SUM(CG17:CJ17)</f>
        <v>3.7</v>
      </c>
      <c r="CL17" s="604">
        <v>0.5</v>
      </c>
      <c r="CM17" s="611"/>
      <c r="CN17" s="604"/>
      <c r="CO17" s="604"/>
    </row>
    <row r="18" spans="2:97" hidden="1" outlineLevel="1">
      <c r="B18" s="526" t="s">
        <v>26</v>
      </c>
      <c r="C18" s="526">
        <f t="shared" ref="C18:L18" si="15">SUM(C15:C17)</f>
        <v>73.630000000000067</v>
      </c>
      <c r="D18" s="526">
        <f t="shared" si="15"/>
        <v>50.439000000000142</v>
      </c>
      <c r="E18" s="526">
        <f t="shared" si="15"/>
        <v>-23.3</v>
      </c>
      <c r="F18" s="526">
        <f t="shared" si="15"/>
        <v>54.200000000000074</v>
      </c>
      <c r="G18" s="526">
        <f t="shared" si="15"/>
        <v>-431.00000000000006</v>
      </c>
      <c r="H18" s="526">
        <f t="shared" si="15"/>
        <v>-13.600000000000051</v>
      </c>
      <c r="I18" s="526">
        <f t="shared" si="15"/>
        <v>-11.100000000000005</v>
      </c>
      <c r="J18" s="526">
        <f t="shared" si="15"/>
        <v>8.1000000000000245</v>
      </c>
      <c r="K18" s="526">
        <f t="shared" si="15"/>
        <v>8.7999999999999972</v>
      </c>
      <c r="L18" s="526">
        <f t="shared" si="15"/>
        <v>4.3000000000000336</v>
      </c>
      <c r="M18" s="526">
        <f t="shared" si="0"/>
        <v>7.5999999999999694</v>
      </c>
      <c r="N18" s="526">
        <f>SUM(N15:N17)</f>
        <v>28.800000000000022</v>
      </c>
      <c r="O18" s="526">
        <f>SUM(O15:O17)</f>
        <v>-22.399999999999991</v>
      </c>
      <c r="P18" s="526">
        <f>SUM(P15:P17)</f>
        <v>26.200000000000017</v>
      </c>
      <c r="Q18" s="526">
        <f>SUM(Q15:Q17)</f>
        <v>1.1000000000000345</v>
      </c>
      <c r="R18" s="526">
        <f t="shared" si="1"/>
        <v>134.79999999999998</v>
      </c>
      <c r="S18" s="526">
        <f>SUM(S15:S17)</f>
        <v>139.70000000000005</v>
      </c>
      <c r="T18" s="526">
        <f>SUM(T15:T17)</f>
        <v>14.499999999999989</v>
      </c>
      <c r="U18" s="526">
        <f>SUM(U15:U17)</f>
        <v>17.599999999999991</v>
      </c>
      <c r="V18" s="526">
        <f>SUM(V15:V17)</f>
        <v>15.700000000000028</v>
      </c>
      <c r="W18" s="526">
        <f t="shared" si="2"/>
        <v>16.299999999999955</v>
      </c>
      <c r="X18" s="526">
        <f>SUM(X15:X17)</f>
        <v>64.099999999999966</v>
      </c>
      <c r="Y18" s="526">
        <f>SUM(Y15:Y17)</f>
        <v>14.800000000000029</v>
      </c>
      <c r="Z18" s="526">
        <f>SUM(Z15:Z17)</f>
        <v>17.500000000000007</v>
      </c>
      <c r="AA18" s="526">
        <f>SUM(AA15:AA17)</f>
        <v>18.10000000000003</v>
      </c>
      <c r="AB18" s="526">
        <f t="shared" si="3"/>
        <v>12.999999999999844</v>
      </c>
      <c r="AC18" s="526">
        <f>SUM(AC15:AC17)</f>
        <v>63.399999999999913</v>
      </c>
      <c r="AD18" s="526">
        <f>SUM(AD15:AD17)</f>
        <v>23.200000000000024</v>
      </c>
      <c r="AE18" s="526">
        <f>SUM(AE15:AE17)</f>
        <v>26.700000000000028</v>
      </c>
      <c r="AF18" s="526">
        <f>SUM(AF15:AF17)</f>
        <v>32.999999999999957</v>
      </c>
      <c r="AG18" s="526">
        <f t="shared" si="4"/>
        <v>28.30000000000004</v>
      </c>
      <c r="AH18" s="526">
        <f t="shared" ref="AH18:AP18" si="16">SUM(AH15:AH17)</f>
        <v>111.20000000000005</v>
      </c>
      <c r="AI18" s="526">
        <f t="shared" si="16"/>
        <v>23.400000000000009</v>
      </c>
      <c r="AJ18" s="526">
        <f t="shared" si="16"/>
        <v>16.800000000000029</v>
      </c>
      <c r="AK18" s="526">
        <f t="shared" si="16"/>
        <v>10.400000000000018</v>
      </c>
      <c r="AL18" s="526">
        <f t="shared" si="16"/>
        <v>5.7000000000000099</v>
      </c>
      <c r="AM18" s="526">
        <f t="shared" si="16"/>
        <v>56.300000000000253</v>
      </c>
      <c r="AN18" s="526">
        <f t="shared" si="16"/>
        <v>15.799999999999995</v>
      </c>
      <c r="AO18" s="526">
        <f t="shared" si="16"/>
        <v>23.100000000000026</v>
      </c>
      <c r="AP18" s="526">
        <f t="shared" si="16"/>
        <v>15.599999999999998</v>
      </c>
      <c r="AQ18" s="526">
        <f t="shared" si="5"/>
        <v>22.899999999999878</v>
      </c>
      <c r="AR18" s="526">
        <f t="shared" ref="AR18:CL18" si="17">SUM(AR15:AR17)</f>
        <v>77.399999999999892</v>
      </c>
      <c r="AS18" s="526">
        <f t="shared" si="17"/>
        <v>25.900000000000031</v>
      </c>
      <c r="AT18" s="603">
        <f t="shared" si="17"/>
        <v>37.400000000000006</v>
      </c>
      <c r="AU18" s="603">
        <f t="shared" si="17"/>
        <v>32.199999999999996</v>
      </c>
      <c r="AV18" s="603">
        <f t="shared" si="17"/>
        <v>39.500000000000021</v>
      </c>
      <c r="AW18" s="616">
        <f t="shared" si="17"/>
        <v>134.99999999999991</v>
      </c>
      <c r="AX18" s="603">
        <f t="shared" si="17"/>
        <v>39.600000000000037</v>
      </c>
      <c r="AY18" s="618">
        <f t="shared" si="17"/>
        <v>47.70000000000001</v>
      </c>
      <c r="AZ18" s="618">
        <f t="shared" si="17"/>
        <v>39.800000000000047</v>
      </c>
      <c r="BA18" s="618">
        <f t="shared" si="17"/>
        <v>36.900000000000027</v>
      </c>
      <c r="BB18" s="526">
        <f t="shared" si="17"/>
        <v>164.00000000000009</v>
      </c>
      <c r="BC18" s="689">
        <f t="shared" si="17"/>
        <v>43.6</v>
      </c>
      <c r="BD18" s="689">
        <f t="shared" si="17"/>
        <v>48.500000000000021</v>
      </c>
      <c r="BE18" s="689">
        <f t="shared" si="17"/>
        <v>48.7</v>
      </c>
      <c r="BF18" s="689">
        <f t="shared" si="17"/>
        <v>47.100000000000023</v>
      </c>
      <c r="BG18" s="526">
        <f t="shared" si="17"/>
        <v>187.90000000000003</v>
      </c>
      <c r="BH18" s="689">
        <f t="shared" si="17"/>
        <v>50.1</v>
      </c>
      <c r="BI18" s="688">
        <f t="shared" si="17"/>
        <v>50.600000000000023</v>
      </c>
      <c r="BJ18" s="686">
        <f t="shared" si="17"/>
        <v>55.800000000000004</v>
      </c>
      <c r="BK18" s="686">
        <f t="shared" si="17"/>
        <v>52.900000000000013</v>
      </c>
      <c r="BL18" s="526">
        <f t="shared" si="17"/>
        <v>209.39999999999972</v>
      </c>
      <c r="BM18" s="686">
        <f t="shared" si="17"/>
        <v>68.099999999999994</v>
      </c>
      <c r="BN18" s="686">
        <f t="shared" si="17"/>
        <v>61.699999999999967</v>
      </c>
      <c r="BO18" s="686">
        <f t="shared" si="17"/>
        <v>53.500000000000028</v>
      </c>
      <c r="BP18" s="686">
        <f t="shared" si="17"/>
        <v>53.899999999999956</v>
      </c>
      <c r="BQ18" s="526">
        <f t="shared" si="17"/>
        <v>237.1999999999997</v>
      </c>
      <c r="BR18" s="686">
        <f t="shared" si="17"/>
        <v>55.999999999999993</v>
      </c>
      <c r="BS18" s="686">
        <f t="shared" si="17"/>
        <v>66.100000000000009</v>
      </c>
      <c r="BT18" s="686">
        <f t="shared" si="17"/>
        <v>68.2</v>
      </c>
      <c r="BU18" s="686">
        <f t="shared" si="17"/>
        <v>59.500000000000036</v>
      </c>
      <c r="BV18" s="526">
        <f t="shared" si="17"/>
        <v>249.80000000000013</v>
      </c>
      <c r="BW18" s="686">
        <f t="shared" si="17"/>
        <v>64.600000000000023</v>
      </c>
      <c r="BX18" s="686">
        <f t="shared" si="17"/>
        <v>61.600000000000044</v>
      </c>
      <c r="BY18" s="686">
        <f t="shared" si="17"/>
        <v>69.700000000000031</v>
      </c>
      <c r="BZ18" s="686">
        <f t="shared" si="17"/>
        <v>88.09999999999998</v>
      </c>
      <c r="CA18" s="526">
        <f t="shared" si="17"/>
        <v>284</v>
      </c>
      <c r="CB18" s="686">
        <f t="shared" si="17"/>
        <v>61.600000000000016</v>
      </c>
      <c r="CC18" s="686">
        <f t="shared" si="17"/>
        <v>68.800000000000011</v>
      </c>
      <c r="CD18" s="686">
        <f t="shared" si="17"/>
        <v>80.100000000000009</v>
      </c>
      <c r="CE18" s="686">
        <f t="shared" si="17"/>
        <v>66.099999999999952</v>
      </c>
      <c r="CF18" s="689">
        <f t="shared" si="17"/>
        <v>276.5999999999998</v>
      </c>
      <c r="CG18" s="686">
        <f t="shared" si="17"/>
        <v>72.199999999999989</v>
      </c>
      <c r="CH18" s="686">
        <f t="shared" si="17"/>
        <v>80.899999999999991</v>
      </c>
      <c r="CI18" s="686">
        <f t="shared" si="17"/>
        <v>80.299999999999969</v>
      </c>
      <c r="CJ18" s="686">
        <f t="shared" si="17"/>
        <v>73.199999999999932</v>
      </c>
      <c r="CK18" s="689">
        <f t="shared" si="17"/>
        <v>306.59999999999985</v>
      </c>
      <c r="CL18" s="618">
        <f t="shared" si="17"/>
        <v>42.399999999999977</v>
      </c>
      <c r="CM18" s="618"/>
      <c r="CN18" s="618"/>
      <c r="CO18" s="618"/>
      <c r="CP18" s="526"/>
      <c r="CQ18" s="526"/>
      <c r="CR18" s="526"/>
      <c r="CS18" s="526"/>
    </row>
    <row r="19" spans="2:97" hidden="1" outlineLevel="1">
      <c r="B19" s="498" t="s">
        <v>27</v>
      </c>
      <c r="C19" s="613">
        <v>0</v>
      </c>
      <c r="D19" s="613">
        <v>0</v>
      </c>
      <c r="E19" s="613">
        <v>0</v>
      </c>
      <c r="F19" s="613">
        <v>0</v>
      </c>
      <c r="G19" s="613">
        <v>-2.7</v>
      </c>
      <c r="H19" s="613">
        <v>0</v>
      </c>
      <c r="I19" s="613">
        <v>-9.6</v>
      </c>
      <c r="J19" s="613">
        <v>-3.1</v>
      </c>
      <c r="K19" s="613">
        <v>-3.1</v>
      </c>
      <c r="L19" s="613">
        <v>-3.2</v>
      </c>
      <c r="M19" s="613">
        <f t="shared" si="0"/>
        <v>-15.999999999999998</v>
      </c>
      <c r="N19" s="613">
        <v>-25.4</v>
      </c>
      <c r="O19" s="613">
        <v>-2.2999999999999998</v>
      </c>
      <c r="P19" s="613">
        <v>-2.2999999999999998</v>
      </c>
      <c r="Q19" s="613">
        <v>-11.8</v>
      </c>
      <c r="R19" s="613">
        <f t="shared" si="1"/>
        <v>-14.400000000000002</v>
      </c>
      <c r="S19" s="613">
        <v>-30.8</v>
      </c>
      <c r="T19" s="613">
        <v>0</v>
      </c>
      <c r="U19" s="613">
        <v>0</v>
      </c>
      <c r="V19" s="613">
        <v>0</v>
      </c>
      <c r="W19" s="613">
        <f t="shared" si="2"/>
        <v>1.8</v>
      </c>
      <c r="X19" s="613">
        <v>1.8</v>
      </c>
      <c r="Y19" s="613">
        <f>1.9+6.8</f>
        <v>8.6999999999999993</v>
      </c>
      <c r="Z19" s="613">
        <v>-8.6999999999999993</v>
      </c>
      <c r="AA19" s="613">
        <f>1.6-2.4</f>
        <v>-0.79999999999999982</v>
      </c>
      <c r="AB19" s="613">
        <f t="shared" si="3"/>
        <v>-4.3</v>
      </c>
      <c r="AC19" s="613">
        <v>-5.0999999999999996</v>
      </c>
      <c r="AD19" s="613">
        <v>0</v>
      </c>
      <c r="AE19" s="613">
        <v>0</v>
      </c>
      <c r="AF19" s="613">
        <v>0</v>
      </c>
      <c r="AG19" s="613">
        <f t="shared" si="4"/>
        <v>0</v>
      </c>
      <c r="AH19" s="613">
        <v>0</v>
      </c>
      <c r="AI19" s="613">
        <v>0</v>
      </c>
      <c r="AJ19" s="613">
        <v>0</v>
      </c>
      <c r="AK19" s="613">
        <v>0</v>
      </c>
      <c r="AL19" s="604">
        <v>0</v>
      </c>
      <c r="AM19" s="613">
        <f>SUM(AI19:AL19)</f>
        <v>0</v>
      </c>
      <c r="AN19" s="613">
        <v>0</v>
      </c>
      <c r="AO19" s="614">
        <v>0</v>
      </c>
      <c r="AP19" s="614">
        <v>0</v>
      </c>
      <c r="AQ19" s="613">
        <f t="shared" si="5"/>
        <v>0</v>
      </c>
      <c r="AR19" s="613">
        <v>0</v>
      </c>
      <c r="AS19" s="613">
        <v>0.5</v>
      </c>
      <c r="AT19" s="614">
        <v>0</v>
      </c>
      <c r="AU19" s="614">
        <v>0</v>
      </c>
      <c r="AV19" s="613">
        <v>0</v>
      </c>
      <c r="AW19" s="615">
        <f>SUM(AS19:AV19)</f>
        <v>0.5</v>
      </c>
      <c r="AX19" s="614">
        <v>0</v>
      </c>
      <c r="AY19" s="614">
        <v>0.3</v>
      </c>
      <c r="AZ19" s="614">
        <v>0</v>
      </c>
      <c r="BA19" s="614">
        <v>0</v>
      </c>
      <c r="BB19" s="613">
        <f>SUM(AX19:BA19)</f>
        <v>0.3</v>
      </c>
      <c r="BC19" s="614">
        <v>0</v>
      </c>
      <c r="BD19" s="614">
        <v>0</v>
      </c>
      <c r="BE19" s="614">
        <v>0</v>
      </c>
      <c r="BF19" s="614">
        <v>0</v>
      </c>
      <c r="BG19" s="613">
        <f>SUM(BC19:BF19)</f>
        <v>0</v>
      </c>
      <c r="BH19" s="614">
        <v>0</v>
      </c>
      <c r="BI19" s="615">
        <v>0</v>
      </c>
      <c r="BJ19" s="604">
        <v>0</v>
      </c>
      <c r="BK19" s="604">
        <v>0</v>
      </c>
      <c r="BL19" s="613">
        <f>SUM(BH19:BK19)</f>
        <v>0</v>
      </c>
      <c r="BM19" s="614">
        <v>0</v>
      </c>
      <c r="BN19" s="615">
        <v>0</v>
      </c>
      <c r="BO19" s="615">
        <v>0</v>
      </c>
      <c r="BP19" s="604">
        <v>0</v>
      </c>
      <c r="BQ19" s="613">
        <f>SUM(BM19:BP19)</f>
        <v>0</v>
      </c>
      <c r="BR19" s="614">
        <v>0</v>
      </c>
      <c r="BS19" s="615">
        <v>0</v>
      </c>
      <c r="BT19" s="614">
        <v>0</v>
      </c>
      <c r="BU19" s="614">
        <v>0</v>
      </c>
      <c r="BV19" s="613">
        <f>SUM(BR19:BU19)</f>
        <v>0</v>
      </c>
      <c r="BW19" s="614">
        <v>0</v>
      </c>
      <c r="BX19" s="614"/>
      <c r="BY19" s="604"/>
      <c r="BZ19" s="604"/>
      <c r="CA19" s="613">
        <f>SUM(BW19:BZ19)</f>
        <v>0</v>
      </c>
      <c r="CB19" s="614"/>
      <c r="CC19" s="615"/>
      <c r="CD19" s="604"/>
      <c r="CE19" s="604"/>
      <c r="CF19" s="691">
        <f>SUM(CB19:CE19)</f>
        <v>0</v>
      </c>
      <c r="CG19" s="614"/>
      <c r="CH19" s="615"/>
      <c r="CI19" s="604"/>
      <c r="CJ19" s="604"/>
      <c r="CK19" s="691">
        <f>SUM(CG19:CJ19)</f>
        <v>0</v>
      </c>
      <c r="CL19" s="614"/>
      <c r="CM19" s="615"/>
      <c r="CN19" s="604"/>
      <c r="CO19" s="604"/>
    </row>
    <row r="20" spans="2:97" collapsed="1">
      <c r="B20" s="526" t="s">
        <v>28</v>
      </c>
      <c r="C20" s="526">
        <f t="shared" ref="C20:L20" si="18">SUM(C18:C19)</f>
        <v>73.630000000000067</v>
      </c>
      <c r="D20" s="526">
        <f t="shared" si="18"/>
        <v>50.439000000000142</v>
      </c>
      <c r="E20" s="526">
        <f t="shared" si="18"/>
        <v>-23.3</v>
      </c>
      <c r="F20" s="526">
        <f t="shared" si="18"/>
        <v>54.200000000000074</v>
      </c>
      <c r="G20" s="526">
        <f t="shared" si="18"/>
        <v>-433.70000000000005</v>
      </c>
      <c r="H20" s="526">
        <f t="shared" si="18"/>
        <v>-13.600000000000051</v>
      </c>
      <c r="I20" s="526">
        <f t="shared" si="18"/>
        <v>-20.700000000000003</v>
      </c>
      <c r="J20" s="526">
        <f t="shared" si="18"/>
        <v>5.0000000000000249</v>
      </c>
      <c r="K20" s="526">
        <f t="shared" si="18"/>
        <v>5.6999999999999975</v>
      </c>
      <c r="L20" s="526">
        <f t="shared" si="18"/>
        <v>1.1000000000000334</v>
      </c>
      <c r="M20" s="526">
        <f t="shared" si="0"/>
        <v>-8.4000000000000323</v>
      </c>
      <c r="N20" s="526">
        <f>SUM(N18:N19)</f>
        <v>3.4000000000000234</v>
      </c>
      <c r="O20" s="526">
        <f>SUM(O18:O19)</f>
        <v>-24.699999999999992</v>
      </c>
      <c r="P20" s="526">
        <f>SUM(P18:P19)</f>
        <v>23.900000000000016</v>
      </c>
      <c r="Q20" s="526">
        <f>SUM(Q18:Q19)</f>
        <v>-10.699999999999966</v>
      </c>
      <c r="R20" s="526">
        <f t="shared" si="1"/>
        <v>120.39999999999999</v>
      </c>
      <c r="S20" s="526">
        <f>SUM(S18:S19)</f>
        <v>108.90000000000005</v>
      </c>
      <c r="T20" s="526">
        <f>SUM(T18:T19)</f>
        <v>14.499999999999989</v>
      </c>
      <c r="U20" s="526">
        <f>SUM(U18:U19)</f>
        <v>17.599999999999991</v>
      </c>
      <c r="V20" s="526">
        <f>SUM(V18:V19)</f>
        <v>15.700000000000028</v>
      </c>
      <c r="W20" s="526">
        <f t="shared" si="2"/>
        <v>18.099999999999952</v>
      </c>
      <c r="X20" s="526">
        <f>SUM(X18:X19)</f>
        <v>65.899999999999963</v>
      </c>
      <c r="Y20" s="526">
        <f>SUM(Y18:Y19)</f>
        <v>23.500000000000028</v>
      </c>
      <c r="Z20" s="526">
        <f>SUM(Z18:Z19)</f>
        <v>8.8000000000000078</v>
      </c>
      <c r="AA20" s="526">
        <f>SUM(AA18:AA19)</f>
        <v>17.300000000000029</v>
      </c>
      <c r="AB20" s="526">
        <f t="shared" si="3"/>
        <v>8.6999999999998465</v>
      </c>
      <c r="AC20" s="526">
        <f>SUM(AC18:AC19)</f>
        <v>58.299999999999912</v>
      </c>
      <c r="AD20" s="526">
        <f>SUM(AD18:AD19)</f>
        <v>23.200000000000024</v>
      </c>
      <c r="AE20" s="526">
        <f>SUM(AE18:AE19)</f>
        <v>26.700000000000028</v>
      </c>
      <c r="AF20" s="526">
        <f>SUM(AF18:AF19)</f>
        <v>32.999999999999957</v>
      </c>
      <c r="AG20" s="526">
        <f t="shared" si="4"/>
        <v>28.30000000000004</v>
      </c>
      <c r="AH20" s="526">
        <f t="shared" ref="AH20:AP20" si="19">SUM(AH18:AH19)</f>
        <v>111.20000000000005</v>
      </c>
      <c r="AI20" s="526">
        <f t="shared" si="19"/>
        <v>23.400000000000009</v>
      </c>
      <c r="AJ20" s="526">
        <f t="shared" si="19"/>
        <v>16.800000000000029</v>
      </c>
      <c r="AK20" s="526">
        <f t="shared" si="19"/>
        <v>10.400000000000018</v>
      </c>
      <c r="AL20" s="526">
        <f t="shared" si="19"/>
        <v>5.7000000000000099</v>
      </c>
      <c r="AM20" s="526">
        <f t="shared" si="19"/>
        <v>56.300000000000253</v>
      </c>
      <c r="AN20" s="526">
        <f t="shared" si="19"/>
        <v>15.799999999999995</v>
      </c>
      <c r="AO20" s="526">
        <f t="shared" si="19"/>
        <v>23.100000000000026</v>
      </c>
      <c r="AP20" s="526">
        <f t="shared" si="19"/>
        <v>15.599999999999998</v>
      </c>
      <c r="AQ20" s="526">
        <f t="shared" si="5"/>
        <v>22.899999999999878</v>
      </c>
      <c r="AR20" s="526">
        <f t="shared" ref="AR20:CL20" si="20">SUM(AR18:AR19)</f>
        <v>77.399999999999892</v>
      </c>
      <c r="AS20" s="526">
        <f t="shared" si="20"/>
        <v>26.400000000000031</v>
      </c>
      <c r="AT20" s="603">
        <f t="shared" si="20"/>
        <v>37.400000000000006</v>
      </c>
      <c r="AU20" s="603">
        <f t="shared" si="20"/>
        <v>32.199999999999996</v>
      </c>
      <c r="AV20" s="603">
        <f t="shared" si="20"/>
        <v>39.500000000000021</v>
      </c>
      <c r="AW20" s="526">
        <f t="shared" si="20"/>
        <v>135.49999999999991</v>
      </c>
      <c r="AX20" s="603">
        <f t="shared" si="20"/>
        <v>39.600000000000037</v>
      </c>
      <c r="AY20" s="618">
        <f t="shared" si="20"/>
        <v>48.000000000000007</v>
      </c>
      <c r="AZ20" s="618">
        <f t="shared" si="20"/>
        <v>39.800000000000047</v>
      </c>
      <c r="BA20" s="618">
        <f t="shared" si="20"/>
        <v>36.900000000000027</v>
      </c>
      <c r="BB20" s="713">
        <f t="shared" si="20"/>
        <v>164.3000000000001</v>
      </c>
      <c r="BC20" s="713">
        <f t="shared" si="20"/>
        <v>43.6</v>
      </c>
      <c r="BD20" s="713">
        <f t="shared" si="20"/>
        <v>48.500000000000021</v>
      </c>
      <c r="BE20" s="713">
        <f t="shared" si="20"/>
        <v>48.7</v>
      </c>
      <c r="BF20" s="713">
        <f t="shared" si="20"/>
        <v>47.100000000000023</v>
      </c>
      <c r="BG20" s="713">
        <f t="shared" si="20"/>
        <v>187.90000000000003</v>
      </c>
      <c r="BH20" s="713">
        <f t="shared" si="20"/>
        <v>50.1</v>
      </c>
      <c r="BI20" s="713">
        <f t="shared" si="20"/>
        <v>50.600000000000023</v>
      </c>
      <c r="BJ20" s="713">
        <f t="shared" si="20"/>
        <v>55.800000000000004</v>
      </c>
      <c r="BK20" s="713">
        <f t="shared" si="20"/>
        <v>52.900000000000013</v>
      </c>
      <c r="BL20" s="713">
        <f t="shared" si="20"/>
        <v>209.39999999999972</v>
      </c>
      <c r="BM20" s="713">
        <f t="shared" si="20"/>
        <v>68.099999999999994</v>
      </c>
      <c r="BN20" s="713">
        <f t="shared" si="20"/>
        <v>61.699999999999967</v>
      </c>
      <c r="BO20" s="713">
        <f t="shared" si="20"/>
        <v>53.500000000000028</v>
      </c>
      <c r="BP20" s="713">
        <f t="shared" si="20"/>
        <v>53.899999999999956</v>
      </c>
      <c r="BQ20" s="713">
        <f t="shared" si="20"/>
        <v>237.1999999999997</v>
      </c>
      <c r="BR20" s="713">
        <f t="shared" si="20"/>
        <v>55.999999999999993</v>
      </c>
      <c r="BS20" s="713">
        <f t="shared" si="20"/>
        <v>66.100000000000009</v>
      </c>
      <c r="BT20" s="713">
        <f t="shared" si="20"/>
        <v>68.2</v>
      </c>
      <c r="BU20" s="713">
        <f t="shared" si="20"/>
        <v>59.500000000000036</v>
      </c>
      <c r="BV20" s="713">
        <f t="shared" si="20"/>
        <v>249.80000000000013</v>
      </c>
      <c r="BW20" s="713">
        <f t="shared" si="20"/>
        <v>64.600000000000023</v>
      </c>
      <c r="BX20" s="713">
        <f t="shared" si="20"/>
        <v>61.600000000000044</v>
      </c>
      <c r="BY20" s="713">
        <f t="shared" si="20"/>
        <v>69.700000000000031</v>
      </c>
      <c r="BZ20" s="713">
        <f t="shared" si="20"/>
        <v>88.09999999999998</v>
      </c>
      <c r="CA20" s="713">
        <f t="shared" si="20"/>
        <v>284</v>
      </c>
      <c r="CB20" s="713">
        <f t="shared" si="20"/>
        <v>61.600000000000016</v>
      </c>
      <c r="CC20" s="713">
        <f t="shared" si="20"/>
        <v>68.800000000000011</v>
      </c>
      <c r="CD20" s="713">
        <f t="shared" si="20"/>
        <v>80.100000000000009</v>
      </c>
      <c r="CE20" s="713">
        <f t="shared" si="20"/>
        <v>66.099999999999952</v>
      </c>
      <c r="CF20" s="713">
        <f t="shared" si="20"/>
        <v>276.5999999999998</v>
      </c>
      <c r="CG20" s="713">
        <f t="shared" si="20"/>
        <v>72.199999999999989</v>
      </c>
      <c r="CH20" s="713">
        <f t="shared" si="20"/>
        <v>80.899999999999991</v>
      </c>
      <c r="CI20" s="713">
        <f t="shared" si="20"/>
        <v>80.299999999999969</v>
      </c>
      <c r="CJ20" s="713">
        <f t="shared" si="20"/>
        <v>73.199999999999932</v>
      </c>
      <c r="CK20" s="713">
        <f t="shared" si="20"/>
        <v>306.59999999999985</v>
      </c>
      <c r="CL20" s="618">
        <f t="shared" si="20"/>
        <v>42.399999999999977</v>
      </c>
      <c r="CM20" s="619"/>
      <c r="CN20" s="619"/>
      <c r="CO20" s="619"/>
      <c r="CP20" s="526"/>
      <c r="CQ20" s="526"/>
      <c r="CR20" s="526"/>
      <c r="CS20" s="526"/>
    </row>
    <row r="21" spans="2:97">
      <c r="B21" s="526"/>
      <c r="AT21" s="604"/>
      <c r="AU21" s="604"/>
      <c r="BI21" s="611"/>
      <c r="BN21" s="611"/>
      <c r="BS21" s="611"/>
      <c r="BT21" s="604"/>
      <c r="CC21" s="611"/>
      <c r="CH21" s="611"/>
      <c r="CM21" s="611"/>
    </row>
    <row r="22" spans="2:97" hidden="1" outlineLevel="1">
      <c r="B22" s="498" t="s">
        <v>29</v>
      </c>
      <c r="C22" s="620">
        <f t="shared" ref="C22:AH22" si="21">C18/C30</f>
        <v>2.0036464569500398</v>
      </c>
      <c r="D22" s="620">
        <f t="shared" si="21"/>
        <v>1.3752965235173864</v>
      </c>
      <c r="E22" s="620">
        <f t="shared" si="21"/>
        <v>-0.64010989010989017</v>
      </c>
      <c r="F22" s="620">
        <f t="shared" si="21"/>
        <v>1.4728260869565239</v>
      </c>
      <c r="G22" s="620">
        <f t="shared" si="21"/>
        <v>-11.462765957446809</v>
      </c>
      <c r="H22" s="620">
        <f t="shared" si="21"/>
        <v>-0.35416666666666802</v>
      </c>
      <c r="I22" s="620">
        <f t="shared" si="21"/>
        <v>-0.28756476683937837</v>
      </c>
      <c r="J22" s="620">
        <f t="shared" si="21"/>
        <v>0.20822622107969216</v>
      </c>
      <c r="K22" s="620">
        <f t="shared" si="21"/>
        <v>0.22448979591836726</v>
      </c>
      <c r="L22" s="620">
        <f t="shared" si="21"/>
        <v>0.10913705583756431</v>
      </c>
      <c r="M22" s="620">
        <f t="shared" si="21"/>
        <v>0.18269230769230696</v>
      </c>
      <c r="N22" s="620">
        <f t="shared" si="21"/>
        <v>0.7328244274809167</v>
      </c>
      <c r="O22" s="620">
        <f t="shared" si="21"/>
        <v>-0.41558441558441545</v>
      </c>
      <c r="P22" s="620">
        <f t="shared" si="21"/>
        <v>0.48073394495412874</v>
      </c>
      <c r="Q22" s="620">
        <f t="shared" si="21"/>
        <v>1.7628205128205683E-2</v>
      </c>
      <c r="R22" s="620">
        <f t="shared" si="21"/>
        <v>1.9536231884057969</v>
      </c>
      <c r="S22" s="620">
        <f t="shared" si="21"/>
        <v>2.328333333333334</v>
      </c>
      <c r="T22" s="620">
        <f t="shared" si="21"/>
        <v>0.15608180839612473</v>
      </c>
      <c r="U22" s="620">
        <f t="shared" si="21"/>
        <v>0.18843683083511767</v>
      </c>
      <c r="V22" s="620">
        <f t="shared" si="21"/>
        <v>0.16755602988260435</v>
      </c>
      <c r="W22" s="620">
        <f t="shared" si="21"/>
        <v>0.17414529914529861</v>
      </c>
      <c r="X22" s="620">
        <f t="shared" si="21"/>
        <v>0.68629550321199106</v>
      </c>
      <c r="Y22" s="620">
        <f t="shared" si="21"/>
        <v>0.15744680851063861</v>
      </c>
      <c r="Z22" s="620">
        <f t="shared" si="21"/>
        <v>0.18538135593220345</v>
      </c>
      <c r="AA22" s="620">
        <f t="shared" si="21"/>
        <v>0.19072708113804035</v>
      </c>
      <c r="AB22" s="620">
        <f t="shared" si="21"/>
        <v>0.13612565445026018</v>
      </c>
      <c r="AC22" s="620">
        <f t="shared" si="21"/>
        <v>0.66948257655754917</v>
      </c>
      <c r="AD22" s="620">
        <f t="shared" si="21"/>
        <v>0.24141519250780463</v>
      </c>
      <c r="AE22" s="620">
        <f t="shared" si="21"/>
        <v>0.27754677754677781</v>
      </c>
      <c r="AF22" s="620">
        <f t="shared" si="21"/>
        <v>0.341968911917098</v>
      </c>
      <c r="AG22" s="620">
        <f t="shared" si="21"/>
        <v>0.29235537190082672</v>
      </c>
      <c r="AH22" s="620">
        <f t="shared" si="21"/>
        <v>1.1535269709543572</v>
      </c>
      <c r="AI22" s="620">
        <f t="shared" ref="AI22:BN22" si="22">AI18/AI30</f>
        <v>0.24173553719008276</v>
      </c>
      <c r="AJ22" s="620">
        <f t="shared" si="22"/>
        <v>0.17337461300309626</v>
      </c>
      <c r="AK22" s="620">
        <f t="shared" si="22"/>
        <v>0.10732714138286911</v>
      </c>
      <c r="AL22" s="620">
        <f t="shared" si="22"/>
        <v>5.8823529411764802E-2</v>
      </c>
      <c r="AM22" s="620">
        <f t="shared" si="22"/>
        <v>0.58101135190918729</v>
      </c>
      <c r="AN22" s="620">
        <f t="shared" si="22"/>
        <v>0.16238437821171631</v>
      </c>
      <c r="AO22" s="620">
        <f t="shared" si="22"/>
        <v>0.23692307692307718</v>
      </c>
      <c r="AP22" s="620">
        <f t="shared" si="22"/>
        <v>0.15967246673490273</v>
      </c>
      <c r="AQ22" s="620">
        <f t="shared" si="22"/>
        <v>0.23391215526046863</v>
      </c>
      <c r="AR22" s="620">
        <f t="shared" si="22"/>
        <v>0.79303278688524481</v>
      </c>
      <c r="AS22" s="620">
        <f t="shared" si="22"/>
        <v>0.26374745417515305</v>
      </c>
      <c r="AT22" s="621">
        <f t="shared" si="22"/>
        <v>0.3793103448275863</v>
      </c>
      <c r="AU22" s="621">
        <f t="shared" si="22"/>
        <v>0.32525252525252518</v>
      </c>
      <c r="AV22" s="620">
        <f t="shared" si="22"/>
        <v>0.39818548387096797</v>
      </c>
      <c r="AW22" s="620">
        <f t="shared" si="22"/>
        <v>1.3663967611336023</v>
      </c>
      <c r="AX22" s="620">
        <f t="shared" si="22"/>
        <v>0.39679358717434909</v>
      </c>
      <c r="AY22" s="620">
        <f t="shared" si="22"/>
        <v>0.47604790419161686</v>
      </c>
      <c r="AZ22" s="620">
        <f t="shared" si="22"/>
        <v>0.39680957128614203</v>
      </c>
      <c r="BA22" s="620">
        <f t="shared" si="22"/>
        <v>0.36752988047808788</v>
      </c>
      <c r="BB22" s="620">
        <f t="shared" si="22"/>
        <v>1.6367265469061885</v>
      </c>
      <c r="BC22" s="620">
        <f t="shared" si="22"/>
        <v>0.43426294820717132</v>
      </c>
      <c r="BD22" s="620">
        <f t="shared" si="22"/>
        <v>0.48500000000000021</v>
      </c>
      <c r="BE22" s="620">
        <f t="shared" si="22"/>
        <v>0.48846539618856571</v>
      </c>
      <c r="BF22" s="620">
        <f t="shared" si="22"/>
        <v>0.472417251755266</v>
      </c>
      <c r="BG22" s="620">
        <f t="shared" si="22"/>
        <v>1.8790000000000004</v>
      </c>
      <c r="BH22" s="620">
        <f t="shared" si="22"/>
        <v>0.50862944162436552</v>
      </c>
      <c r="BI22" s="622">
        <f t="shared" si="22"/>
        <v>0.52004110996916775</v>
      </c>
      <c r="BJ22" s="622">
        <f t="shared" si="22"/>
        <v>0.58246346555323592</v>
      </c>
      <c r="BK22" s="622">
        <f t="shared" si="22"/>
        <v>0.55334728033472824</v>
      </c>
      <c r="BL22" s="620">
        <f t="shared" si="22"/>
        <v>2.1632231404958646</v>
      </c>
      <c r="BM22" s="622">
        <f t="shared" si="22"/>
        <v>0.7079002079002078</v>
      </c>
      <c r="BN22" s="622">
        <f t="shared" si="22"/>
        <v>0.6387163561076602</v>
      </c>
      <c r="BO22" s="622">
        <f t="shared" ref="BO22:CL22" si="23">BO18/BO30</f>
        <v>0.55845511482254728</v>
      </c>
      <c r="BP22" s="622">
        <f t="shared" si="23"/>
        <v>0.57097457627118597</v>
      </c>
      <c r="BQ22" s="620">
        <f t="shared" si="23"/>
        <v>2.4759916492693081</v>
      </c>
      <c r="BR22" s="622">
        <f t="shared" si="23"/>
        <v>0.5995717344753746</v>
      </c>
      <c r="BS22" s="622">
        <f t="shared" si="23"/>
        <v>0.70998925886143949</v>
      </c>
      <c r="BT22" s="621">
        <f t="shared" si="23"/>
        <v>0.7357065803667745</v>
      </c>
      <c r="BU22" s="621">
        <f t="shared" si="23"/>
        <v>0.64814814814814858</v>
      </c>
      <c r="BV22" s="620">
        <f t="shared" si="23"/>
        <v>2.6918103448275876</v>
      </c>
      <c r="BW22" s="621">
        <f t="shared" si="23"/>
        <v>0.70678336980306367</v>
      </c>
      <c r="BX22" s="621">
        <f t="shared" si="23"/>
        <v>0.6791620727673654</v>
      </c>
      <c r="BY22" s="621">
        <f t="shared" si="23"/>
        <v>0.77358490566037774</v>
      </c>
      <c r="BZ22" s="621">
        <f t="shared" si="23"/>
        <v>0.9788888888888887</v>
      </c>
      <c r="CA22" s="620">
        <f t="shared" si="23"/>
        <v>3.1346578366445916</v>
      </c>
      <c r="CB22" s="621">
        <f t="shared" si="23"/>
        <v>0.68444444444444463</v>
      </c>
      <c r="CC22" s="621">
        <f t="shared" si="23"/>
        <v>0.77477477477477497</v>
      </c>
      <c r="CD22" s="621">
        <f t="shared" si="23"/>
        <v>0.92068965517241386</v>
      </c>
      <c r="CE22" s="621">
        <f t="shared" si="23"/>
        <v>0.76949941792782239</v>
      </c>
      <c r="CF22" s="620">
        <f t="shared" si="23"/>
        <v>3.1467576791808849</v>
      </c>
      <c r="CG22" s="621">
        <f t="shared" si="23"/>
        <v>0.8494117647058822</v>
      </c>
      <c r="CH22" s="621">
        <f t="shared" si="23"/>
        <v>0.94953051643192476</v>
      </c>
      <c r="CI22" s="621">
        <f t="shared" si="23"/>
        <v>0.94359576968272585</v>
      </c>
      <c r="CJ22" s="621">
        <f t="shared" si="23"/>
        <v>0.86729857819905132</v>
      </c>
      <c r="CK22" s="620">
        <f t="shared" si="23"/>
        <v>3.6113074204946978</v>
      </c>
      <c r="CL22" s="621">
        <f t="shared" si="23"/>
        <v>0.50657108721624822</v>
      </c>
      <c r="CM22" s="622"/>
      <c r="CN22" s="622"/>
      <c r="CO22" s="622"/>
    </row>
    <row r="23" spans="2:97" hidden="1" outlineLevel="1">
      <c r="B23" s="498" t="s">
        <v>27</v>
      </c>
      <c r="C23" s="623">
        <f t="shared" ref="C23:AH23" si="24">C19/C30</f>
        <v>0</v>
      </c>
      <c r="D23" s="623">
        <f t="shared" si="24"/>
        <v>0</v>
      </c>
      <c r="E23" s="623">
        <f t="shared" si="24"/>
        <v>0</v>
      </c>
      <c r="F23" s="623">
        <f t="shared" si="24"/>
        <v>0</v>
      </c>
      <c r="G23" s="623">
        <f t="shared" si="24"/>
        <v>-7.1808510638297879E-2</v>
      </c>
      <c r="H23" s="623">
        <f t="shared" si="24"/>
        <v>0</v>
      </c>
      <c r="I23" s="623">
        <f t="shared" si="24"/>
        <v>-0.24870466321243523</v>
      </c>
      <c r="J23" s="623">
        <f t="shared" si="24"/>
        <v>-7.9691516709511578E-2</v>
      </c>
      <c r="K23" s="623">
        <f t="shared" si="24"/>
        <v>-7.9081632653061215E-2</v>
      </c>
      <c r="L23" s="623">
        <f t="shared" si="24"/>
        <v>-8.1218274111675134E-2</v>
      </c>
      <c r="M23" s="623">
        <f t="shared" si="24"/>
        <v>-0.38461538461538458</v>
      </c>
      <c r="N23" s="623">
        <f t="shared" si="24"/>
        <v>-0.64631043256997456</v>
      </c>
      <c r="O23" s="623">
        <f t="shared" si="24"/>
        <v>-4.2671614100185523E-2</v>
      </c>
      <c r="P23" s="623">
        <f t="shared" si="24"/>
        <v>-4.2201834862385317E-2</v>
      </c>
      <c r="Q23" s="623">
        <f t="shared" si="24"/>
        <v>-0.18910256410256412</v>
      </c>
      <c r="R23" s="623">
        <f t="shared" si="24"/>
        <v>-0.20869565217391309</v>
      </c>
      <c r="S23" s="623">
        <f t="shared" si="24"/>
        <v>-0.51333333333333331</v>
      </c>
      <c r="T23" s="623">
        <f t="shared" si="24"/>
        <v>0</v>
      </c>
      <c r="U23" s="623">
        <f t="shared" si="24"/>
        <v>0</v>
      </c>
      <c r="V23" s="623">
        <f t="shared" si="24"/>
        <v>0</v>
      </c>
      <c r="W23" s="623">
        <f t="shared" si="24"/>
        <v>1.9230769230769225E-2</v>
      </c>
      <c r="X23" s="623">
        <f t="shared" si="24"/>
        <v>1.9271948608137045E-2</v>
      </c>
      <c r="Y23" s="623">
        <f t="shared" si="24"/>
        <v>9.2553191489361697E-2</v>
      </c>
      <c r="Z23" s="623">
        <f t="shared" si="24"/>
        <v>-9.2161016949152533E-2</v>
      </c>
      <c r="AA23" s="623">
        <f t="shared" si="24"/>
        <v>-8.4299262381454139E-3</v>
      </c>
      <c r="AB23" s="623">
        <f t="shared" si="24"/>
        <v>-4.5026178010471214E-2</v>
      </c>
      <c r="AC23" s="623">
        <f t="shared" si="24"/>
        <v>-5.3854276663146773E-2</v>
      </c>
      <c r="AD23" s="623">
        <f t="shared" si="24"/>
        <v>0</v>
      </c>
      <c r="AE23" s="623">
        <f t="shared" si="24"/>
        <v>0</v>
      </c>
      <c r="AF23" s="623">
        <f t="shared" si="24"/>
        <v>0</v>
      </c>
      <c r="AG23" s="623">
        <f t="shared" si="24"/>
        <v>0</v>
      </c>
      <c r="AH23" s="623">
        <f t="shared" si="24"/>
        <v>0</v>
      </c>
      <c r="AI23" s="623">
        <f t="shared" ref="AI23:BN23" si="25">AI19/AI30</f>
        <v>0</v>
      </c>
      <c r="AJ23" s="623">
        <f t="shared" si="25"/>
        <v>0</v>
      </c>
      <c r="AK23" s="623">
        <f t="shared" si="25"/>
        <v>0</v>
      </c>
      <c r="AL23" s="623">
        <f t="shared" si="25"/>
        <v>0</v>
      </c>
      <c r="AM23" s="623">
        <f t="shared" si="25"/>
        <v>0</v>
      </c>
      <c r="AN23" s="623">
        <f t="shared" si="25"/>
        <v>0</v>
      </c>
      <c r="AO23" s="623">
        <f t="shared" si="25"/>
        <v>0</v>
      </c>
      <c r="AP23" s="623">
        <f t="shared" si="25"/>
        <v>0</v>
      </c>
      <c r="AQ23" s="623">
        <f t="shared" si="25"/>
        <v>0</v>
      </c>
      <c r="AR23" s="623">
        <f t="shared" si="25"/>
        <v>0</v>
      </c>
      <c r="AS23" s="623">
        <f t="shared" si="25"/>
        <v>5.0916496945010185E-3</v>
      </c>
      <c r="AT23" s="624">
        <f t="shared" si="25"/>
        <v>0</v>
      </c>
      <c r="AU23" s="624">
        <f t="shared" si="25"/>
        <v>0</v>
      </c>
      <c r="AV23" s="623">
        <f t="shared" si="25"/>
        <v>0</v>
      </c>
      <c r="AW23" s="623">
        <f t="shared" si="25"/>
        <v>5.0607287449392713E-3</v>
      </c>
      <c r="AX23" s="623">
        <f t="shared" si="25"/>
        <v>0</v>
      </c>
      <c r="AY23" s="623">
        <f t="shared" si="25"/>
        <v>2.9940119760479039E-3</v>
      </c>
      <c r="AZ23" s="623">
        <f t="shared" si="25"/>
        <v>0</v>
      </c>
      <c r="BA23" s="623">
        <f t="shared" si="25"/>
        <v>0</v>
      </c>
      <c r="BB23" s="623">
        <f t="shared" si="25"/>
        <v>2.9940119760479039E-3</v>
      </c>
      <c r="BC23" s="623">
        <f t="shared" si="25"/>
        <v>0</v>
      </c>
      <c r="BD23" s="623">
        <f t="shared" si="25"/>
        <v>0</v>
      </c>
      <c r="BE23" s="623">
        <f t="shared" si="25"/>
        <v>0</v>
      </c>
      <c r="BF23" s="623">
        <f t="shared" si="25"/>
        <v>0</v>
      </c>
      <c r="BG23" s="623">
        <f t="shared" si="25"/>
        <v>0</v>
      </c>
      <c r="BH23" s="623">
        <f t="shared" si="25"/>
        <v>0</v>
      </c>
      <c r="BI23" s="625">
        <f t="shared" si="25"/>
        <v>0</v>
      </c>
      <c r="BJ23" s="625">
        <f t="shared" si="25"/>
        <v>0</v>
      </c>
      <c r="BK23" s="625">
        <f t="shared" si="25"/>
        <v>0</v>
      </c>
      <c r="BL23" s="623">
        <f t="shared" si="25"/>
        <v>0</v>
      </c>
      <c r="BM23" s="625">
        <f t="shared" si="25"/>
        <v>0</v>
      </c>
      <c r="BN23" s="625">
        <f t="shared" si="25"/>
        <v>0</v>
      </c>
      <c r="BO23" s="625">
        <f t="shared" ref="BO23:CL23" si="26">BO19/BO30</f>
        <v>0</v>
      </c>
      <c r="BP23" s="625">
        <f t="shared" si="26"/>
        <v>0</v>
      </c>
      <c r="BQ23" s="623">
        <f t="shared" si="26"/>
        <v>0</v>
      </c>
      <c r="BR23" s="625">
        <f t="shared" si="26"/>
        <v>0</v>
      </c>
      <c r="BS23" s="625">
        <f t="shared" si="26"/>
        <v>0</v>
      </c>
      <c r="BT23" s="624">
        <f t="shared" si="26"/>
        <v>0</v>
      </c>
      <c r="BU23" s="624">
        <f t="shared" si="26"/>
        <v>0</v>
      </c>
      <c r="BV23" s="623">
        <f t="shared" si="26"/>
        <v>0</v>
      </c>
      <c r="BW23" s="624">
        <f t="shared" si="26"/>
        <v>0</v>
      </c>
      <c r="BX23" s="624">
        <f t="shared" si="26"/>
        <v>0</v>
      </c>
      <c r="BY23" s="624">
        <f t="shared" si="26"/>
        <v>0</v>
      </c>
      <c r="BZ23" s="624">
        <f t="shared" si="26"/>
        <v>0</v>
      </c>
      <c r="CA23" s="623">
        <f t="shared" si="26"/>
        <v>0</v>
      </c>
      <c r="CB23" s="624">
        <f t="shared" si="26"/>
        <v>0</v>
      </c>
      <c r="CC23" s="624">
        <f t="shared" si="26"/>
        <v>0</v>
      </c>
      <c r="CD23" s="624">
        <f t="shared" si="26"/>
        <v>0</v>
      </c>
      <c r="CE23" s="624">
        <f t="shared" si="26"/>
        <v>0</v>
      </c>
      <c r="CF23" s="623">
        <f t="shared" si="26"/>
        <v>0</v>
      </c>
      <c r="CG23" s="624">
        <f t="shared" si="26"/>
        <v>0</v>
      </c>
      <c r="CH23" s="624">
        <f t="shared" si="26"/>
        <v>0</v>
      </c>
      <c r="CI23" s="624">
        <f t="shared" si="26"/>
        <v>0</v>
      </c>
      <c r="CJ23" s="624">
        <f t="shared" si="26"/>
        <v>0</v>
      </c>
      <c r="CK23" s="623">
        <f t="shared" si="26"/>
        <v>0</v>
      </c>
      <c r="CL23" s="624">
        <f t="shared" si="26"/>
        <v>0</v>
      </c>
      <c r="CM23" s="625"/>
      <c r="CN23" s="625"/>
      <c r="CO23" s="625"/>
    </row>
    <row r="24" spans="2:97" collapsed="1">
      <c r="B24" s="526" t="s">
        <v>30</v>
      </c>
      <c r="C24" s="626">
        <f t="shared" ref="C24:AH24" si="27">C20/C30</f>
        <v>2.0036464569500398</v>
      </c>
      <c r="D24" s="626">
        <f t="shared" si="27"/>
        <v>1.3752965235173864</v>
      </c>
      <c r="E24" s="626">
        <f t="shared" si="27"/>
        <v>-0.64010989010989017</v>
      </c>
      <c r="F24" s="626">
        <f t="shared" si="27"/>
        <v>1.4728260869565239</v>
      </c>
      <c r="G24" s="626">
        <f t="shared" si="27"/>
        <v>-11.534574468085108</v>
      </c>
      <c r="H24" s="626">
        <f t="shared" si="27"/>
        <v>-0.35416666666666802</v>
      </c>
      <c r="I24" s="626">
        <f t="shared" si="27"/>
        <v>-0.53626943005181349</v>
      </c>
      <c r="J24" s="626">
        <f t="shared" si="27"/>
        <v>0.12853470437018058</v>
      </c>
      <c r="K24" s="626">
        <f t="shared" si="27"/>
        <v>0.14540816326530606</v>
      </c>
      <c r="L24" s="626">
        <f t="shared" si="27"/>
        <v>2.7918781725889172E-2</v>
      </c>
      <c r="M24" s="626">
        <f t="shared" si="27"/>
        <v>-0.2019230769230777</v>
      </c>
      <c r="N24" s="626">
        <f t="shared" si="27"/>
        <v>8.6513994910942082E-2</v>
      </c>
      <c r="O24" s="626">
        <f t="shared" si="27"/>
        <v>-0.458256029684601</v>
      </c>
      <c r="P24" s="626">
        <f t="shared" si="27"/>
        <v>0.43853211009174342</v>
      </c>
      <c r="Q24" s="626">
        <f t="shared" si="27"/>
        <v>-0.17147435897435842</v>
      </c>
      <c r="R24" s="626">
        <f t="shared" si="27"/>
        <v>1.7449275362318839</v>
      </c>
      <c r="S24" s="626">
        <f t="shared" si="27"/>
        <v>1.8150000000000008</v>
      </c>
      <c r="T24" s="626">
        <f t="shared" si="27"/>
        <v>0.15608180839612473</v>
      </c>
      <c r="U24" s="626">
        <f t="shared" si="27"/>
        <v>0.18843683083511767</v>
      </c>
      <c r="V24" s="626">
        <f t="shared" si="27"/>
        <v>0.16755602988260435</v>
      </c>
      <c r="W24" s="626">
        <f t="shared" si="27"/>
        <v>0.1933760683760678</v>
      </c>
      <c r="X24" s="626">
        <f t="shared" si="27"/>
        <v>0.70556745182012803</v>
      </c>
      <c r="Y24" s="626">
        <f t="shared" si="27"/>
        <v>0.25000000000000028</v>
      </c>
      <c r="Z24" s="626">
        <f t="shared" si="27"/>
        <v>9.3220338983050918E-2</v>
      </c>
      <c r="AA24" s="626">
        <f t="shared" si="27"/>
        <v>0.18229715489989493</v>
      </c>
      <c r="AB24" s="626">
        <f t="shared" si="27"/>
        <v>9.1099476439788996E-2</v>
      </c>
      <c r="AC24" s="626">
        <f t="shared" si="27"/>
        <v>0.61562829989440238</v>
      </c>
      <c r="AD24" s="626">
        <f t="shared" si="27"/>
        <v>0.24141519250780463</v>
      </c>
      <c r="AE24" s="626">
        <f t="shared" si="27"/>
        <v>0.27754677754677781</v>
      </c>
      <c r="AF24" s="626">
        <f t="shared" si="27"/>
        <v>0.341968911917098</v>
      </c>
      <c r="AG24" s="626">
        <f t="shared" si="27"/>
        <v>0.29235537190082672</v>
      </c>
      <c r="AH24" s="626">
        <f t="shared" si="27"/>
        <v>1.1535269709543572</v>
      </c>
      <c r="AI24" s="626">
        <f t="shared" ref="AI24:BN24" si="28">AI20/AI30</f>
        <v>0.24173553719008276</v>
      </c>
      <c r="AJ24" s="626">
        <f t="shared" si="28"/>
        <v>0.17337461300309626</v>
      </c>
      <c r="AK24" s="626">
        <f t="shared" si="28"/>
        <v>0.10732714138286911</v>
      </c>
      <c r="AL24" s="626">
        <f t="shared" si="28"/>
        <v>5.8823529411764802E-2</v>
      </c>
      <c r="AM24" s="626">
        <f t="shared" si="28"/>
        <v>0.58101135190918729</v>
      </c>
      <c r="AN24" s="626">
        <f t="shared" si="28"/>
        <v>0.16238437821171631</v>
      </c>
      <c r="AO24" s="626">
        <f t="shared" si="28"/>
        <v>0.23692307692307718</v>
      </c>
      <c r="AP24" s="626">
        <f t="shared" si="28"/>
        <v>0.15967246673490273</v>
      </c>
      <c r="AQ24" s="626">
        <f t="shared" si="28"/>
        <v>0.23391215526046863</v>
      </c>
      <c r="AR24" s="626">
        <f t="shared" si="28"/>
        <v>0.79303278688524481</v>
      </c>
      <c r="AS24" s="626">
        <f t="shared" si="28"/>
        <v>0.26883910386965409</v>
      </c>
      <c r="AT24" s="627">
        <f t="shared" si="28"/>
        <v>0.3793103448275863</v>
      </c>
      <c r="AU24" s="627">
        <f t="shared" si="28"/>
        <v>0.32525252525252518</v>
      </c>
      <c r="AV24" s="626">
        <f t="shared" si="28"/>
        <v>0.39818548387096797</v>
      </c>
      <c r="AW24" s="626">
        <f t="shared" si="28"/>
        <v>1.3714574898785417</v>
      </c>
      <c r="AX24" s="626">
        <f t="shared" si="28"/>
        <v>0.39679358717434909</v>
      </c>
      <c r="AY24" s="626">
        <f t="shared" si="28"/>
        <v>0.47904191616766473</v>
      </c>
      <c r="AZ24" s="626">
        <f t="shared" si="28"/>
        <v>0.39680957128614203</v>
      </c>
      <c r="BA24" s="626">
        <f t="shared" si="28"/>
        <v>0.36752988047808788</v>
      </c>
      <c r="BB24" s="626">
        <f t="shared" si="28"/>
        <v>1.6397205588822366</v>
      </c>
      <c r="BC24" s="626">
        <f t="shared" si="28"/>
        <v>0.43426294820717132</v>
      </c>
      <c r="BD24" s="626">
        <f t="shared" si="28"/>
        <v>0.48500000000000021</v>
      </c>
      <c r="BE24" s="626">
        <f t="shared" si="28"/>
        <v>0.48846539618856571</v>
      </c>
      <c r="BF24" s="626">
        <f t="shared" si="28"/>
        <v>0.472417251755266</v>
      </c>
      <c r="BG24" s="626">
        <f t="shared" si="28"/>
        <v>1.8790000000000004</v>
      </c>
      <c r="BH24" s="626">
        <f t="shared" si="28"/>
        <v>0.50862944162436552</v>
      </c>
      <c r="BI24" s="695">
        <f t="shared" si="28"/>
        <v>0.52004110996916775</v>
      </c>
      <c r="BJ24" s="695">
        <f t="shared" si="28"/>
        <v>0.58246346555323592</v>
      </c>
      <c r="BK24" s="695">
        <f t="shared" si="28"/>
        <v>0.55334728033472824</v>
      </c>
      <c r="BL24" s="626">
        <f t="shared" si="28"/>
        <v>2.1632231404958646</v>
      </c>
      <c r="BM24" s="695">
        <f t="shared" si="28"/>
        <v>0.7079002079002078</v>
      </c>
      <c r="BN24" s="695">
        <f t="shared" si="28"/>
        <v>0.6387163561076602</v>
      </c>
      <c r="BO24" s="695">
        <f t="shared" ref="BO24:CL24" si="29">BO20/BO30</f>
        <v>0.55845511482254728</v>
      </c>
      <c r="BP24" s="695">
        <f t="shared" si="29"/>
        <v>0.57097457627118597</v>
      </c>
      <c r="BQ24" s="626">
        <f t="shared" si="29"/>
        <v>2.4759916492693081</v>
      </c>
      <c r="BR24" s="695">
        <f t="shared" si="29"/>
        <v>0.5995717344753746</v>
      </c>
      <c r="BS24" s="695">
        <f t="shared" si="29"/>
        <v>0.70998925886143949</v>
      </c>
      <c r="BT24" s="627">
        <f t="shared" si="29"/>
        <v>0.7357065803667745</v>
      </c>
      <c r="BU24" s="627">
        <f t="shared" si="29"/>
        <v>0.64814814814814858</v>
      </c>
      <c r="BV24" s="626">
        <f t="shared" si="29"/>
        <v>2.6918103448275876</v>
      </c>
      <c r="BW24" s="627">
        <f t="shared" si="29"/>
        <v>0.70678336980306367</v>
      </c>
      <c r="BX24" s="627">
        <f t="shared" si="29"/>
        <v>0.6791620727673654</v>
      </c>
      <c r="BY24" s="627">
        <f t="shared" si="29"/>
        <v>0.77358490566037774</v>
      </c>
      <c r="BZ24" s="627">
        <f t="shared" si="29"/>
        <v>0.9788888888888887</v>
      </c>
      <c r="CA24" s="626">
        <f t="shared" si="29"/>
        <v>3.1346578366445916</v>
      </c>
      <c r="CB24" s="627">
        <f t="shared" si="29"/>
        <v>0.68444444444444463</v>
      </c>
      <c r="CC24" s="627">
        <f t="shared" si="29"/>
        <v>0.77477477477477497</v>
      </c>
      <c r="CD24" s="627">
        <f t="shared" si="29"/>
        <v>0.92068965517241386</v>
      </c>
      <c r="CE24" s="627">
        <f t="shared" si="29"/>
        <v>0.76949941792782239</v>
      </c>
      <c r="CF24" s="626">
        <f t="shared" si="29"/>
        <v>3.1467576791808849</v>
      </c>
      <c r="CG24" s="627">
        <f t="shared" si="29"/>
        <v>0.8494117647058822</v>
      </c>
      <c r="CH24" s="627">
        <f t="shared" si="29"/>
        <v>0.94953051643192476</v>
      </c>
      <c r="CI24" s="627">
        <f t="shared" si="29"/>
        <v>0.94359576968272585</v>
      </c>
      <c r="CJ24" s="627">
        <f t="shared" si="29"/>
        <v>0.86729857819905132</v>
      </c>
      <c r="CK24" s="626">
        <f t="shared" si="29"/>
        <v>3.6113074204946978</v>
      </c>
      <c r="CL24" s="621">
        <f t="shared" si="29"/>
        <v>0.50657108721624822</v>
      </c>
      <c r="CM24" s="622"/>
      <c r="CN24" s="622"/>
      <c r="CO24" s="622"/>
    </row>
    <row r="25" spans="2:97" hidden="1" outlineLevel="1">
      <c r="B25" s="526" t="s">
        <v>86</v>
      </c>
      <c r="C25" s="626">
        <f t="shared" ref="C25:AH25" si="30">C18/C31</f>
        <v>1.6007565710807241</v>
      </c>
      <c r="D25" s="626">
        <f t="shared" si="30"/>
        <v>1.104398852663619</v>
      </c>
      <c r="E25" s="626">
        <f t="shared" si="30"/>
        <v>-0.64010989010989017</v>
      </c>
      <c r="F25" s="626">
        <f t="shared" si="30"/>
        <v>1.1859956236323868</v>
      </c>
      <c r="G25" s="626">
        <f t="shared" si="30"/>
        <v>-11.462765957446809</v>
      </c>
      <c r="H25" s="626">
        <f t="shared" si="30"/>
        <v>-0.35416666666666802</v>
      </c>
      <c r="I25" s="626">
        <f t="shared" si="30"/>
        <v>-0.28756476683937837</v>
      </c>
      <c r="J25" s="626">
        <f t="shared" si="30"/>
        <v>8.9108910891089368E-2</v>
      </c>
      <c r="K25" s="626">
        <f t="shared" si="30"/>
        <v>9.6385542168674676E-2</v>
      </c>
      <c r="L25" s="626">
        <f t="shared" si="30"/>
        <v>4.6994535519126052E-2</v>
      </c>
      <c r="M25" s="626">
        <f t="shared" si="30"/>
        <v>8.3060109289617157E-2</v>
      </c>
      <c r="N25" s="626">
        <f t="shared" si="30"/>
        <v>0.31544359255202653</v>
      </c>
      <c r="O25" s="626">
        <f t="shared" si="30"/>
        <v>-0.23728813559322023</v>
      </c>
      <c r="P25" s="626">
        <f t="shared" si="30"/>
        <v>0.27608008429926256</v>
      </c>
      <c r="Q25" s="626">
        <f t="shared" si="30"/>
        <v>1.1591148577450311E-2</v>
      </c>
      <c r="R25" s="626">
        <f t="shared" si="30"/>
        <v>1.4204425711275024</v>
      </c>
      <c r="S25" s="626">
        <f t="shared" si="30"/>
        <v>1.4909284951974391</v>
      </c>
      <c r="T25" s="626">
        <f t="shared" si="30"/>
        <v>0.15247108307045204</v>
      </c>
      <c r="U25" s="626">
        <f t="shared" si="30"/>
        <v>0.1842931937172774</v>
      </c>
      <c r="V25" s="626">
        <f t="shared" si="30"/>
        <v>0.1649159663865549</v>
      </c>
      <c r="W25" s="626">
        <f t="shared" si="30"/>
        <v>0.16943866943866895</v>
      </c>
      <c r="X25" s="626">
        <f t="shared" si="30"/>
        <v>0.67120418848167507</v>
      </c>
      <c r="Y25" s="626">
        <f t="shared" si="30"/>
        <v>0.15400624349635827</v>
      </c>
      <c r="Z25" s="626">
        <f t="shared" si="30"/>
        <v>0.18172377985462104</v>
      </c>
      <c r="AA25" s="626">
        <f t="shared" si="30"/>
        <v>0.18717683557394033</v>
      </c>
      <c r="AB25" s="626">
        <f t="shared" si="30"/>
        <v>0.13415892672858454</v>
      </c>
      <c r="AC25" s="626">
        <f t="shared" si="30"/>
        <v>0.65699481865284881</v>
      </c>
      <c r="AD25" s="626">
        <f t="shared" si="30"/>
        <v>0.23746161719549666</v>
      </c>
      <c r="AE25" s="626">
        <f t="shared" si="30"/>
        <v>0.27300613496932546</v>
      </c>
      <c r="AF25" s="626">
        <f t="shared" si="30"/>
        <v>0.33742331288343513</v>
      </c>
      <c r="AG25" s="626">
        <f t="shared" si="30"/>
        <v>0.29145211122554121</v>
      </c>
      <c r="AH25" s="626">
        <f t="shared" si="30"/>
        <v>1.1393442622950825</v>
      </c>
      <c r="AI25" s="626">
        <f t="shared" ref="AI25:BN25" si="31">AI18/AI31</f>
        <v>0.24074074074074084</v>
      </c>
      <c r="AJ25" s="626">
        <f t="shared" si="31"/>
        <v>0.17177914110429479</v>
      </c>
      <c r="AK25" s="626">
        <f t="shared" si="31"/>
        <v>0.10601427115188602</v>
      </c>
      <c r="AL25" s="626">
        <f t="shared" si="31"/>
        <v>5.7868020304568626E-2</v>
      </c>
      <c r="AM25" s="626">
        <f t="shared" si="31"/>
        <v>0.57331975560081727</v>
      </c>
      <c r="AN25" s="626">
        <f t="shared" si="31"/>
        <v>0.15959595959595954</v>
      </c>
      <c r="AO25" s="626">
        <f t="shared" si="31"/>
        <v>0.23169508525576757</v>
      </c>
      <c r="AP25" s="626">
        <f t="shared" si="31"/>
        <v>0.15599999999999997</v>
      </c>
      <c r="AQ25" s="626">
        <f t="shared" si="31"/>
        <v>0.22695738354806611</v>
      </c>
      <c r="AR25" s="626">
        <f t="shared" si="31"/>
        <v>0.77477477477477363</v>
      </c>
      <c r="AS25" s="626">
        <f t="shared" si="31"/>
        <v>0.25796812749004011</v>
      </c>
      <c r="AT25" s="627">
        <f t="shared" si="31"/>
        <v>0.37140019860973195</v>
      </c>
      <c r="AU25" s="627">
        <f t="shared" si="31"/>
        <v>0.31849653808110778</v>
      </c>
      <c r="AV25" s="626">
        <f t="shared" si="31"/>
        <v>0.3899308983218166</v>
      </c>
      <c r="AW25" s="626">
        <f t="shared" si="31"/>
        <v>1.3406156901688173</v>
      </c>
      <c r="AX25" s="626">
        <f t="shared" si="31"/>
        <v>0.38938053097345166</v>
      </c>
      <c r="AY25" s="626">
        <f t="shared" si="31"/>
        <v>0.46764705882352953</v>
      </c>
      <c r="AZ25" s="626">
        <f t="shared" si="31"/>
        <v>0.3898139079333991</v>
      </c>
      <c r="BA25" s="626">
        <f t="shared" si="31"/>
        <v>0.3610567514677106</v>
      </c>
      <c r="BB25" s="626">
        <f t="shared" si="31"/>
        <v>1.6078431372549027</v>
      </c>
      <c r="BC25" s="620">
        <f t="shared" si="31"/>
        <v>0.42703232125367291</v>
      </c>
      <c r="BD25" s="620">
        <f t="shared" si="31"/>
        <v>0.476424361493124</v>
      </c>
      <c r="BE25" s="620">
        <f t="shared" si="31"/>
        <v>0.47885939036381514</v>
      </c>
      <c r="BF25" s="620">
        <f t="shared" si="31"/>
        <v>0.46221786064769399</v>
      </c>
      <c r="BG25" s="626">
        <f t="shared" si="31"/>
        <v>1.8403525954946136</v>
      </c>
      <c r="BH25" s="620">
        <f t="shared" si="31"/>
        <v>0.49801192842942349</v>
      </c>
      <c r="BI25" s="622">
        <f t="shared" si="31"/>
        <v>0.51008064516129059</v>
      </c>
      <c r="BJ25" s="622">
        <f t="shared" si="31"/>
        <v>0.57113613101330607</v>
      </c>
      <c r="BK25" s="622">
        <f t="shared" si="31"/>
        <v>0.5425641025641027</v>
      </c>
      <c r="BL25" s="626">
        <f t="shared" si="31"/>
        <v>2.1205063291139212</v>
      </c>
      <c r="BM25" s="622">
        <f t="shared" si="31"/>
        <v>0.69560776302349325</v>
      </c>
      <c r="BN25" s="622">
        <f t="shared" si="31"/>
        <v>0.62830957230142526</v>
      </c>
      <c r="BO25" s="622">
        <f t="shared" ref="BO25:CL25" si="32">BO18/BO31</f>
        <v>0.54984583761562211</v>
      </c>
      <c r="BP25" s="622">
        <f t="shared" si="32"/>
        <v>0.56263048016701422</v>
      </c>
      <c r="BQ25" s="626">
        <f t="shared" si="32"/>
        <v>2.4403292181069927</v>
      </c>
      <c r="BR25" s="622">
        <f t="shared" si="32"/>
        <v>0.59071729957805896</v>
      </c>
      <c r="BS25" s="622">
        <f t="shared" si="32"/>
        <v>0.69873150105708259</v>
      </c>
      <c r="BT25" s="621">
        <f t="shared" si="32"/>
        <v>0.7247608926673752</v>
      </c>
      <c r="BU25" s="621">
        <f t="shared" si="32"/>
        <v>0.63772775991425545</v>
      </c>
      <c r="BV25" s="626">
        <f t="shared" si="32"/>
        <v>2.6518046709129526</v>
      </c>
      <c r="BW25" s="621">
        <f t="shared" si="32"/>
        <v>0.69537136706135649</v>
      </c>
      <c r="BX25" s="621">
        <f t="shared" si="32"/>
        <v>0.66956521739130481</v>
      </c>
      <c r="BY25" s="621">
        <f t="shared" si="32"/>
        <v>0.76258205689277925</v>
      </c>
      <c r="BZ25" s="621">
        <f t="shared" si="32"/>
        <v>0.96284153005464457</v>
      </c>
      <c r="CA25" s="626">
        <f t="shared" si="32"/>
        <v>3.0903155603917298</v>
      </c>
      <c r="CB25" s="621">
        <f t="shared" si="32"/>
        <v>0.67543859649122817</v>
      </c>
      <c r="CC25" s="621">
        <f t="shared" si="32"/>
        <v>0.76495441405381381</v>
      </c>
      <c r="CD25" s="621">
        <f t="shared" si="32"/>
        <v>0.90919409761634518</v>
      </c>
      <c r="CE25" s="621">
        <f t="shared" si="32"/>
        <v>0.76064441887226641</v>
      </c>
      <c r="CF25" s="626">
        <f t="shared" si="32"/>
        <v>3.1078651685393237</v>
      </c>
      <c r="CG25" s="621">
        <f t="shared" si="32"/>
        <v>0.8395348837209301</v>
      </c>
      <c r="CH25" s="621">
        <f t="shared" si="32"/>
        <v>0.9385150812064964</v>
      </c>
      <c r="CI25" s="621">
        <f t="shared" si="32"/>
        <v>0.93263646922183474</v>
      </c>
      <c r="CJ25" s="621">
        <f t="shared" si="32"/>
        <v>0.85915492957746398</v>
      </c>
      <c r="CK25" s="626">
        <f t="shared" si="32"/>
        <v>3.573426573426572</v>
      </c>
      <c r="CL25" s="621">
        <f t="shared" si="32"/>
        <v>0.50296559905100802</v>
      </c>
      <c r="CM25" s="622"/>
      <c r="CN25" s="622"/>
      <c r="CO25" s="622"/>
    </row>
    <row r="26" spans="2:97" hidden="1" outlineLevel="1">
      <c r="B26" s="498" t="s">
        <v>27</v>
      </c>
      <c r="C26" s="623">
        <f t="shared" ref="C26:AH26" si="33">C19/C31</f>
        <v>0</v>
      </c>
      <c r="D26" s="623">
        <f t="shared" si="33"/>
        <v>0</v>
      </c>
      <c r="E26" s="623">
        <f t="shared" si="33"/>
        <v>0</v>
      </c>
      <c r="F26" s="623">
        <f t="shared" si="33"/>
        <v>0</v>
      </c>
      <c r="G26" s="623">
        <f t="shared" si="33"/>
        <v>-7.1808510638297879E-2</v>
      </c>
      <c r="H26" s="623">
        <f t="shared" si="33"/>
        <v>0</v>
      </c>
      <c r="I26" s="623">
        <f t="shared" si="33"/>
        <v>-0.24870466321243523</v>
      </c>
      <c r="J26" s="623">
        <f t="shared" si="33"/>
        <v>-3.4103410341034104E-2</v>
      </c>
      <c r="K26" s="623">
        <f t="shared" si="33"/>
        <v>-3.3953997809419496E-2</v>
      </c>
      <c r="L26" s="623">
        <f t="shared" si="33"/>
        <v>-3.4972677595628415E-2</v>
      </c>
      <c r="M26" s="623">
        <f t="shared" si="33"/>
        <v>-0.17486338797814205</v>
      </c>
      <c r="N26" s="623">
        <f t="shared" si="33"/>
        <v>-0.2782037239868565</v>
      </c>
      <c r="O26" s="623">
        <f t="shared" si="33"/>
        <v>-2.4364406779661014E-2</v>
      </c>
      <c r="P26" s="623">
        <f t="shared" si="33"/>
        <v>-2.4236037934668067E-2</v>
      </c>
      <c r="Q26" s="623">
        <f t="shared" si="33"/>
        <v>-0.12434141201264488</v>
      </c>
      <c r="R26" s="623">
        <f t="shared" si="33"/>
        <v>-0.1517386722866175</v>
      </c>
      <c r="S26" s="623">
        <f t="shared" si="33"/>
        <v>-0.3287086446104589</v>
      </c>
      <c r="T26" s="623">
        <f t="shared" si="33"/>
        <v>0</v>
      </c>
      <c r="U26" s="623">
        <f t="shared" si="33"/>
        <v>0</v>
      </c>
      <c r="V26" s="623">
        <f t="shared" si="33"/>
        <v>0</v>
      </c>
      <c r="W26" s="623">
        <f t="shared" si="33"/>
        <v>1.8711018711018709E-2</v>
      </c>
      <c r="X26" s="623">
        <f t="shared" si="33"/>
        <v>1.8848167539267015E-2</v>
      </c>
      <c r="Y26" s="623">
        <f t="shared" si="33"/>
        <v>9.053069719042664E-2</v>
      </c>
      <c r="Z26" s="623">
        <f t="shared" si="33"/>
        <v>-9.0342679127725853E-2</v>
      </c>
      <c r="AA26" s="623">
        <f t="shared" si="33"/>
        <v>-8.2730093071354677E-3</v>
      </c>
      <c r="AB26" s="623">
        <f t="shared" si="33"/>
        <v>-4.4375644994840036E-2</v>
      </c>
      <c r="AC26" s="623">
        <f t="shared" si="33"/>
        <v>-5.2849740932642483E-2</v>
      </c>
      <c r="AD26" s="623">
        <f t="shared" si="33"/>
        <v>0</v>
      </c>
      <c r="AE26" s="623">
        <f t="shared" si="33"/>
        <v>0</v>
      </c>
      <c r="AF26" s="623">
        <f t="shared" si="33"/>
        <v>0</v>
      </c>
      <c r="AG26" s="623">
        <f t="shared" si="33"/>
        <v>0</v>
      </c>
      <c r="AH26" s="623">
        <f t="shared" si="33"/>
        <v>0</v>
      </c>
      <c r="AI26" s="623">
        <f t="shared" ref="AI26:BN26" si="34">AI19/AI31</f>
        <v>0</v>
      </c>
      <c r="AJ26" s="623">
        <f t="shared" si="34"/>
        <v>0</v>
      </c>
      <c r="AK26" s="623">
        <f t="shared" si="34"/>
        <v>0</v>
      </c>
      <c r="AL26" s="623">
        <f t="shared" si="34"/>
        <v>0</v>
      </c>
      <c r="AM26" s="623">
        <f t="shared" si="34"/>
        <v>0</v>
      </c>
      <c r="AN26" s="623">
        <f t="shared" si="34"/>
        <v>0</v>
      </c>
      <c r="AO26" s="623">
        <f t="shared" si="34"/>
        <v>0</v>
      </c>
      <c r="AP26" s="623">
        <f t="shared" si="34"/>
        <v>0</v>
      </c>
      <c r="AQ26" s="623">
        <f t="shared" si="34"/>
        <v>0</v>
      </c>
      <c r="AR26" s="623">
        <f t="shared" si="34"/>
        <v>0</v>
      </c>
      <c r="AS26" s="623">
        <f t="shared" si="34"/>
        <v>4.9800796812749003E-3</v>
      </c>
      <c r="AT26" s="624">
        <f t="shared" si="34"/>
        <v>0</v>
      </c>
      <c r="AU26" s="624">
        <f t="shared" si="34"/>
        <v>0</v>
      </c>
      <c r="AV26" s="623">
        <f t="shared" si="34"/>
        <v>0</v>
      </c>
      <c r="AW26" s="623">
        <f t="shared" si="34"/>
        <v>4.9652432969215492E-3</v>
      </c>
      <c r="AX26" s="623">
        <f t="shared" si="34"/>
        <v>0</v>
      </c>
      <c r="AY26" s="623">
        <f t="shared" si="34"/>
        <v>2.9411764705882353E-3</v>
      </c>
      <c r="AZ26" s="623">
        <f t="shared" si="34"/>
        <v>0</v>
      </c>
      <c r="BA26" s="623">
        <f t="shared" si="34"/>
        <v>0</v>
      </c>
      <c r="BB26" s="623">
        <f t="shared" si="34"/>
        <v>2.9411764705882353E-3</v>
      </c>
      <c r="BC26" s="623">
        <f t="shared" si="34"/>
        <v>0</v>
      </c>
      <c r="BD26" s="623">
        <f t="shared" si="34"/>
        <v>0</v>
      </c>
      <c r="BE26" s="623">
        <f t="shared" si="34"/>
        <v>0</v>
      </c>
      <c r="BF26" s="623">
        <f t="shared" si="34"/>
        <v>0</v>
      </c>
      <c r="BG26" s="623">
        <f t="shared" si="34"/>
        <v>0</v>
      </c>
      <c r="BH26" s="623">
        <f t="shared" si="34"/>
        <v>0</v>
      </c>
      <c r="BI26" s="625">
        <f t="shared" si="34"/>
        <v>0</v>
      </c>
      <c r="BJ26" s="625">
        <f t="shared" si="34"/>
        <v>0</v>
      </c>
      <c r="BK26" s="625">
        <f t="shared" si="34"/>
        <v>0</v>
      </c>
      <c r="BL26" s="623">
        <f t="shared" si="34"/>
        <v>0</v>
      </c>
      <c r="BM26" s="625">
        <f t="shared" si="34"/>
        <v>0</v>
      </c>
      <c r="BN26" s="625">
        <f t="shared" si="34"/>
        <v>0</v>
      </c>
      <c r="BO26" s="625">
        <f t="shared" ref="BO26:CL26" si="35">BO19/BO31</f>
        <v>0</v>
      </c>
      <c r="BP26" s="625">
        <f t="shared" si="35"/>
        <v>0</v>
      </c>
      <c r="BQ26" s="623">
        <f t="shared" si="35"/>
        <v>0</v>
      </c>
      <c r="BR26" s="625">
        <f t="shared" si="35"/>
        <v>0</v>
      </c>
      <c r="BS26" s="625">
        <f t="shared" si="35"/>
        <v>0</v>
      </c>
      <c r="BT26" s="624">
        <f t="shared" si="35"/>
        <v>0</v>
      </c>
      <c r="BU26" s="624">
        <f t="shared" si="35"/>
        <v>0</v>
      </c>
      <c r="BV26" s="623">
        <f t="shared" si="35"/>
        <v>0</v>
      </c>
      <c r="BW26" s="624">
        <f t="shared" si="35"/>
        <v>0</v>
      </c>
      <c r="BX26" s="624">
        <f t="shared" si="35"/>
        <v>0</v>
      </c>
      <c r="BY26" s="624">
        <f t="shared" si="35"/>
        <v>0</v>
      </c>
      <c r="BZ26" s="624">
        <f t="shared" si="35"/>
        <v>0</v>
      </c>
      <c r="CA26" s="623">
        <f t="shared" si="35"/>
        <v>0</v>
      </c>
      <c r="CB26" s="624">
        <f t="shared" si="35"/>
        <v>0</v>
      </c>
      <c r="CC26" s="624">
        <f t="shared" si="35"/>
        <v>0</v>
      </c>
      <c r="CD26" s="624">
        <f t="shared" si="35"/>
        <v>0</v>
      </c>
      <c r="CE26" s="624">
        <f t="shared" si="35"/>
        <v>0</v>
      </c>
      <c r="CF26" s="623">
        <f t="shared" si="35"/>
        <v>0</v>
      </c>
      <c r="CG26" s="624">
        <f t="shared" si="35"/>
        <v>0</v>
      </c>
      <c r="CH26" s="624">
        <f t="shared" si="35"/>
        <v>0</v>
      </c>
      <c r="CI26" s="624">
        <f t="shared" si="35"/>
        <v>0</v>
      </c>
      <c r="CJ26" s="624">
        <f t="shared" si="35"/>
        <v>0</v>
      </c>
      <c r="CK26" s="623">
        <f t="shared" si="35"/>
        <v>0</v>
      </c>
      <c r="CL26" s="624">
        <f t="shared" si="35"/>
        <v>0</v>
      </c>
      <c r="CM26" s="625"/>
      <c r="CN26" s="625"/>
      <c r="CO26" s="625"/>
    </row>
    <row r="27" spans="2:97" collapsed="1">
      <c r="B27" s="526" t="s">
        <v>31</v>
      </c>
      <c r="C27" s="626">
        <f t="shared" ref="C27:AH27" si="36">C20/C31</f>
        <v>1.6007565710807241</v>
      </c>
      <c r="D27" s="626">
        <f t="shared" si="36"/>
        <v>1.104398852663619</v>
      </c>
      <c r="E27" s="626">
        <f t="shared" si="36"/>
        <v>-0.64010989010989017</v>
      </c>
      <c r="F27" s="626">
        <f t="shared" si="36"/>
        <v>1.1859956236323868</v>
      </c>
      <c r="G27" s="626">
        <f t="shared" si="36"/>
        <v>-11.534574468085108</v>
      </c>
      <c r="H27" s="626">
        <f t="shared" si="36"/>
        <v>-0.35416666666666802</v>
      </c>
      <c r="I27" s="626">
        <f t="shared" si="36"/>
        <v>-0.53626943005181349</v>
      </c>
      <c r="J27" s="626">
        <f t="shared" si="36"/>
        <v>5.5005500550055278E-2</v>
      </c>
      <c r="K27" s="626">
        <f t="shared" si="36"/>
        <v>6.243154435925518E-2</v>
      </c>
      <c r="L27" s="626">
        <f t="shared" si="36"/>
        <v>1.2021857923497633E-2</v>
      </c>
      <c r="M27" s="626">
        <f t="shared" si="36"/>
        <v>-9.1803278688524947E-2</v>
      </c>
      <c r="N27" s="626">
        <f t="shared" si="36"/>
        <v>3.7239868565170031E-2</v>
      </c>
      <c r="O27" s="626">
        <f t="shared" si="36"/>
        <v>-0.26165254237288127</v>
      </c>
      <c r="P27" s="626">
        <f t="shared" si="36"/>
        <v>0.25184404636459445</v>
      </c>
      <c r="Q27" s="626">
        <f t="shared" si="36"/>
        <v>-0.11275026343519458</v>
      </c>
      <c r="R27" s="626">
        <f t="shared" si="36"/>
        <v>1.268703898840885</v>
      </c>
      <c r="S27" s="626">
        <f t="shared" si="36"/>
        <v>1.1622198505869803</v>
      </c>
      <c r="T27" s="626">
        <f t="shared" si="36"/>
        <v>0.15247108307045204</v>
      </c>
      <c r="U27" s="626">
        <f t="shared" si="36"/>
        <v>0.1842931937172774</v>
      </c>
      <c r="V27" s="626">
        <f t="shared" si="36"/>
        <v>0.1649159663865549</v>
      </c>
      <c r="W27" s="626">
        <f t="shared" si="36"/>
        <v>0.18814968814968761</v>
      </c>
      <c r="X27" s="626">
        <f t="shared" si="36"/>
        <v>0.69005235602094206</v>
      </c>
      <c r="Y27" s="626">
        <f t="shared" si="36"/>
        <v>0.24453694068678491</v>
      </c>
      <c r="Z27" s="626">
        <f t="shared" si="36"/>
        <v>9.1381100726895204E-2</v>
      </c>
      <c r="AA27" s="626">
        <f t="shared" si="36"/>
        <v>0.17890382626680484</v>
      </c>
      <c r="AB27" s="626">
        <f t="shared" si="36"/>
        <v>8.9783281733744544E-2</v>
      </c>
      <c r="AC27" s="626">
        <f t="shared" si="36"/>
        <v>0.60414507772020631</v>
      </c>
      <c r="AD27" s="626">
        <f t="shared" si="36"/>
        <v>0.23746161719549666</v>
      </c>
      <c r="AE27" s="626">
        <f t="shared" si="36"/>
        <v>0.27300613496932546</v>
      </c>
      <c r="AF27" s="626">
        <f t="shared" si="36"/>
        <v>0.33742331288343513</v>
      </c>
      <c r="AG27" s="626">
        <f t="shared" si="36"/>
        <v>0.29145211122554121</v>
      </c>
      <c r="AH27" s="626">
        <f t="shared" si="36"/>
        <v>1.1393442622950825</v>
      </c>
      <c r="AI27" s="626">
        <f t="shared" ref="AI27:BN27" si="37">AI20/AI31</f>
        <v>0.24074074074074084</v>
      </c>
      <c r="AJ27" s="626">
        <f t="shared" si="37"/>
        <v>0.17177914110429479</v>
      </c>
      <c r="AK27" s="626">
        <f t="shared" si="37"/>
        <v>0.10601427115188602</v>
      </c>
      <c r="AL27" s="626">
        <f t="shared" si="37"/>
        <v>5.7868020304568626E-2</v>
      </c>
      <c r="AM27" s="626">
        <f t="shared" si="37"/>
        <v>0.57331975560081727</v>
      </c>
      <c r="AN27" s="626">
        <f t="shared" si="37"/>
        <v>0.15959595959595954</v>
      </c>
      <c r="AO27" s="626">
        <f t="shared" si="37"/>
        <v>0.23169508525576757</v>
      </c>
      <c r="AP27" s="626">
        <f t="shared" si="37"/>
        <v>0.15599999999999997</v>
      </c>
      <c r="AQ27" s="626">
        <f t="shared" si="37"/>
        <v>0.22695738354806611</v>
      </c>
      <c r="AR27" s="626">
        <f t="shared" si="37"/>
        <v>0.77477477477477363</v>
      </c>
      <c r="AS27" s="626">
        <f t="shared" si="37"/>
        <v>0.26294820717131501</v>
      </c>
      <c r="AT27" s="627">
        <f t="shared" si="37"/>
        <v>0.37140019860973195</v>
      </c>
      <c r="AU27" s="627">
        <f t="shared" si="37"/>
        <v>0.31849653808110778</v>
      </c>
      <c r="AV27" s="626">
        <f t="shared" si="37"/>
        <v>0.3899308983218166</v>
      </c>
      <c r="AW27" s="626">
        <f t="shared" si="37"/>
        <v>1.3455809334657389</v>
      </c>
      <c r="AX27" s="626">
        <f t="shared" si="37"/>
        <v>0.38938053097345166</v>
      </c>
      <c r="AY27" s="626">
        <f t="shared" si="37"/>
        <v>0.4705882352941177</v>
      </c>
      <c r="AZ27" s="626">
        <f t="shared" si="37"/>
        <v>0.3898139079333991</v>
      </c>
      <c r="BA27" s="626">
        <f t="shared" si="37"/>
        <v>0.3610567514677106</v>
      </c>
      <c r="BB27" s="626">
        <f t="shared" si="37"/>
        <v>1.6107843137254911</v>
      </c>
      <c r="BC27" s="626">
        <f t="shared" si="37"/>
        <v>0.42703232125367291</v>
      </c>
      <c r="BD27" s="626">
        <f t="shared" si="37"/>
        <v>0.476424361493124</v>
      </c>
      <c r="BE27" s="626">
        <f t="shared" si="37"/>
        <v>0.47885939036381514</v>
      </c>
      <c r="BF27" s="626">
        <f t="shared" si="37"/>
        <v>0.46221786064769399</v>
      </c>
      <c r="BG27" s="626">
        <f t="shared" si="37"/>
        <v>1.8403525954946136</v>
      </c>
      <c r="BH27" s="626">
        <f t="shared" si="37"/>
        <v>0.49801192842942349</v>
      </c>
      <c r="BI27" s="695">
        <f t="shared" si="37"/>
        <v>0.51008064516129059</v>
      </c>
      <c r="BJ27" s="695">
        <f t="shared" si="37"/>
        <v>0.57113613101330607</v>
      </c>
      <c r="BK27" s="695">
        <f t="shared" si="37"/>
        <v>0.5425641025641027</v>
      </c>
      <c r="BL27" s="626">
        <f t="shared" si="37"/>
        <v>2.1205063291139212</v>
      </c>
      <c r="BM27" s="695">
        <f t="shared" si="37"/>
        <v>0.69560776302349325</v>
      </c>
      <c r="BN27" s="695">
        <f t="shared" si="37"/>
        <v>0.62830957230142526</v>
      </c>
      <c r="BO27" s="695">
        <f t="shared" ref="BO27:CL27" si="38">BO20/BO31</f>
        <v>0.54984583761562211</v>
      </c>
      <c r="BP27" s="695">
        <f t="shared" si="38"/>
        <v>0.56263048016701422</v>
      </c>
      <c r="BQ27" s="626">
        <f t="shared" si="38"/>
        <v>2.4403292181069927</v>
      </c>
      <c r="BR27" s="695">
        <f t="shared" si="38"/>
        <v>0.59071729957805896</v>
      </c>
      <c r="BS27" s="695">
        <f t="shared" si="38"/>
        <v>0.69873150105708259</v>
      </c>
      <c r="BT27" s="627">
        <f t="shared" si="38"/>
        <v>0.7247608926673752</v>
      </c>
      <c r="BU27" s="627">
        <f t="shared" si="38"/>
        <v>0.63772775991425545</v>
      </c>
      <c r="BV27" s="626">
        <f t="shared" si="38"/>
        <v>2.6518046709129526</v>
      </c>
      <c r="BW27" s="627">
        <f t="shared" si="38"/>
        <v>0.69537136706135649</v>
      </c>
      <c r="BX27" s="627">
        <f t="shared" si="38"/>
        <v>0.66956521739130481</v>
      </c>
      <c r="BY27" s="627">
        <f t="shared" si="38"/>
        <v>0.76258205689277925</v>
      </c>
      <c r="BZ27" s="627">
        <f t="shared" si="38"/>
        <v>0.96284153005464457</v>
      </c>
      <c r="CA27" s="626">
        <f t="shared" si="38"/>
        <v>3.0903155603917298</v>
      </c>
      <c r="CB27" s="627">
        <f t="shared" si="38"/>
        <v>0.67543859649122817</v>
      </c>
      <c r="CC27" s="627">
        <f t="shared" si="38"/>
        <v>0.76495441405381381</v>
      </c>
      <c r="CD27" s="627">
        <f t="shared" si="38"/>
        <v>0.90919409761634518</v>
      </c>
      <c r="CE27" s="627">
        <f t="shared" si="38"/>
        <v>0.76064441887226641</v>
      </c>
      <c r="CF27" s="626">
        <f t="shared" si="38"/>
        <v>3.1078651685393237</v>
      </c>
      <c r="CG27" s="627">
        <f t="shared" si="38"/>
        <v>0.8395348837209301</v>
      </c>
      <c r="CH27" s="627">
        <f t="shared" si="38"/>
        <v>0.9385150812064964</v>
      </c>
      <c r="CI27" s="627">
        <f t="shared" si="38"/>
        <v>0.93263646922183474</v>
      </c>
      <c r="CJ27" s="627">
        <f t="shared" si="38"/>
        <v>0.85915492957746398</v>
      </c>
      <c r="CK27" s="626">
        <f t="shared" si="38"/>
        <v>3.573426573426572</v>
      </c>
      <c r="CL27" s="621">
        <f t="shared" si="38"/>
        <v>0.50296559905100802</v>
      </c>
      <c r="CM27" s="622"/>
      <c r="CN27" s="622"/>
      <c r="CO27" s="622"/>
    </row>
    <row r="28" spans="2:97">
      <c r="B28" s="526"/>
      <c r="AT28" s="604"/>
      <c r="AU28" s="604"/>
      <c r="BI28" s="611"/>
      <c r="BN28" s="611"/>
      <c r="BS28" s="611"/>
      <c r="BT28" s="604"/>
      <c r="CC28" s="611"/>
      <c r="CH28" s="611"/>
      <c r="CM28" s="611"/>
    </row>
    <row r="29" spans="2:97">
      <c r="B29" s="526" t="s">
        <v>237</v>
      </c>
      <c r="AT29" s="604"/>
      <c r="AU29" s="604"/>
      <c r="BI29" s="611"/>
      <c r="BN29" s="611"/>
      <c r="BS29" s="611"/>
      <c r="BT29" s="604"/>
      <c r="CC29" s="611"/>
      <c r="CH29" s="611"/>
      <c r="CM29" s="611"/>
    </row>
    <row r="30" spans="2:97">
      <c r="B30" s="498" t="s">
        <v>32</v>
      </c>
      <c r="C30" s="628">
        <v>36.747999999999998</v>
      </c>
      <c r="D30" s="628">
        <v>36.674999999999997</v>
      </c>
      <c r="E30" s="628">
        <v>36.4</v>
      </c>
      <c r="F30" s="628">
        <v>36.799999999999997</v>
      </c>
      <c r="G30" s="628">
        <v>37.6</v>
      </c>
      <c r="H30" s="628">
        <v>38.4</v>
      </c>
      <c r="I30" s="628">
        <v>38.6</v>
      </c>
      <c r="J30" s="628">
        <v>38.9</v>
      </c>
      <c r="K30" s="628">
        <v>39.200000000000003</v>
      </c>
      <c r="L30" s="628">
        <v>39.4</v>
      </c>
      <c r="M30" s="628">
        <v>41.6</v>
      </c>
      <c r="N30" s="628">
        <v>39.299999999999997</v>
      </c>
      <c r="O30" s="628">
        <v>53.9</v>
      </c>
      <c r="P30" s="628">
        <v>54.5</v>
      </c>
      <c r="Q30" s="628">
        <v>62.4</v>
      </c>
      <c r="R30" s="628">
        <v>69</v>
      </c>
      <c r="S30" s="628">
        <v>60</v>
      </c>
      <c r="T30" s="628">
        <v>92.9</v>
      </c>
      <c r="U30" s="628">
        <v>93.4</v>
      </c>
      <c r="V30" s="628">
        <v>93.7</v>
      </c>
      <c r="W30" s="628">
        <f>X30*4-V30-U30-T30</f>
        <v>93.600000000000023</v>
      </c>
      <c r="X30" s="628">
        <v>93.4</v>
      </c>
      <c r="Y30" s="628">
        <v>94</v>
      </c>
      <c r="Z30" s="628">
        <v>94.4</v>
      </c>
      <c r="AA30" s="628">
        <v>94.9</v>
      </c>
      <c r="AB30" s="628">
        <f>AC30*4-AA30-Z30-Y30</f>
        <v>95.499999999999972</v>
      </c>
      <c r="AC30" s="628">
        <v>94.7</v>
      </c>
      <c r="AD30" s="628">
        <v>96.1</v>
      </c>
      <c r="AE30" s="628">
        <v>96.2</v>
      </c>
      <c r="AF30" s="628">
        <v>96.5</v>
      </c>
      <c r="AG30" s="628">
        <f>AH30*4-AF30-AE30-AD30</f>
        <v>96.80000000000004</v>
      </c>
      <c r="AH30" s="628">
        <v>96.4</v>
      </c>
      <c r="AI30" s="628">
        <v>96.8</v>
      </c>
      <c r="AJ30" s="628">
        <v>96.9</v>
      </c>
      <c r="AK30" s="628">
        <v>96.9</v>
      </c>
      <c r="AL30" s="629">
        <v>96.9</v>
      </c>
      <c r="AM30" s="612">
        <v>96.9</v>
      </c>
      <c r="AN30" s="628">
        <v>97.3</v>
      </c>
      <c r="AO30" s="629">
        <v>97.5</v>
      </c>
      <c r="AP30" s="629">
        <v>97.7</v>
      </c>
      <c r="AQ30" s="628">
        <f>AR30*4-AP30-AO30-AN30</f>
        <v>97.899999999999991</v>
      </c>
      <c r="AR30" s="612">
        <v>97.6</v>
      </c>
      <c r="AS30" s="628">
        <v>98.2</v>
      </c>
      <c r="AT30" s="629">
        <v>98.6</v>
      </c>
      <c r="AU30" s="630">
        <v>99</v>
      </c>
      <c r="AV30" s="628">
        <v>99.2</v>
      </c>
      <c r="AW30" s="631">
        <v>98.8</v>
      </c>
      <c r="AX30" s="629">
        <v>99.8</v>
      </c>
      <c r="AY30" s="629">
        <v>100.2</v>
      </c>
      <c r="AZ30" s="629">
        <v>100.3</v>
      </c>
      <c r="BA30" s="629">
        <v>100.4</v>
      </c>
      <c r="BB30" s="612">
        <v>100.2</v>
      </c>
      <c r="BC30" s="629">
        <v>100.4</v>
      </c>
      <c r="BD30" s="629">
        <v>100</v>
      </c>
      <c r="BE30" s="629">
        <v>99.7</v>
      </c>
      <c r="BF30" s="629">
        <v>99.7</v>
      </c>
      <c r="BG30" s="498">
        <v>100</v>
      </c>
      <c r="BH30" s="629">
        <v>98.5</v>
      </c>
      <c r="BI30" s="631">
        <v>97.3</v>
      </c>
      <c r="BJ30" s="629">
        <v>95.8</v>
      </c>
      <c r="BK30" s="629">
        <v>95.6</v>
      </c>
      <c r="BL30" s="498">
        <v>96.800000000000011</v>
      </c>
      <c r="BM30" s="629">
        <v>96.2</v>
      </c>
      <c r="BN30" s="631">
        <v>96.6</v>
      </c>
      <c r="BO30" s="629">
        <v>95.8</v>
      </c>
      <c r="BP30" s="629">
        <v>94.4</v>
      </c>
      <c r="BQ30" s="498">
        <v>95.8</v>
      </c>
      <c r="BR30" s="629">
        <v>93.4</v>
      </c>
      <c r="BS30" s="631">
        <v>93.1</v>
      </c>
      <c r="BT30" s="629">
        <v>92.7</v>
      </c>
      <c r="BU30" s="629">
        <v>91.8</v>
      </c>
      <c r="BV30" s="498">
        <v>92.8</v>
      </c>
      <c r="BW30" s="629">
        <v>91.4</v>
      </c>
      <c r="BX30" s="629">
        <v>90.7</v>
      </c>
      <c r="BY30" s="629">
        <v>90.1</v>
      </c>
      <c r="BZ30" s="629">
        <v>90</v>
      </c>
      <c r="CA30" s="612">
        <v>90.6</v>
      </c>
      <c r="CB30" s="629">
        <v>90</v>
      </c>
      <c r="CC30" s="631">
        <v>88.8</v>
      </c>
      <c r="CD30" s="629">
        <v>87</v>
      </c>
      <c r="CE30" s="629">
        <v>85.9</v>
      </c>
      <c r="CF30" s="612">
        <v>87.9</v>
      </c>
      <c r="CG30" s="629">
        <v>85</v>
      </c>
      <c r="CH30" s="631">
        <v>85.2</v>
      </c>
      <c r="CI30" s="629">
        <v>85.1</v>
      </c>
      <c r="CJ30" s="629">
        <v>84.4</v>
      </c>
      <c r="CK30" s="612">
        <v>84.9</v>
      </c>
      <c r="CL30" s="629">
        <v>83.7</v>
      </c>
      <c r="CM30" s="631"/>
      <c r="CN30" s="629"/>
      <c r="CO30" s="629"/>
    </row>
    <row r="31" spans="2:97">
      <c r="B31" s="498" t="s">
        <v>33</v>
      </c>
      <c r="C31" s="628">
        <v>45.997</v>
      </c>
      <c r="D31" s="628">
        <v>45.670999999999999</v>
      </c>
      <c r="E31" s="628">
        <v>36.4</v>
      </c>
      <c r="F31" s="628">
        <v>45.7</v>
      </c>
      <c r="G31" s="628">
        <v>37.6</v>
      </c>
      <c r="H31" s="628">
        <v>38.4</v>
      </c>
      <c r="I31" s="628">
        <v>38.6</v>
      </c>
      <c r="J31" s="628">
        <v>90.9</v>
      </c>
      <c r="K31" s="628">
        <v>91.3</v>
      </c>
      <c r="L31" s="628">
        <v>91.5</v>
      </c>
      <c r="M31" s="628">
        <v>91.5</v>
      </c>
      <c r="N31" s="628">
        <f>AVERAGE(J31:M31)</f>
        <v>91.3</v>
      </c>
      <c r="O31" s="628">
        <v>94.4</v>
      </c>
      <c r="P31" s="628">
        <v>94.9</v>
      </c>
      <c r="Q31" s="628">
        <v>94.9</v>
      </c>
      <c r="R31" s="628">
        <v>94.9</v>
      </c>
      <c r="S31" s="628">
        <v>93.7</v>
      </c>
      <c r="T31" s="628">
        <v>95.1</v>
      </c>
      <c r="U31" s="628">
        <v>95.5</v>
      </c>
      <c r="V31" s="628">
        <v>95.2</v>
      </c>
      <c r="W31" s="628">
        <f>X31*4-V31-U31-T31</f>
        <v>96.200000000000017</v>
      </c>
      <c r="X31" s="628">
        <v>95.5</v>
      </c>
      <c r="Y31" s="628">
        <v>96.1</v>
      </c>
      <c r="Z31" s="628">
        <v>96.3</v>
      </c>
      <c r="AA31" s="628">
        <v>96.7</v>
      </c>
      <c r="AB31" s="628">
        <f>AC31*4-AA31-Z31-Y31</f>
        <v>96.9</v>
      </c>
      <c r="AC31" s="628">
        <v>96.5</v>
      </c>
      <c r="AD31" s="628">
        <v>97.7</v>
      </c>
      <c r="AE31" s="628">
        <v>97.8</v>
      </c>
      <c r="AF31" s="628">
        <v>97.8</v>
      </c>
      <c r="AG31" s="628">
        <f>AH31*4-AF31-AE31-AD31</f>
        <v>97.099999999999952</v>
      </c>
      <c r="AH31" s="628">
        <v>97.6</v>
      </c>
      <c r="AI31" s="628">
        <v>97.2</v>
      </c>
      <c r="AJ31" s="628">
        <v>97.8</v>
      </c>
      <c r="AK31" s="628">
        <v>98.1</v>
      </c>
      <c r="AL31" s="629">
        <v>98.5</v>
      </c>
      <c r="AM31" s="612">
        <v>98.2</v>
      </c>
      <c r="AN31" s="628">
        <v>99</v>
      </c>
      <c r="AO31" s="629">
        <v>99.7</v>
      </c>
      <c r="AP31" s="629">
        <v>100</v>
      </c>
      <c r="AQ31" s="628">
        <f>AR31*4-AP31-AO31-AN31</f>
        <v>100.90000000000003</v>
      </c>
      <c r="AR31" s="612">
        <v>99.9</v>
      </c>
      <c r="AS31" s="628">
        <v>100.4</v>
      </c>
      <c r="AT31" s="629">
        <v>100.7</v>
      </c>
      <c r="AU31" s="630">
        <v>101.1</v>
      </c>
      <c r="AV31" s="628">
        <v>101.3</v>
      </c>
      <c r="AW31" s="631">
        <v>100.7</v>
      </c>
      <c r="AX31" s="629">
        <v>101.7</v>
      </c>
      <c r="AY31" s="629">
        <v>102</v>
      </c>
      <c r="AZ31" s="629">
        <v>102.1</v>
      </c>
      <c r="BA31" s="629">
        <v>102.2</v>
      </c>
      <c r="BB31" s="612">
        <v>102</v>
      </c>
      <c r="BC31" s="629">
        <v>102.1</v>
      </c>
      <c r="BD31" s="629">
        <v>101.8</v>
      </c>
      <c r="BE31" s="629">
        <v>101.7</v>
      </c>
      <c r="BF31" s="629">
        <v>101.9</v>
      </c>
      <c r="BG31" s="498">
        <v>102.1</v>
      </c>
      <c r="BH31" s="629">
        <v>100.6</v>
      </c>
      <c r="BI31" s="631">
        <v>99.2</v>
      </c>
      <c r="BJ31" s="630">
        <v>97.7</v>
      </c>
      <c r="BK31" s="612">
        <v>97.5</v>
      </c>
      <c r="BL31" s="498">
        <v>98.75</v>
      </c>
      <c r="BM31" s="629">
        <v>97.9</v>
      </c>
      <c r="BN31" s="631">
        <v>98.2</v>
      </c>
      <c r="BO31" s="630">
        <v>97.3</v>
      </c>
      <c r="BP31" s="612">
        <v>95.8</v>
      </c>
      <c r="BQ31" s="498">
        <v>97.2</v>
      </c>
      <c r="BR31" s="629">
        <v>94.8</v>
      </c>
      <c r="BS31" s="631">
        <v>94.6</v>
      </c>
      <c r="BT31" s="630">
        <v>94.1</v>
      </c>
      <c r="BU31" s="612">
        <v>93.3</v>
      </c>
      <c r="BV31" s="498">
        <v>94.2</v>
      </c>
      <c r="BW31" s="629">
        <v>92.9</v>
      </c>
      <c r="BX31" s="629">
        <v>92</v>
      </c>
      <c r="BY31" s="630">
        <v>91.4</v>
      </c>
      <c r="BZ31" s="612">
        <v>91.5</v>
      </c>
      <c r="CA31" s="612">
        <v>91.9</v>
      </c>
      <c r="CB31" s="629">
        <v>91.2</v>
      </c>
      <c r="CC31" s="631">
        <v>89.94</v>
      </c>
      <c r="CD31" s="630">
        <v>88.1</v>
      </c>
      <c r="CE31" s="612">
        <v>86.9</v>
      </c>
      <c r="CF31" s="612">
        <v>89</v>
      </c>
      <c r="CG31" s="629">
        <v>86</v>
      </c>
      <c r="CH31" s="631">
        <v>86.2</v>
      </c>
      <c r="CI31" s="630">
        <v>86.1</v>
      </c>
      <c r="CJ31" s="612">
        <v>85.2</v>
      </c>
      <c r="CK31" s="612">
        <v>85.8</v>
      </c>
      <c r="CL31" s="629">
        <v>84.3</v>
      </c>
      <c r="CM31" s="631"/>
      <c r="CN31" s="630"/>
      <c r="CO31" s="612"/>
    </row>
    <row r="32" spans="2:97" hidden="1" outlineLevel="1">
      <c r="C32" s="628" t="str">
        <f t="shared" ref="C32:AK32" si="39">IF(ROUND(C22,2)=ROUND(C18/C30,2),"","check")</f>
        <v/>
      </c>
      <c r="D32" s="628" t="str">
        <f t="shared" si="39"/>
        <v/>
      </c>
      <c r="E32" s="628" t="str">
        <f t="shared" si="39"/>
        <v/>
      </c>
      <c r="F32" s="628" t="str">
        <f t="shared" si="39"/>
        <v/>
      </c>
      <c r="G32" s="628" t="str">
        <f t="shared" si="39"/>
        <v/>
      </c>
      <c r="H32" s="628" t="str">
        <f t="shared" si="39"/>
        <v/>
      </c>
      <c r="I32" s="628" t="str">
        <f t="shared" si="39"/>
        <v/>
      </c>
      <c r="J32" s="628" t="str">
        <f t="shared" si="39"/>
        <v/>
      </c>
      <c r="K32" s="628" t="str">
        <f t="shared" si="39"/>
        <v/>
      </c>
      <c r="L32" s="628" t="str">
        <f t="shared" si="39"/>
        <v/>
      </c>
      <c r="M32" s="628" t="str">
        <f t="shared" si="39"/>
        <v/>
      </c>
      <c r="N32" s="628" t="str">
        <f t="shared" si="39"/>
        <v/>
      </c>
      <c r="O32" s="628" t="str">
        <f t="shared" si="39"/>
        <v/>
      </c>
      <c r="P32" s="628" t="str">
        <f t="shared" si="39"/>
        <v/>
      </c>
      <c r="Q32" s="628" t="str">
        <f t="shared" si="39"/>
        <v/>
      </c>
      <c r="R32" s="628" t="str">
        <f t="shared" si="39"/>
        <v/>
      </c>
      <c r="S32" s="628" t="str">
        <f t="shared" si="39"/>
        <v/>
      </c>
      <c r="T32" s="628" t="str">
        <f t="shared" si="39"/>
        <v/>
      </c>
      <c r="U32" s="628" t="str">
        <f t="shared" si="39"/>
        <v/>
      </c>
      <c r="V32" s="628" t="str">
        <f t="shared" si="39"/>
        <v/>
      </c>
      <c r="W32" s="628" t="str">
        <f t="shared" si="39"/>
        <v/>
      </c>
      <c r="X32" s="628" t="str">
        <f t="shared" si="39"/>
        <v/>
      </c>
      <c r="Y32" s="628" t="str">
        <f t="shared" si="39"/>
        <v/>
      </c>
      <c r="Z32" s="628" t="str">
        <f t="shared" si="39"/>
        <v/>
      </c>
      <c r="AA32" s="628" t="str">
        <f t="shared" si="39"/>
        <v/>
      </c>
      <c r="AB32" s="628" t="str">
        <f t="shared" si="39"/>
        <v/>
      </c>
      <c r="AC32" s="628" t="str">
        <f t="shared" si="39"/>
        <v/>
      </c>
      <c r="AD32" s="628" t="str">
        <f t="shared" si="39"/>
        <v/>
      </c>
      <c r="AE32" s="628" t="str">
        <f t="shared" si="39"/>
        <v/>
      </c>
      <c r="AF32" s="628" t="str">
        <f t="shared" si="39"/>
        <v/>
      </c>
      <c r="AG32" s="628" t="str">
        <f t="shared" si="39"/>
        <v/>
      </c>
      <c r="AH32" s="628" t="str">
        <f t="shared" si="39"/>
        <v/>
      </c>
      <c r="AI32" s="628" t="str">
        <f t="shared" si="39"/>
        <v/>
      </c>
      <c r="AJ32" s="628" t="str">
        <f t="shared" si="39"/>
        <v/>
      </c>
      <c r="AK32" s="628" t="str">
        <f t="shared" si="39"/>
        <v/>
      </c>
      <c r="BI32" s="611"/>
      <c r="BN32" s="611"/>
      <c r="BS32" s="611"/>
      <c r="CC32" s="611"/>
      <c r="CH32" s="611"/>
      <c r="CM32" s="611"/>
    </row>
    <row r="33" spans="2:93" ht="4.5" customHeight="1" collapsed="1">
      <c r="C33" s="628"/>
      <c r="D33" s="628"/>
      <c r="E33" s="628"/>
      <c r="F33" s="628"/>
      <c r="G33" s="628"/>
      <c r="H33" s="628"/>
      <c r="I33" s="628"/>
      <c r="J33" s="628"/>
      <c r="K33" s="628"/>
      <c r="L33" s="628"/>
      <c r="M33" s="628"/>
      <c r="N33" s="628"/>
      <c r="O33" s="628"/>
      <c r="P33" s="628"/>
      <c r="Q33" s="628"/>
      <c r="R33" s="628"/>
      <c r="S33" s="628"/>
      <c r="T33" s="628"/>
      <c r="U33" s="628"/>
      <c r="V33" s="628"/>
      <c r="W33" s="628"/>
      <c r="X33" s="628"/>
      <c r="Y33" s="628"/>
      <c r="Z33" s="628"/>
      <c r="AA33" s="628"/>
      <c r="AB33" s="628"/>
      <c r="AC33" s="628"/>
      <c r="AD33" s="628"/>
      <c r="AE33" s="628"/>
      <c r="AF33" s="628"/>
      <c r="AG33" s="628"/>
      <c r="AH33" s="628"/>
      <c r="AI33" s="628"/>
      <c r="AJ33" s="628"/>
      <c r="AK33" s="628"/>
      <c r="BI33" s="611"/>
      <c r="BN33" s="611"/>
      <c r="BS33" s="611"/>
      <c r="CC33" s="611"/>
      <c r="CH33" s="611"/>
      <c r="CM33" s="611"/>
    </row>
    <row r="34" spans="2:93">
      <c r="B34" s="678" t="s">
        <v>573</v>
      </c>
      <c r="C34" s="679">
        <v>1997</v>
      </c>
      <c r="D34" s="679">
        <v>1998</v>
      </c>
      <c r="E34" s="679">
        <v>1999</v>
      </c>
      <c r="F34" s="679">
        <v>2000</v>
      </c>
      <c r="G34" s="679">
        <v>2001</v>
      </c>
      <c r="H34" s="679">
        <v>2002</v>
      </c>
      <c r="I34" s="679">
        <v>2003</v>
      </c>
      <c r="J34" s="680" t="s">
        <v>0</v>
      </c>
      <c r="K34" s="680" t="s">
        <v>1</v>
      </c>
      <c r="L34" s="680" t="s">
        <v>2</v>
      </c>
      <c r="M34" s="680" t="s">
        <v>3</v>
      </c>
      <c r="N34" s="679">
        <v>2004</v>
      </c>
      <c r="O34" s="680" t="s">
        <v>4</v>
      </c>
      <c r="P34" s="680" t="s">
        <v>5</v>
      </c>
      <c r="Q34" s="680" t="s">
        <v>6</v>
      </c>
      <c r="R34" s="680" t="s">
        <v>7</v>
      </c>
      <c r="S34" s="679">
        <v>2005</v>
      </c>
      <c r="T34" s="680" t="s">
        <v>8</v>
      </c>
      <c r="U34" s="680" t="s">
        <v>9</v>
      </c>
      <c r="V34" s="680" t="s">
        <v>10</v>
      </c>
      <c r="W34" s="680" t="s">
        <v>11</v>
      </c>
      <c r="X34" s="679">
        <v>2006</v>
      </c>
      <c r="Y34" s="680" t="s">
        <v>12</v>
      </c>
      <c r="Z34" s="680" t="s">
        <v>13</v>
      </c>
      <c r="AA34" s="680" t="s">
        <v>14</v>
      </c>
      <c r="AB34" s="680" t="s">
        <v>15</v>
      </c>
      <c r="AC34" s="679">
        <v>2007</v>
      </c>
      <c r="AD34" s="680" t="s">
        <v>16</v>
      </c>
      <c r="AE34" s="680" t="s">
        <v>17</v>
      </c>
      <c r="AF34" s="680" t="s">
        <v>18</v>
      </c>
      <c r="AG34" s="680" t="s">
        <v>19</v>
      </c>
      <c r="AH34" s="679">
        <v>2008</v>
      </c>
      <c r="AI34" s="680" t="s">
        <v>20</v>
      </c>
      <c r="AJ34" s="680" t="s">
        <v>21</v>
      </c>
      <c r="AK34" s="680" t="s">
        <v>22</v>
      </c>
      <c r="AL34" s="680" t="s">
        <v>23</v>
      </c>
      <c r="AM34" s="679">
        <v>2009</v>
      </c>
      <c r="AN34" s="680" t="s">
        <v>208</v>
      </c>
      <c r="AO34" s="680" t="s">
        <v>209</v>
      </c>
      <c r="AP34" s="680" t="s">
        <v>210</v>
      </c>
      <c r="AQ34" s="680" t="s">
        <v>211</v>
      </c>
      <c r="AR34" s="679">
        <v>2010</v>
      </c>
      <c r="AS34" s="680" t="s">
        <v>212</v>
      </c>
      <c r="AT34" s="680" t="s">
        <v>213</v>
      </c>
      <c r="AU34" s="680" t="s">
        <v>214</v>
      </c>
      <c r="AV34" s="680" t="s">
        <v>215</v>
      </c>
      <c r="AW34" s="679">
        <v>2011</v>
      </c>
      <c r="AX34" s="680" t="s">
        <v>282</v>
      </c>
      <c r="AY34" s="680" t="s">
        <v>283</v>
      </c>
      <c r="AZ34" s="680" t="s">
        <v>284</v>
      </c>
      <c r="BA34" s="680" t="s">
        <v>285</v>
      </c>
      <c r="BB34" s="679">
        <v>2012</v>
      </c>
      <c r="BC34" s="680" t="s">
        <v>308</v>
      </c>
      <c r="BD34" s="680" t="s">
        <v>309</v>
      </c>
      <c r="BE34" s="680" t="s">
        <v>310</v>
      </c>
      <c r="BF34" s="680" t="s">
        <v>311</v>
      </c>
      <c r="BG34" s="679">
        <v>2013</v>
      </c>
      <c r="BH34" s="680" t="s">
        <v>312</v>
      </c>
      <c r="BI34" s="680" t="s">
        <v>313</v>
      </c>
      <c r="BJ34" s="680" t="s">
        <v>314</v>
      </c>
      <c r="BK34" s="680" t="s">
        <v>315</v>
      </c>
      <c r="BL34" s="679">
        <v>2014</v>
      </c>
      <c r="BM34" s="680" t="s">
        <v>382</v>
      </c>
      <c r="BN34" s="680" t="s">
        <v>383</v>
      </c>
      <c r="BO34" s="680" t="s">
        <v>384</v>
      </c>
      <c r="BP34" s="680" t="s">
        <v>385</v>
      </c>
      <c r="BQ34" s="679">
        <v>2015</v>
      </c>
      <c r="BR34" s="680" t="s">
        <v>386</v>
      </c>
      <c r="BS34" s="680" t="s">
        <v>387</v>
      </c>
      <c r="BT34" s="680" t="s">
        <v>388</v>
      </c>
      <c r="BU34" s="680" t="s">
        <v>389</v>
      </c>
      <c r="BV34" s="679">
        <v>2016</v>
      </c>
      <c r="BW34" s="680" t="s">
        <v>390</v>
      </c>
      <c r="BX34" s="680" t="s">
        <v>391</v>
      </c>
      <c r="BY34" s="680" t="s">
        <v>392</v>
      </c>
      <c r="BZ34" s="680" t="s">
        <v>393</v>
      </c>
      <c r="CA34" s="679">
        <v>2017</v>
      </c>
      <c r="CB34" s="680" t="s">
        <v>445</v>
      </c>
      <c r="CC34" s="680" t="s">
        <v>446</v>
      </c>
      <c r="CD34" s="680" t="s">
        <v>447</v>
      </c>
      <c r="CE34" s="680" t="s">
        <v>448</v>
      </c>
      <c r="CF34" s="679">
        <v>2018</v>
      </c>
      <c r="CG34" s="680" t="s">
        <v>459</v>
      </c>
      <c r="CH34" s="680" t="s">
        <v>460</v>
      </c>
      <c r="CI34" s="680" t="s">
        <v>461</v>
      </c>
      <c r="CJ34" s="680" t="s">
        <v>462</v>
      </c>
      <c r="CK34" s="679">
        <v>2019</v>
      </c>
      <c r="CM34" s="611"/>
    </row>
    <row r="35" spans="2:93" s="604" customFormat="1" ht="5.0999999999999996" customHeight="1">
      <c r="B35" s="696"/>
      <c r="C35" s="697"/>
      <c r="D35" s="697"/>
      <c r="E35" s="697"/>
      <c r="F35" s="697"/>
      <c r="G35" s="697"/>
      <c r="H35" s="697"/>
      <c r="I35" s="697"/>
      <c r="J35" s="698"/>
      <c r="K35" s="698"/>
      <c r="L35" s="698"/>
      <c r="M35" s="698"/>
      <c r="N35" s="697"/>
      <c r="O35" s="698"/>
      <c r="P35" s="698"/>
      <c r="Q35" s="698"/>
      <c r="R35" s="698"/>
      <c r="S35" s="697"/>
      <c r="T35" s="698"/>
      <c r="U35" s="698"/>
      <c r="V35" s="698"/>
      <c r="W35" s="698"/>
      <c r="X35" s="697"/>
      <c r="Y35" s="698"/>
      <c r="Z35" s="698"/>
      <c r="AA35" s="698"/>
      <c r="AB35" s="698"/>
      <c r="AC35" s="697"/>
      <c r="AD35" s="698"/>
      <c r="AE35" s="698"/>
      <c r="AF35" s="698"/>
      <c r="AG35" s="698"/>
      <c r="AH35" s="697"/>
      <c r="AI35" s="698"/>
      <c r="AJ35" s="698"/>
      <c r="AK35" s="698"/>
      <c r="AL35" s="698"/>
      <c r="AM35" s="697"/>
      <c r="AN35" s="698"/>
      <c r="AO35" s="698"/>
      <c r="AP35" s="698"/>
      <c r="AQ35" s="698"/>
      <c r="AR35" s="697"/>
      <c r="AS35" s="698"/>
      <c r="AT35" s="698"/>
      <c r="AU35" s="698"/>
      <c r="AV35" s="698"/>
      <c r="AW35" s="697"/>
      <c r="AX35" s="698"/>
      <c r="AY35" s="698"/>
      <c r="AZ35" s="698"/>
      <c r="BA35" s="698"/>
      <c r="BB35" s="697"/>
      <c r="BC35" s="698"/>
      <c r="BD35" s="698"/>
      <c r="BE35" s="698"/>
      <c r="BF35" s="698"/>
      <c r="BG35" s="697"/>
      <c r="BH35" s="698"/>
      <c r="BI35" s="698"/>
      <c r="BJ35" s="698"/>
      <c r="BK35" s="698"/>
      <c r="BL35" s="697"/>
      <c r="BM35" s="698"/>
      <c r="BN35" s="698"/>
      <c r="BO35" s="698"/>
      <c r="BP35" s="698"/>
      <c r="BQ35" s="697"/>
      <c r="BR35" s="698"/>
      <c r="BS35" s="698"/>
      <c r="BT35" s="698"/>
      <c r="BU35" s="698"/>
      <c r="BV35" s="697"/>
      <c r="BW35" s="698"/>
      <c r="BX35" s="698"/>
      <c r="BY35" s="698"/>
      <c r="BZ35" s="698"/>
      <c r="CA35" s="697"/>
      <c r="CB35" s="698"/>
      <c r="CC35" s="698"/>
      <c r="CD35" s="698"/>
      <c r="CE35" s="698"/>
      <c r="CF35" s="697"/>
      <c r="CG35" s="698"/>
      <c r="CH35" s="698"/>
      <c r="CI35" s="698"/>
      <c r="CJ35" s="698"/>
      <c r="CK35" s="697"/>
    </row>
    <row r="36" spans="2:93">
      <c r="B36" s="681" t="s">
        <v>140</v>
      </c>
      <c r="BI36" s="611"/>
      <c r="BN36" s="611"/>
      <c r="BS36" s="611"/>
      <c r="CC36" s="611"/>
      <c r="CH36" s="611"/>
      <c r="CM36" s="611"/>
    </row>
    <row r="37" spans="2:93">
      <c r="B37" s="526" t="s">
        <v>34</v>
      </c>
      <c r="BI37" s="611"/>
      <c r="BN37" s="611"/>
      <c r="BS37" s="611"/>
      <c r="CC37" s="611"/>
      <c r="CH37" s="611"/>
      <c r="CM37" s="611"/>
    </row>
    <row r="38" spans="2:93">
      <c r="B38" s="632" t="s">
        <v>35</v>
      </c>
      <c r="C38" s="498">
        <v>9.0329999999999995</v>
      </c>
      <c r="D38" s="498">
        <v>7.5039999999999996</v>
      </c>
      <c r="E38" s="498">
        <v>0.2</v>
      </c>
      <c r="F38" s="498">
        <v>5.0999999999999996</v>
      </c>
      <c r="G38" s="498">
        <v>11.6</v>
      </c>
      <c r="H38" s="498">
        <v>8.1999999999999993</v>
      </c>
      <c r="I38" s="498">
        <v>41.7</v>
      </c>
      <c r="J38" s="498">
        <v>24</v>
      </c>
      <c r="K38" s="498">
        <v>45.1</v>
      </c>
      <c r="L38" s="498">
        <v>51.5</v>
      </c>
      <c r="M38" s="498">
        <f t="shared" ref="M38:M50" si="40">N38</f>
        <v>57.2</v>
      </c>
      <c r="N38" s="498">
        <v>57.2</v>
      </c>
      <c r="O38" s="498">
        <v>26.2</v>
      </c>
      <c r="P38" s="498">
        <v>18.5</v>
      </c>
      <c r="Q38" s="498">
        <v>12.3</v>
      </c>
      <c r="R38" s="498">
        <f t="shared" ref="R38:R50" si="41">S38</f>
        <v>21</v>
      </c>
      <c r="S38" s="498">
        <v>21</v>
      </c>
      <c r="T38" s="498">
        <v>23.9</v>
      </c>
      <c r="U38" s="498">
        <v>8.8000000000000007</v>
      </c>
      <c r="V38" s="498">
        <v>13</v>
      </c>
      <c r="W38" s="498">
        <f t="shared" ref="W38:W50" si="42">X38</f>
        <v>25.7</v>
      </c>
      <c r="X38" s="498">
        <v>25.7</v>
      </c>
      <c r="Y38" s="498">
        <v>33.5</v>
      </c>
      <c r="Z38" s="498">
        <v>36</v>
      </c>
      <c r="AA38" s="498">
        <v>31.4</v>
      </c>
      <c r="AB38" s="498">
        <f t="shared" ref="AB38:AB50" si="43">AC38</f>
        <v>28.1</v>
      </c>
      <c r="AC38" s="498">
        <v>28.1</v>
      </c>
      <c r="AD38" s="498">
        <v>26.4</v>
      </c>
      <c r="AE38" s="498">
        <v>19.3</v>
      </c>
      <c r="AF38" s="498">
        <v>48.7</v>
      </c>
      <c r="AG38" s="498">
        <f t="shared" ref="AG38:AG50" si="44">AH38</f>
        <v>50.9</v>
      </c>
      <c r="AH38" s="498">
        <v>50.9</v>
      </c>
      <c r="AI38" s="498">
        <v>27</v>
      </c>
      <c r="AJ38" s="498">
        <v>72.599999999999994</v>
      </c>
      <c r="AK38" s="498">
        <v>94.7</v>
      </c>
      <c r="AL38" s="498">
        <v>110.1</v>
      </c>
      <c r="AM38" s="498">
        <f>AL38</f>
        <v>110.1</v>
      </c>
      <c r="AN38" s="498">
        <v>65.7</v>
      </c>
      <c r="AO38" s="604">
        <v>84</v>
      </c>
      <c r="AP38" s="604">
        <v>78.5</v>
      </c>
      <c r="AQ38" s="498">
        <f>AR38</f>
        <v>117.2</v>
      </c>
      <c r="AR38" s="498">
        <v>117.2</v>
      </c>
      <c r="AS38" s="498">
        <v>50.6</v>
      </c>
      <c r="AT38" s="604">
        <v>55.9</v>
      </c>
      <c r="AU38" s="604">
        <v>48.4</v>
      </c>
      <c r="AV38" s="498">
        <f>AW38</f>
        <v>49.5</v>
      </c>
      <c r="AW38" s="611">
        <v>49.5</v>
      </c>
      <c r="AX38" s="604">
        <v>48.7</v>
      </c>
      <c r="AY38" s="604">
        <v>32.6</v>
      </c>
      <c r="AZ38" s="604">
        <v>43.2</v>
      </c>
      <c r="BA38" s="604">
        <f>BB38</f>
        <v>32.6</v>
      </c>
      <c r="BB38" s="687">
        <v>32.6</v>
      </c>
      <c r="BC38" s="684">
        <v>18.3</v>
      </c>
      <c r="BD38" s="684">
        <v>56.7</v>
      </c>
      <c r="BE38" s="684">
        <v>59.7</v>
      </c>
      <c r="BF38" s="684">
        <f>BG38</f>
        <v>65.5</v>
      </c>
      <c r="BG38" s="687">
        <v>65.5</v>
      </c>
      <c r="BH38" s="684">
        <v>50</v>
      </c>
      <c r="BI38" s="685">
        <v>43.8</v>
      </c>
      <c r="BJ38" s="684">
        <v>37.700000000000003</v>
      </c>
      <c r="BK38" s="684">
        <v>70.900000000000006</v>
      </c>
      <c r="BL38" s="687">
        <f>BK38</f>
        <v>70.900000000000006</v>
      </c>
      <c r="BM38" s="684">
        <v>22.7</v>
      </c>
      <c r="BN38" s="685">
        <v>35.299999999999997</v>
      </c>
      <c r="BO38" s="684">
        <v>43.2</v>
      </c>
      <c r="BP38" s="684">
        <v>51.8</v>
      </c>
      <c r="BQ38" s="687">
        <f>BP38</f>
        <v>51.8</v>
      </c>
      <c r="BR38" s="684">
        <v>24.2</v>
      </c>
      <c r="BS38" s="685">
        <v>38.9</v>
      </c>
      <c r="BT38" s="684">
        <v>45.7</v>
      </c>
      <c r="BU38" s="684">
        <v>35.200000000000003</v>
      </c>
      <c r="BV38" s="687">
        <f>BU38</f>
        <v>35.200000000000003</v>
      </c>
      <c r="BW38" s="684">
        <v>82.1</v>
      </c>
      <c r="BX38" s="684">
        <v>45.5</v>
      </c>
      <c r="BY38" s="684">
        <v>119.1</v>
      </c>
      <c r="BZ38" s="684">
        <v>60.1</v>
      </c>
      <c r="CA38" s="687">
        <f>BZ38</f>
        <v>60.1</v>
      </c>
      <c r="CB38" s="684">
        <v>49.8</v>
      </c>
      <c r="CC38" s="685">
        <v>39.1</v>
      </c>
      <c r="CD38" s="684">
        <v>47.2</v>
      </c>
      <c r="CE38" s="684">
        <v>32.700000000000003</v>
      </c>
      <c r="CF38" s="687">
        <f>CE38</f>
        <v>32.700000000000003</v>
      </c>
      <c r="CG38" s="684">
        <v>43.7</v>
      </c>
      <c r="CH38" s="685">
        <v>55.4</v>
      </c>
      <c r="CI38" s="684">
        <v>47</v>
      </c>
      <c r="CJ38" s="684">
        <v>64.400000000000006</v>
      </c>
      <c r="CK38" s="687">
        <f>CJ38</f>
        <v>64.400000000000006</v>
      </c>
      <c r="CL38" s="604">
        <v>329.3</v>
      </c>
      <c r="CM38" s="611"/>
      <c r="CN38" s="604"/>
      <c r="CO38" s="604"/>
    </row>
    <row r="39" spans="2:93">
      <c r="B39" s="632" t="s">
        <v>36</v>
      </c>
      <c r="C39" s="498">
        <v>181.19200000000001</v>
      </c>
      <c r="D39" s="498">
        <v>188.36799999999999</v>
      </c>
      <c r="E39" s="498">
        <v>158.6</v>
      </c>
      <c r="F39" s="498">
        <v>150.30000000000001</v>
      </c>
      <c r="G39" s="498">
        <v>140.5</v>
      </c>
      <c r="H39" s="498">
        <v>117.3</v>
      </c>
      <c r="I39" s="498">
        <v>126.2</v>
      </c>
      <c r="J39" s="498">
        <v>144.80000000000001</v>
      </c>
      <c r="K39" s="498">
        <v>156.6</v>
      </c>
      <c r="L39" s="498">
        <v>146.1</v>
      </c>
      <c r="M39" s="498">
        <f t="shared" si="40"/>
        <v>153.5</v>
      </c>
      <c r="N39" s="498">
        <v>153.5</v>
      </c>
      <c r="O39" s="498">
        <v>169.8</v>
      </c>
      <c r="P39" s="498">
        <v>176.4</v>
      </c>
      <c r="Q39" s="498">
        <v>161.80000000000001</v>
      </c>
      <c r="R39" s="498">
        <f t="shared" si="41"/>
        <v>155.9</v>
      </c>
      <c r="S39" s="498">
        <v>155.9</v>
      </c>
      <c r="T39" s="498">
        <v>194.3</v>
      </c>
      <c r="U39" s="498">
        <v>196.1</v>
      </c>
      <c r="V39" s="498">
        <v>187.8</v>
      </c>
      <c r="W39" s="498">
        <f t="shared" si="42"/>
        <v>181.5</v>
      </c>
      <c r="X39" s="498">
        <v>181.5</v>
      </c>
      <c r="Y39" s="498">
        <v>202.3</v>
      </c>
      <c r="Z39" s="498">
        <v>192</v>
      </c>
      <c r="AA39" s="498">
        <v>185</v>
      </c>
      <c r="AB39" s="498">
        <f t="shared" si="43"/>
        <v>192.8</v>
      </c>
      <c r="AC39" s="498">
        <v>192.8</v>
      </c>
      <c r="AD39" s="498">
        <v>237.7</v>
      </c>
      <c r="AE39" s="498">
        <v>245.4</v>
      </c>
      <c r="AF39" s="498">
        <v>208.7</v>
      </c>
      <c r="AG39" s="498">
        <f t="shared" si="44"/>
        <v>189.4</v>
      </c>
      <c r="AH39" s="498">
        <v>189.4</v>
      </c>
      <c r="AI39" s="498">
        <v>217.8</v>
      </c>
      <c r="AJ39" s="498">
        <v>173.5</v>
      </c>
      <c r="AK39" s="498">
        <v>153.80000000000001</v>
      </c>
      <c r="AL39" s="498">
        <v>158.4</v>
      </c>
      <c r="AM39" s="498">
        <f>AL39</f>
        <v>158.4</v>
      </c>
      <c r="AN39" s="498">
        <v>168.6</v>
      </c>
      <c r="AO39" s="604">
        <v>195.1</v>
      </c>
      <c r="AP39" s="604">
        <v>182.9</v>
      </c>
      <c r="AQ39" s="498">
        <f>AR39</f>
        <v>173.9</v>
      </c>
      <c r="AR39" s="498">
        <v>173.9</v>
      </c>
      <c r="AS39" s="498">
        <v>210</v>
      </c>
      <c r="AT39" s="604">
        <v>207.8</v>
      </c>
      <c r="AU39" s="604">
        <v>208.5</v>
      </c>
      <c r="AV39" s="498">
        <f>AW39</f>
        <v>199.3</v>
      </c>
      <c r="AW39" s="611">
        <v>199.3</v>
      </c>
      <c r="AX39" s="604">
        <v>251</v>
      </c>
      <c r="AY39" s="604">
        <v>250.4</v>
      </c>
      <c r="AZ39" s="604">
        <v>242.2</v>
      </c>
      <c r="BA39" s="604">
        <f>BB39</f>
        <v>229</v>
      </c>
      <c r="BB39" s="692">
        <v>229</v>
      </c>
      <c r="BC39" s="693">
        <v>269.10000000000002</v>
      </c>
      <c r="BD39" s="693">
        <v>246.1</v>
      </c>
      <c r="BE39" s="693">
        <v>236.2</v>
      </c>
      <c r="BF39" s="693">
        <f>BG39</f>
        <v>232.4</v>
      </c>
      <c r="BG39" s="692">
        <v>232.4</v>
      </c>
      <c r="BH39" s="693">
        <v>280.89999999999998</v>
      </c>
      <c r="BI39" s="694">
        <v>281.5</v>
      </c>
      <c r="BJ39" s="693">
        <v>255.6</v>
      </c>
      <c r="BK39" s="693">
        <v>233.5</v>
      </c>
      <c r="BL39" s="692">
        <f>BK39</f>
        <v>233.5</v>
      </c>
      <c r="BM39" s="693">
        <v>289.8</v>
      </c>
      <c r="BN39" s="694">
        <v>283.7</v>
      </c>
      <c r="BO39" s="693">
        <v>257.60000000000002</v>
      </c>
      <c r="BP39" s="693">
        <v>234</v>
      </c>
      <c r="BQ39" s="692">
        <f>BP39</f>
        <v>234</v>
      </c>
      <c r="BR39" s="693">
        <v>310.10000000000002</v>
      </c>
      <c r="BS39" s="694">
        <v>290.3</v>
      </c>
      <c r="BT39" s="693">
        <v>254.4</v>
      </c>
      <c r="BU39" s="693">
        <v>245.6</v>
      </c>
      <c r="BV39" s="692">
        <f>BU39</f>
        <v>245.6</v>
      </c>
      <c r="BW39" s="693">
        <v>267.39999999999998</v>
      </c>
      <c r="BX39" s="693">
        <v>253.3</v>
      </c>
      <c r="BY39" s="693">
        <v>245</v>
      </c>
      <c r="BZ39" s="693">
        <v>248.7</v>
      </c>
      <c r="CA39" s="692">
        <f>BZ39</f>
        <v>248.7</v>
      </c>
      <c r="CB39" s="693">
        <v>295.60000000000002</v>
      </c>
      <c r="CC39" s="694">
        <v>287.2</v>
      </c>
      <c r="CD39" s="693">
        <v>270.3</v>
      </c>
      <c r="CE39" s="693">
        <v>260.89999999999998</v>
      </c>
      <c r="CF39" s="692">
        <f>CE39</f>
        <v>260.89999999999998</v>
      </c>
      <c r="CG39" s="693">
        <v>324.3</v>
      </c>
      <c r="CH39" s="694">
        <v>313.3</v>
      </c>
      <c r="CI39" s="693">
        <v>288.89999999999998</v>
      </c>
      <c r="CJ39" s="693">
        <v>227.6</v>
      </c>
      <c r="CK39" s="692">
        <f>CJ39</f>
        <v>227.6</v>
      </c>
      <c r="CL39" s="604">
        <v>266.7</v>
      </c>
      <c r="CM39" s="611"/>
      <c r="CN39" s="604"/>
      <c r="CO39" s="604"/>
    </row>
    <row r="40" spans="2:93">
      <c r="B40" s="632" t="s">
        <v>37</v>
      </c>
      <c r="C40" s="498">
        <v>165.321</v>
      </c>
      <c r="D40" s="498">
        <v>213.19900000000001</v>
      </c>
      <c r="E40" s="498">
        <v>153.69999999999999</v>
      </c>
      <c r="F40" s="498">
        <v>155.4</v>
      </c>
      <c r="G40" s="498">
        <v>131.69999999999999</v>
      </c>
      <c r="H40" s="498">
        <v>113.6</v>
      </c>
      <c r="I40" s="498">
        <v>120.5</v>
      </c>
      <c r="J40" s="498">
        <v>130.4</v>
      </c>
      <c r="K40" s="498">
        <v>134.19999999999999</v>
      </c>
      <c r="L40" s="498">
        <v>144.9</v>
      </c>
      <c r="M40" s="498">
        <f t="shared" si="40"/>
        <v>144.19999999999999</v>
      </c>
      <c r="N40" s="498">
        <v>144.19999999999999</v>
      </c>
      <c r="O40" s="498">
        <v>160.1</v>
      </c>
      <c r="P40" s="498">
        <v>154.6</v>
      </c>
      <c r="Q40" s="498">
        <v>160.5</v>
      </c>
      <c r="R40" s="498">
        <f t="shared" si="41"/>
        <v>150.4</v>
      </c>
      <c r="S40" s="498">
        <v>150.4</v>
      </c>
      <c r="T40" s="498">
        <v>156.30000000000001</v>
      </c>
      <c r="U40" s="498">
        <v>160.6</v>
      </c>
      <c r="V40" s="498">
        <v>166.6</v>
      </c>
      <c r="W40" s="498">
        <f t="shared" si="42"/>
        <v>171.5</v>
      </c>
      <c r="X40" s="498">
        <v>171.5</v>
      </c>
      <c r="Y40" s="498">
        <v>189.5</v>
      </c>
      <c r="Z40" s="498">
        <v>166.7</v>
      </c>
      <c r="AA40" s="498">
        <v>179</v>
      </c>
      <c r="AB40" s="498">
        <f t="shared" si="43"/>
        <v>179.4</v>
      </c>
      <c r="AC40" s="498">
        <v>179.4</v>
      </c>
      <c r="AD40" s="498">
        <v>202.4</v>
      </c>
      <c r="AE40" s="498">
        <v>207.7</v>
      </c>
      <c r="AF40" s="498">
        <v>200.6</v>
      </c>
      <c r="AG40" s="498">
        <f t="shared" si="44"/>
        <v>195.3</v>
      </c>
      <c r="AH40" s="498">
        <v>195.3</v>
      </c>
      <c r="AI40" s="498">
        <v>185.3</v>
      </c>
      <c r="AJ40" s="498">
        <v>171.4</v>
      </c>
      <c r="AK40" s="498">
        <v>158</v>
      </c>
      <c r="AL40" s="498">
        <v>157.19999999999999</v>
      </c>
      <c r="AM40" s="498">
        <f>AL40</f>
        <v>157.19999999999999</v>
      </c>
      <c r="AN40" s="498">
        <v>167</v>
      </c>
      <c r="AO40" s="604">
        <v>175.4</v>
      </c>
      <c r="AP40" s="604">
        <v>197.5</v>
      </c>
      <c r="AQ40" s="498">
        <f>AR40</f>
        <v>169.9</v>
      </c>
      <c r="AR40" s="498">
        <v>169.9</v>
      </c>
      <c r="AS40" s="498">
        <v>198.7</v>
      </c>
      <c r="AT40" s="604">
        <v>207.9</v>
      </c>
      <c r="AU40" s="604">
        <v>213.3</v>
      </c>
      <c r="AV40" s="498">
        <f>AW40</f>
        <v>215.7</v>
      </c>
      <c r="AW40" s="611">
        <v>215.7</v>
      </c>
      <c r="AX40" s="604">
        <v>232</v>
      </c>
      <c r="AY40" s="604">
        <v>242.2</v>
      </c>
      <c r="AZ40" s="604">
        <v>235.7</v>
      </c>
      <c r="BA40" s="604">
        <f>BB40</f>
        <v>232.8</v>
      </c>
      <c r="BB40" s="692">
        <v>232.8</v>
      </c>
      <c r="BC40" s="693">
        <v>245.9</v>
      </c>
      <c r="BD40" s="693">
        <v>251.7</v>
      </c>
      <c r="BE40" s="693">
        <v>260.3</v>
      </c>
      <c r="BF40" s="693">
        <f>BG40</f>
        <v>265.3</v>
      </c>
      <c r="BG40" s="692">
        <v>265.3</v>
      </c>
      <c r="BH40" s="693">
        <v>283.89999999999998</v>
      </c>
      <c r="BI40" s="694">
        <v>288.39999999999998</v>
      </c>
      <c r="BJ40" s="693">
        <v>300.7</v>
      </c>
      <c r="BK40" s="693">
        <v>290.10000000000002</v>
      </c>
      <c r="BL40" s="692">
        <f>BK40</f>
        <v>290.10000000000002</v>
      </c>
      <c r="BM40" s="693">
        <v>314.39999999999998</v>
      </c>
      <c r="BN40" s="694">
        <v>326.8</v>
      </c>
      <c r="BO40" s="693">
        <v>326.2</v>
      </c>
      <c r="BP40" s="693">
        <v>307.2</v>
      </c>
      <c r="BQ40" s="692">
        <f>BP40</f>
        <v>307.2</v>
      </c>
      <c r="BR40" s="693">
        <v>333.1</v>
      </c>
      <c r="BS40" s="694">
        <v>331.5</v>
      </c>
      <c r="BT40" s="693">
        <v>315.10000000000002</v>
      </c>
      <c r="BU40" s="693">
        <v>291</v>
      </c>
      <c r="BV40" s="692">
        <f>BU40</f>
        <v>291</v>
      </c>
      <c r="BW40" s="693">
        <v>303.60000000000002</v>
      </c>
      <c r="BX40" s="693">
        <v>313</v>
      </c>
      <c r="BY40" s="693">
        <v>313.39999999999998</v>
      </c>
      <c r="BZ40" s="693">
        <v>314</v>
      </c>
      <c r="CA40" s="692">
        <f>BZ40</f>
        <v>314</v>
      </c>
      <c r="CB40" s="693">
        <v>300.8</v>
      </c>
      <c r="CC40" s="694">
        <v>305.39999999999998</v>
      </c>
      <c r="CD40" s="693">
        <v>308.7</v>
      </c>
      <c r="CE40" s="693">
        <v>297.8</v>
      </c>
      <c r="CF40" s="692">
        <f>CE40</f>
        <v>297.8</v>
      </c>
      <c r="CG40" s="693">
        <v>334.5</v>
      </c>
      <c r="CH40" s="694">
        <v>339.3</v>
      </c>
      <c r="CI40" s="693">
        <v>352.2</v>
      </c>
      <c r="CJ40" s="693">
        <v>333.1</v>
      </c>
      <c r="CK40" s="692">
        <f>CJ40</f>
        <v>333.1</v>
      </c>
      <c r="CL40" s="604">
        <v>354.4</v>
      </c>
      <c r="CM40" s="611"/>
      <c r="CN40" s="604"/>
      <c r="CO40" s="604"/>
    </row>
    <row r="41" spans="2:93" ht="15" thickBot="1">
      <c r="B41" s="632" t="s">
        <v>38</v>
      </c>
      <c r="C41" s="498">
        <v>31.504000000000001</v>
      </c>
      <c r="D41" s="498">
        <v>29.954999999999998</v>
      </c>
      <c r="E41" s="498">
        <f>5.1+10.2</f>
        <v>15.299999999999999</v>
      </c>
      <c r="F41" s="498">
        <f>5.5+9.7</f>
        <v>15.2</v>
      </c>
      <c r="G41" s="498">
        <v>4.4000000000000004</v>
      </c>
      <c r="H41" s="498">
        <v>9.1999999999999993</v>
      </c>
      <c r="I41" s="498">
        <v>16.2</v>
      </c>
      <c r="J41" s="498">
        <v>18.5</v>
      </c>
      <c r="K41" s="498">
        <v>16</v>
      </c>
      <c r="L41" s="498">
        <v>18</v>
      </c>
      <c r="M41" s="498">
        <f t="shared" si="40"/>
        <v>18.399999999999999</v>
      </c>
      <c r="N41" s="498">
        <v>18.399999999999999</v>
      </c>
      <c r="O41" s="498">
        <v>12.8</v>
      </c>
      <c r="P41" s="498">
        <v>13.7</v>
      </c>
      <c r="Q41" s="498">
        <v>15.7</v>
      </c>
      <c r="R41" s="498">
        <f t="shared" si="41"/>
        <v>43</v>
      </c>
      <c r="S41" s="498">
        <v>43</v>
      </c>
      <c r="T41" s="498">
        <v>35.200000000000003</v>
      </c>
      <c r="U41" s="498">
        <v>35.1</v>
      </c>
      <c r="V41" s="498">
        <v>34.700000000000003</v>
      </c>
      <c r="W41" s="498">
        <f t="shared" si="42"/>
        <v>10.5</v>
      </c>
      <c r="X41" s="498">
        <v>10.5</v>
      </c>
      <c r="Y41" s="498">
        <v>29.5</v>
      </c>
      <c r="Z41" s="498">
        <v>32.1</v>
      </c>
      <c r="AA41" s="498">
        <v>39.1</v>
      </c>
      <c r="AB41" s="498">
        <f t="shared" si="43"/>
        <v>34.700000000000003</v>
      </c>
      <c r="AC41" s="498">
        <v>34.700000000000003</v>
      </c>
      <c r="AD41" s="498">
        <v>27.2</v>
      </c>
      <c r="AE41" s="498">
        <v>47.7</v>
      </c>
      <c r="AF41" s="498">
        <v>41.2</v>
      </c>
      <c r="AG41" s="498">
        <f t="shared" si="44"/>
        <v>45.1</v>
      </c>
      <c r="AH41" s="498">
        <v>45.1</v>
      </c>
      <c r="AI41" s="498">
        <v>39.299999999999997</v>
      </c>
      <c r="AJ41" s="498">
        <v>38.4</v>
      </c>
      <c r="AK41" s="498">
        <v>42.7</v>
      </c>
      <c r="AL41" s="498">
        <v>35.4</v>
      </c>
      <c r="AM41" s="498">
        <f>AL41</f>
        <v>35.4</v>
      </c>
      <c r="AN41" s="498">
        <v>36</v>
      </c>
      <c r="AO41" s="604">
        <v>34.200000000000003</v>
      </c>
      <c r="AP41" s="604">
        <v>40.9</v>
      </c>
      <c r="AQ41" s="498">
        <f>AR41</f>
        <v>36.700000000000003</v>
      </c>
      <c r="AR41" s="498">
        <v>36.700000000000003</v>
      </c>
      <c r="AS41" s="498">
        <v>44.2</v>
      </c>
      <c r="AT41" s="604">
        <v>50.8</v>
      </c>
      <c r="AU41" s="604">
        <v>59.8</v>
      </c>
      <c r="AV41" s="498">
        <f>AW41</f>
        <v>59.8</v>
      </c>
      <c r="AW41" s="611">
        <v>59.8</v>
      </c>
      <c r="AX41" s="604">
        <v>53.1</v>
      </c>
      <c r="AY41" s="604">
        <v>66.400000000000006</v>
      </c>
      <c r="AZ41" s="604">
        <v>63.1</v>
      </c>
      <c r="BA41" s="604">
        <f>BB41</f>
        <v>81.3</v>
      </c>
      <c r="BB41" s="692">
        <v>81.3</v>
      </c>
      <c r="BC41" s="693">
        <v>65.8</v>
      </c>
      <c r="BD41" s="693">
        <v>71.8</v>
      </c>
      <c r="BE41" s="693">
        <v>96.9</v>
      </c>
      <c r="BF41" s="693">
        <f>BG41</f>
        <v>93.2</v>
      </c>
      <c r="BG41" s="692">
        <v>93.2</v>
      </c>
      <c r="BH41" s="693">
        <v>86.9</v>
      </c>
      <c r="BI41" s="694">
        <v>80.099999999999994</v>
      </c>
      <c r="BJ41" s="693">
        <v>74.5</v>
      </c>
      <c r="BK41" s="693">
        <v>87.2</v>
      </c>
      <c r="BL41" s="692">
        <f>BK41</f>
        <v>87.2</v>
      </c>
      <c r="BM41" s="693">
        <v>84.3</v>
      </c>
      <c r="BN41" s="694">
        <v>106.2</v>
      </c>
      <c r="BO41" s="693">
        <v>100.5</v>
      </c>
      <c r="BP41" s="693">
        <v>40.799999999999997</v>
      </c>
      <c r="BQ41" s="692">
        <f>BP41</f>
        <v>40.799999999999997</v>
      </c>
      <c r="BR41" s="693">
        <v>24.5</v>
      </c>
      <c r="BS41" s="694">
        <v>23.9</v>
      </c>
      <c r="BT41" s="693">
        <v>25.9</v>
      </c>
      <c r="BU41" s="693">
        <v>35.200000000000003</v>
      </c>
      <c r="BV41" s="692">
        <f>BU41</f>
        <v>35.200000000000003</v>
      </c>
      <c r="BW41" s="693">
        <v>33.700000000000003</v>
      </c>
      <c r="BX41" s="693">
        <v>36.6</v>
      </c>
      <c r="BY41" s="693">
        <v>30</v>
      </c>
      <c r="BZ41" s="693">
        <v>33.9</v>
      </c>
      <c r="CA41" s="692">
        <f>BZ41</f>
        <v>33.9</v>
      </c>
      <c r="CB41" s="693">
        <f>35.2+34.5</f>
        <v>69.7</v>
      </c>
      <c r="CC41" s="694">
        <f>37.7+38.4</f>
        <v>76.099999999999994</v>
      </c>
      <c r="CD41" s="693">
        <f>43.7+29.1</f>
        <v>72.800000000000011</v>
      </c>
      <c r="CE41" s="693">
        <f>50.5+33.9</f>
        <v>84.4</v>
      </c>
      <c r="CF41" s="692">
        <f>CE41</f>
        <v>84.4</v>
      </c>
      <c r="CG41" s="693">
        <f>53.7+26.1</f>
        <v>79.800000000000011</v>
      </c>
      <c r="CH41" s="694">
        <f>59.7+30.4</f>
        <v>90.1</v>
      </c>
      <c r="CI41" s="693">
        <f>56.4+27.1</f>
        <v>83.5</v>
      </c>
      <c r="CJ41" s="693">
        <f>52.7+27.1</f>
        <v>79.800000000000011</v>
      </c>
      <c r="CK41" s="692">
        <f>CJ41</f>
        <v>79.800000000000011</v>
      </c>
      <c r="CL41" s="604">
        <f>55.9+34</f>
        <v>89.9</v>
      </c>
      <c r="CM41" s="611"/>
      <c r="CN41" s="604"/>
      <c r="CO41" s="604"/>
    </row>
    <row r="42" spans="2:93" hidden="1" outlineLevel="1">
      <c r="B42" s="632" t="s">
        <v>96</v>
      </c>
      <c r="C42" s="613"/>
      <c r="D42" s="613"/>
      <c r="E42" s="613">
        <v>0</v>
      </c>
      <c r="F42" s="613">
        <v>0</v>
      </c>
      <c r="G42" s="613"/>
      <c r="H42" s="613"/>
      <c r="I42" s="613"/>
      <c r="J42" s="613"/>
      <c r="K42" s="613"/>
      <c r="L42" s="613"/>
      <c r="M42" s="498">
        <f t="shared" si="40"/>
        <v>0</v>
      </c>
      <c r="N42" s="613"/>
      <c r="O42" s="613"/>
      <c r="P42" s="613"/>
      <c r="Q42" s="613"/>
      <c r="R42" s="498">
        <f t="shared" si="41"/>
        <v>0</v>
      </c>
      <c r="S42" s="613"/>
      <c r="T42" s="613"/>
      <c r="U42" s="613"/>
      <c r="V42" s="613"/>
      <c r="W42" s="498">
        <f t="shared" si="42"/>
        <v>36.6</v>
      </c>
      <c r="X42" s="613">
        <v>36.6</v>
      </c>
      <c r="Y42" s="613"/>
      <c r="Z42" s="613">
        <v>39.700000000000003</v>
      </c>
      <c r="AA42" s="613"/>
      <c r="AB42" s="498">
        <f t="shared" si="43"/>
        <v>0</v>
      </c>
      <c r="AC42" s="613">
        <v>0</v>
      </c>
      <c r="AD42" s="613"/>
      <c r="AE42" s="613"/>
      <c r="AF42" s="613"/>
      <c r="AG42" s="498">
        <f t="shared" si="44"/>
        <v>0</v>
      </c>
      <c r="AH42" s="613"/>
      <c r="AI42" s="613"/>
      <c r="AJ42" s="613"/>
      <c r="AK42" s="613"/>
      <c r="AL42" s="613"/>
      <c r="AM42" s="613"/>
      <c r="AN42" s="613"/>
      <c r="AR42" s="613"/>
      <c r="AS42" s="613"/>
      <c r="AW42" s="611"/>
      <c r="BI42" s="611"/>
      <c r="BN42" s="611"/>
      <c r="BS42" s="611"/>
      <c r="CC42" s="611"/>
      <c r="CH42" s="611"/>
      <c r="CM42" s="611"/>
    </row>
    <row r="43" spans="2:93" collapsed="1">
      <c r="B43" s="633" t="s">
        <v>39</v>
      </c>
      <c r="C43" s="526">
        <f t="shared" ref="C43:L43" si="45">SUM(C38:C42)</f>
        <v>387.05</v>
      </c>
      <c r="D43" s="526">
        <f t="shared" si="45"/>
        <v>439.02600000000001</v>
      </c>
      <c r="E43" s="526">
        <f t="shared" si="45"/>
        <v>327.8</v>
      </c>
      <c r="F43" s="526">
        <f t="shared" si="45"/>
        <v>326</v>
      </c>
      <c r="G43" s="526">
        <f t="shared" si="45"/>
        <v>288.19999999999993</v>
      </c>
      <c r="H43" s="526">
        <f t="shared" si="45"/>
        <v>248.29999999999998</v>
      </c>
      <c r="I43" s="526">
        <f t="shared" si="45"/>
        <v>304.59999999999997</v>
      </c>
      <c r="J43" s="526">
        <f t="shared" si="45"/>
        <v>317.70000000000005</v>
      </c>
      <c r="K43" s="526">
        <f t="shared" si="45"/>
        <v>351.9</v>
      </c>
      <c r="L43" s="526">
        <f t="shared" si="45"/>
        <v>360.5</v>
      </c>
      <c r="M43" s="526">
        <f t="shared" si="40"/>
        <v>373.29999999999995</v>
      </c>
      <c r="N43" s="526">
        <f>SUM(N38:N42)</f>
        <v>373.29999999999995</v>
      </c>
      <c r="O43" s="526">
        <f>SUM(O38:O42)</f>
        <v>368.90000000000003</v>
      </c>
      <c r="P43" s="526">
        <f>SUM(P38:P42)</f>
        <v>363.2</v>
      </c>
      <c r="Q43" s="526">
        <f>SUM(Q38:Q42)</f>
        <v>350.3</v>
      </c>
      <c r="R43" s="526">
        <f t="shared" si="41"/>
        <v>370.3</v>
      </c>
      <c r="S43" s="526">
        <f>SUM(S38:S42)</f>
        <v>370.3</v>
      </c>
      <c r="T43" s="526">
        <f>SUM(T38:T42)</f>
        <v>409.7</v>
      </c>
      <c r="U43" s="526">
        <f>SUM(U38:U42)</f>
        <v>400.6</v>
      </c>
      <c r="V43" s="526">
        <f>SUM(V38:V42)</f>
        <v>402.09999999999997</v>
      </c>
      <c r="W43" s="526">
        <f t="shared" si="42"/>
        <v>425.8</v>
      </c>
      <c r="X43" s="526">
        <f>SUM(X38:X42)</f>
        <v>425.8</v>
      </c>
      <c r="Y43" s="526">
        <f>SUM(Y38:Y42)</f>
        <v>454.8</v>
      </c>
      <c r="Z43" s="526">
        <f>SUM(Z38:Z42)</f>
        <v>466.5</v>
      </c>
      <c r="AA43" s="526">
        <f>SUM(AA38:AA42)</f>
        <v>434.5</v>
      </c>
      <c r="AB43" s="526">
        <f t="shared" si="43"/>
        <v>435</v>
      </c>
      <c r="AC43" s="526">
        <f>SUM(AC38:AC42)</f>
        <v>435</v>
      </c>
      <c r="AD43" s="526">
        <f>SUM(AD38:AD42)</f>
        <v>493.7</v>
      </c>
      <c r="AE43" s="526">
        <f>SUM(AE38:AE42)</f>
        <v>520.1</v>
      </c>
      <c r="AF43" s="526">
        <f>SUM(AF38:AF42)</f>
        <v>499.2</v>
      </c>
      <c r="AG43" s="526">
        <f t="shared" si="44"/>
        <v>480.70000000000005</v>
      </c>
      <c r="AH43" s="526">
        <f t="shared" ref="AH43:AP43" si="46">SUM(AH38:AH41)</f>
        <v>480.70000000000005</v>
      </c>
      <c r="AI43" s="526">
        <f t="shared" si="46"/>
        <v>469.40000000000003</v>
      </c>
      <c r="AJ43" s="526">
        <f t="shared" si="46"/>
        <v>455.9</v>
      </c>
      <c r="AK43" s="526">
        <f t="shared" si="46"/>
        <v>449.2</v>
      </c>
      <c r="AL43" s="526">
        <f t="shared" si="46"/>
        <v>461.09999999999997</v>
      </c>
      <c r="AM43" s="526">
        <f t="shared" si="46"/>
        <v>461.09999999999997</v>
      </c>
      <c r="AN43" s="526">
        <f t="shared" si="46"/>
        <v>437.3</v>
      </c>
      <c r="AO43" s="526">
        <f t="shared" si="46"/>
        <v>488.7</v>
      </c>
      <c r="AP43" s="526">
        <f t="shared" si="46"/>
        <v>499.79999999999995</v>
      </c>
      <c r="AQ43" s="526">
        <f t="shared" ref="AQ43:AQ48" si="47">AR43</f>
        <v>497.7</v>
      </c>
      <c r="AR43" s="526">
        <f>SUM(AR38:AR41)</f>
        <v>497.7</v>
      </c>
      <c r="AS43" s="526">
        <f>SUM(AS38:AS41)</f>
        <v>503.5</v>
      </c>
      <c r="AT43" s="526">
        <f>SUM(AT38:AT41)</f>
        <v>522.4</v>
      </c>
      <c r="AU43" s="526">
        <f>SUM(AU38:AU41)</f>
        <v>530</v>
      </c>
      <c r="AV43" s="526">
        <f t="shared" ref="AV43:AV48" si="48">AW43</f>
        <v>524.29999999999995</v>
      </c>
      <c r="AW43" s="616">
        <f>SUM(AW38:AW41)</f>
        <v>524.29999999999995</v>
      </c>
      <c r="AX43" s="526">
        <f>SUM(AX38:AX41)</f>
        <v>584.80000000000007</v>
      </c>
      <c r="AY43" s="526">
        <f>SUM(AY38:AY41)</f>
        <v>591.6</v>
      </c>
      <c r="AZ43" s="526">
        <f>SUM(AZ38:AZ41)</f>
        <v>584.19999999999993</v>
      </c>
      <c r="BA43" s="617">
        <f t="shared" ref="BA43:BA48" si="49">BB43</f>
        <v>575.70000000000005</v>
      </c>
      <c r="BB43" s="713">
        <f>SUM(BB38:BB41)</f>
        <v>575.70000000000005</v>
      </c>
      <c r="BC43" s="713">
        <f>SUM(BC38:BC41)</f>
        <v>599.1</v>
      </c>
      <c r="BD43" s="713">
        <f>SUM(BD38:BD41)</f>
        <v>626.29999999999995</v>
      </c>
      <c r="BE43" s="713">
        <f>SUM(BE38:BE41)</f>
        <v>653.1</v>
      </c>
      <c r="BF43" s="713">
        <f t="shared" ref="BF43:BF48" si="50">BG43</f>
        <v>656.40000000000009</v>
      </c>
      <c r="BG43" s="713">
        <f t="shared" ref="BG43:CL43" si="51">SUM(BG38:BG41)</f>
        <v>656.40000000000009</v>
      </c>
      <c r="BH43" s="713">
        <f t="shared" si="51"/>
        <v>701.69999999999993</v>
      </c>
      <c r="BI43" s="713">
        <f t="shared" si="51"/>
        <v>693.80000000000007</v>
      </c>
      <c r="BJ43" s="713">
        <f t="shared" si="51"/>
        <v>668.5</v>
      </c>
      <c r="BK43" s="713">
        <f t="shared" si="51"/>
        <v>681.7</v>
      </c>
      <c r="BL43" s="713">
        <f t="shared" si="51"/>
        <v>681.7</v>
      </c>
      <c r="BM43" s="713">
        <f t="shared" si="51"/>
        <v>711.19999999999993</v>
      </c>
      <c r="BN43" s="713">
        <f t="shared" si="51"/>
        <v>752</v>
      </c>
      <c r="BO43" s="713">
        <f t="shared" si="51"/>
        <v>727.5</v>
      </c>
      <c r="BP43" s="713">
        <f t="shared" si="51"/>
        <v>633.79999999999995</v>
      </c>
      <c r="BQ43" s="713">
        <f t="shared" si="51"/>
        <v>633.79999999999995</v>
      </c>
      <c r="BR43" s="713">
        <f t="shared" si="51"/>
        <v>691.90000000000009</v>
      </c>
      <c r="BS43" s="713">
        <f t="shared" si="51"/>
        <v>684.6</v>
      </c>
      <c r="BT43" s="713">
        <f t="shared" si="51"/>
        <v>641.1</v>
      </c>
      <c r="BU43" s="713">
        <f t="shared" si="51"/>
        <v>607</v>
      </c>
      <c r="BV43" s="713">
        <f t="shared" si="51"/>
        <v>607</v>
      </c>
      <c r="BW43" s="713">
        <f t="shared" si="51"/>
        <v>686.80000000000007</v>
      </c>
      <c r="BX43" s="713">
        <f t="shared" si="51"/>
        <v>648.4</v>
      </c>
      <c r="BY43" s="713">
        <f t="shared" si="51"/>
        <v>707.5</v>
      </c>
      <c r="BZ43" s="713">
        <f t="shared" si="51"/>
        <v>656.69999999999993</v>
      </c>
      <c r="CA43" s="713">
        <f t="shared" si="51"/>
        <v>656.69999999999993</v>
      </c>
      <c r="CB43" s="713">
        <f t="shared" si="51"/>
        <v>715.90000000000009</v>
      </c>
      <c r="CC43" s="713">
        <f t="shared" si="51"/>
        <v>707.80000000000007</v>
      </c>
      <c r="CD43" s="713">
        <f t="shared" si="51"/>
        <v>699</v>
      </c>
      <c r="CE43" s="713">
        <f t="shared" si="51"/>
        <v>675.8</v>
      </c>
      <c r="CF43" s="713">
        <f t="shared" si="51"/>
        <v>675.8</v>
      </c>
      <c r="CG43" s="713">
        <f t="shared" si="51"/>
        <v>782.3</v>
      </c>
      <c r="CH43" s="713">
        <f t="shared" si="51"/>
        <v>798.1</v>
      </c>
      <c r="CI43" s="713">
        <f t="shared" si="51"/>
        <v>771.59999999999991</v>
      </c>
      <c r="CJ43" s="713">
        <f t="shared" si="51"/>
        <v>704.90000000000009</v>
      </c>
      <c r="CK43" s="713">
        <f t="shared" si="51"/>
        <v>704.90000000000009</v>
      </c>
      <c r="CL43" s="616">
        <f t="shared" si="51"/>
        <v>1040.3</v>
      </c>
      <c r="CM43" s="616"/>
      <c r="CN43" s="616"/>
      <c r="CO43" s="616"/>
    </row>
    <row r="44" spans="2:93">
      <c r="B44" s="632" t="s">
        <v>41</v>
      </c>
      <c r="C44" s="498">
        <v>331.47699999999998</v>
      </c>
      <c r="D44" s="498">
        <v>432.57299999999998</v>
      </c>
      <c r="E44" s="498">
        <v>392.1</v>
      </c>
      <c r="F44" s="498">
        <v>359.7</v>
      </c>
      <c r="G44" s="498">
        <v>329.2</v>
      </c>
      <c r="H44" s="498">
        <v>309.39999999999998</v>
      </c>
      <c r="I44" s="498">
        <v>293.89999999999998</v>
      </c>
      <c r="J44" s="498">
        <v>282.10000000000002</v>
      </c>
      <c r="K44" s="498">
        <v>273.3</v>
      </c>
      <c r="L44" s="498">
        <v>272</v>
      </c>
      <c r="M44" s="498">
        <f t="shared" si="40"/>
        <v>286.60000000000002</v>
      </c>
      <c r="N44" s="498">
        <v>286.60000000000002</v>
      </c>
      <c r="O44" s="498">
        <v>273</v>
      </c>
      <c r="P44" s="498">
        <v>264.10000000000002</v>
      </c>
      <c r="Q44" s="498">
        <v>267.7</v>
      </c>
      <c r="R44" s="498">
        <f t="shared" si="41"/>
        <v>285.2</v>
      </c>
      <c r="S44" s="498">
        <v>285.2</v>
      </c>
      <c r="T44" s="498">
        <v>297.39999999999998</v>
      </c>
      <c r="U44" s="498">
        <v>316.2</v>
      </c>
      <c r="V44" s="498">
        <v>340.6</v>
      </c>
      <c r="W44" s="498">
        <f t="shared" si="42"/>
        <v>370.4</v>
      </c>
      <c r="X44" s="498">
        <v>370.4</v>
      </c>
      <c r="Y44" s="498">
        <v>376.8</v>
      </c>
      <c r="Z44" s="498">
        <v>378.8</v>
      </c>
      <c r="AA44" s="498">
        <v>399.8</v>
      </c>
      <c r="AB44" s="498">
        <f t="shared" si="43"/>
        <v>443.1</v>
      </c>
      <c r="AC44" s="498">
        <v>443.1</v>
      </c>
      <c r="AD44" s="498">
        <v>486.6</v>
      </c>
      <c r="AE44" s="498">
        <v>517.6</v>
      </c>
      <c r="AF44" s="498">
        <v>522.6</v>
      </c>
      <c r="AG44" s="498">
        <f t="shared" si="44"/>
        <v>552.29999999999995</v>
      </c>
      <c r="AH44" s="498">
        <v>552.29999999999995</v>
      </c>
      <c r="AI44" s="498">
        <v>562.6</v>
      </c>
      <c r="AJ44" s="498">
        <v>584.70000000000005</v>
      </c>
      <c r="AK44" s="498">
        <v>597.29999999999995</v>
      </c>
      <c r="AL44" s="498">
        <v>602.1</v>
      </c>
      <c r="AM44" s="498">
        <f>AL44</f>
        <v>602.1</v>
      </c>
      <c r="AN44" s="498">
        <v>586.6</v>
      </c>
      <c r="AO44" s="604">
        <v>568.5</v>
      </c>
      <c r="AP44" s="604">
        <v>579.9</v>
      </c>
      <c r="AQ44" s="498">
        <f t="shared" si="47"/>
        <v>598.29999999999995</v>
      </c>
      <c r="AR44" s="498">
        <v>598.29999999999995</v>
      </c>
      <c r="AS44" s="498">
        <v>618.79999999999995</v>
      </c>
      <c r="AT44" s="604">
        <f>1139.8-502.4</f>
        <v>637.4</v>
      </c>
      <c r="AU44" s="498">
        <f>1170.3-506.3</f>
        <v>664</v>
      </c>
      <c r="AV44" s="498">
        <f t="shared" si="48"/>
        <v>722.1</v>
      </c>
      <c r="AW44" s="611">
        <f>1223.5-501.4</f>
        <v>722.1</v>
      </c>
      <c r="AX44" s="498">
        <f>1271.6-511.2</f>
        <v>760.39999999999986</v>
      </c>
      <c r="AY44" s="498">
        <v>808.5</v>
      </c>
      <c r="AZ44" s="498">
        <v>858.2</v>
      </c>
      <c r="BA44" s="498">
        <f t="shared" si="49"/>
        <v>914.4</v>
      </c>
      <c r="BB44" s="692">
        <v>914.4</v>
      </c>
      <c r="BC44" s="693">
        <v>930.9</v>
      </c>
      <c r="BD44" s="693">
        <v>960.8</v>
      </c>
      <c r="BE44" s="693">
        <v>995.3</v>
      </c>
      <c r="BF44" s="692">
        <f t="shared" si="50"/>
        <v>1067.4000000000001</v>
      </c>
      <c r="BG44" s="692">
        <v>1067.4000000000001</v>
      </c>
      <c r="BH44" s="693">
        <f>1701.8-610.5</f>
        <v>1091.3</v>
      </c>
      <c r="BI44" s="694">
        <f>1767.1-627.2</f>
        <v>1139.8999999999999</v>
      </c>
      <c r="BJ44" s="692">
        <f>1808.3-630.5</f>
        <v>1177.8</v>
      </c>
      <c r="BK44" s="692">
        <v>1238.2</v>
      </c>
      <c r="BL44" s="692">
        <f>BK44</f>
        <v>1238.2</v>
      </c>
      <c r="BM44" s="693">
        <f>1891.9-630.7</f>
        <v>1261.2</v>
      </c>
      <c r="BN44" s="694">
        <v>1327.7</v>
      </c>
      <c r="BO44" s="692">
        <v>1393.2</v>
      </c>
      <c r="BP44" s="693">
        <v>1425.6</v>
      </c>
      <c r="BQ44" s="692">
        <f>BP44</f>
        <v>1425.6</v>
      </c>
      <c r="BR44" s="693">
        <v>1491.7</v>
      </c>
      <c r="BS44" s="694">
        <v>1522.9</v>
      </c>
      <c r="BT44" s="693">
        <v>1589.7</v>
      </c>
      <c r="BU44" s="693">
        <v>1625.6</v>
      </c>
      <c r="BV44" s="692">
        <f>BU44</f>
        <v>1625.6</v>
      </c>
      <c r="BW44" s="693">
        <v>1700.7</v>
      </c>
      <c r="BX44" s="693">
        <v>1785.5</v>
      </c>
      <c r="BY44" s="693">
        <f>2662.3-836.8</f>
        <v>1825.5000000000002</v>
      </c>
      <c r="BZ44" s="693">
        <v>1866.3</v>
      </c>
      <c r="CA44" s="692">
        <f>BZ44</f>
        <v>1866.3</v>
      </c>
      <c r="CB44" s="693">
        <f>2815.1-913</f>
        <v>1902.1</v>
      </c>
      <c r="CC44" s="694">
        <f>2800.1-920.5</f>
        <v>1879.6</v>
      </c>
      <c r="CD44" s="692">
        <f>2839.8-945.6</f>
        <v>1894.2000000000003</v>
      </c>
      <c r="CE44" s="692">
        <f>2839.9-963.4</f>
        <v>1876.5</v>
      </c>
      <c r="CF44" s="692">
        <f>CE44</f>
        <v>1876.5</v>
      </c>
      <c r="CG44" s="693">
        <f>2894.5-991.8</f>
        <v>1902.7</v>
      </c>
      <c r="CH44" s="694">
        <f>3005.3-1083.4</f>
        <v>1921.9</v>
      </c>
      <c r="CI44" s="692">
        <f>3014.5-1090.8</f>
        <v>1923.7</v>
      </c>
      <c r="CJ44" s="692">
        <f>3075.1-1132.3</f>
        <v>1942.8</v>
      </c>
      <c r="CK44" s="692">
        <f>CJ44</f>
        <v>1942.8</v>
      </c>
      <c r="CL44" s="604">
        <v>1915.5</v>
      </c>
      <c r="CM44" s="611"/>
    </row>
    <row r="45" spans="2:93">
      <c r="B45" s="632" t="s">
        <v>42</v>
      </c>
      <c r="C45" s="498">
        <v>93.058999999999997</v>
      </c>
      <c r="D45" s="498">
        <v>425.40499999999997</v>
      </c>
      <c r="E45" s="498">
        <v>411.2</v>
      </c>
      <c r="F45" s="498">
        <v>391.7</v>
      </c>
      <c r="G45" s="498">
        <v>72.400000000000006</v>
      </c>
      <c r="H45" s="498">
        <v>74.400000000000006</v>
      </c>
      <c r="I45" s="498">
        <v>76.900000000000006</v>
      </c>
      <c r="J45" s="498">
        <v>76.400000000000006</v>
      </c>
      <c r="K45" s="498">
        <v>76.3</v>
      </c>
      <c r="L45" s="498">
        <v>76.7</v>
      </c>
      <c r="M45" s="498">
        <f t="shared" si="40"/>
        <v>78.3</v>
      </c>
      <c r="N45" s="498">
        <v>78.3</v>
      </c>
      <c r="O45" s="498">
        <v>76.599999999999994</v>
      </c>
      <c r="P45" s="498">
        <v>75.7</v>
      </c>
      <c r="Q45" s="498">
        <v>75.5</v>
      </c>
      <c r="R45" s="498">
        <f t="shared" si="41"/>
        <v>74.7</v>
      </c>
      <c r="S45" s="498">
        <v>74.7</v>
      </c>
      <c r="T45" s="498">
        <v>74.8</v>
      </c>
      <c r="U45" s="498">
        <v>75.3</v>
      </c>
      <c r="V45" s="498">
        <v>75.7</v>
      </c>
      <c r="W45" s="498">
        <f t="shared" si="42"/>
        <v>75.900000000000006</v>
      </c>
      <c r="X45" s="498">
        <v>75.900000000000006</v>
      </c>
      <c r="Y45" s="498">
        <v>76</v>
      </c>
      <c r="Z45" s="498">
        <v>58.9</v>
      </c>
      <c r="AA45" s="498">
        <v>59.3</v>
      </c>
      <c r="AB45" s="498">
        <f t="shared" si="43"/>
        <v>56.8</v>
      </c>
      <c r="AC45" s="498">
        <v>56.8</v>
      </c>
      <c r="AD45" s="498">
        <v>57.1</v>
      </c>
      <c r="AE45" s="498">
        <v>57.1</v>
      </c>
      <c r="AF45" s="498">
        <v>55.9</v>
      </c>
      <c r="AG45" s="498">
        <f t="shared" si="44"/>
        <v>56</v>
      </c>
      <c r="AH45" s="498">
        <v>56</v>
      </c>
      <c r="AI45" s="498">
        <v>55.7</v>
      </c>
      <c r="AJ45" s="498">
        <v>56.9</v>
      </c>
      <c r="AK45" s="498">
        <v>56.9</v>
      </c>
      <c r="AL45" s="498">
        <v>56.7</v>
      </c>
      <c r="AM45" s="498">
        <f>AL45</f>
        <v>56.7</v>
      </c>
      <c r="AN45" s="498">
        <v>56.1</v>
      </c>
      <c r="AO45" s="604">
        <v>55.7</v>
      </c>
      <c r="AP45" s="604">
        <v>56.5</v>
      </c>
      <c r="AQ45" s="498">
        <f t="shared" si="47"/>
        <v>56.2</v>
      </c>
      <c r="AR45" s="498">
        <v>56.2</v>
      </c>
      <c r="AS45" s="498">
        <v>56.7</v>
      </c>
      <c r="AT45" s="604">
        <v>56.8</v>
      </c>
      <c r="AU45" s="604">
        <v>57.7</v>
      </c>
      <c r="AV45" s="498">
        <f t="shared" si="48"/>
        <v>57.4</v>
      </c>
      <c r="AW45" s="611">
        <v>57.4</v>
      </c>
      <c r="AX45" s="604">
        <v>57.7</v>
      </c>
      <c r="AY45" s="604">
        <v>57.4</v>
      </c>
      <c r="AZ45" s="604">
        <v>57.7</v>
      </c>
      <c r="BA45" s="604">
        <f t="shared" si="49"/>
        <v>57.8</v>
      </c>
      <c r="BB45" s="692">
        <v>57.8</v>
      </c>
      <c r="BC45" s="693">
        <v>57.2</v>
      </c>
      <c r="BD45" s="693">
        <v>57.4</v>
      </c>
      <c r="BE45" s="693">
        <v>60.9</v>
      </c>
      <c r="BF45" s="693">
        <f t="shared" si="50"/>
        <v>61</v>
      </c>
      <c r="BG45" s="692">
        <v>61</v>
      </c>
      <c r="BH45" s="693">
        <v>61.1</v>
      </c>
      <c r="BI45" s="694">
        <v>61.1</v>
      </c>
      <c r="BJ45" s="693">
        <v>60.4</v>
      </c>
      <c r="BK45" s="693">
        <v>59.8</v>
      </c>
      <c r="BL45" s="692">
        <f>BK45</f>
        <v>59.8</v>
      </c>
      <c r="BM45" s="693">
        <v>59.1</v>
      </c>
      <c r="BN45" s="694">
        <v>59.5</v>
      </c>
      <c r="BO45" s="693">
        <v>59.2</v>
      </c>
      <c r="BP45" s="693">
        <v>58.9</v>
      </c>
      <c r="BQ45" s="692">
        <f>BP45</f>
        <v>58.9</v>
      </c>
      <c r="BR45" s="693">
        <v>76.5</v>
      </c>
      <c r="BS45" s="694">
        <v>74.8</v>
      </c>
      <c r="BT45" s="693">
        <v>73.900000000000006</v>
      </c>
      <c r="BU45" s="693">
        <v>72.2</v>
      </c>
      <c r="BV45" s="692">
        <f>BU45</f>
        <v>72.2</v>
      </c>
      <c r="BW45" s="693">
        <v>72.599999999999994</v>
      </c>
      <c r="BX45" s="693">
        <v>73.5</v>
      </c>
      <c r="BY45" s="693">
        <v>74</v>
      </c>
      <c r="BZ45" s="693">
        <v>148.69999999999999</v>
      </c>
      <c r="CA45" s="692">
        <f>BZ45</f>
        <v>148.69999999999999</v>
      </c>
      <c r="CB45" s="693">
        <v>150.19999999999999</v>
      </c>
      <c r="CC45" s="694">
        <v>145.30000000000001</v>
      </c>
      <c r="CD45" s="693">
        <v>144.6</v>
      </c>
      <c r="CE45" s="693">
        <v>142.30000000000001</v>
      </c>
      <c r="CF45" s="692">
        <f>CE45</f>
        <v>142.30000000000001</v>
      </c>
      <c r="CG45" s="693">
        <v>286.2</v>
      </c>
      <c r="CH45" s="694">
        <v>283.60000000000002</v>
      </c>
      <c r="CI45" s="693">
        <v>279.39999999999998</v>
      </c>
      <c r="CJ45" s="693">
        <v>280.39999999999998</v>
      </c>
      <c r="CK45" s="692">
        <f>CJ45</f>
        <v>280.39999999999998</v>
      </c>
      <c r="CL45" s="604">
        <v>276.60000000000002</v>
      </c>
      <c r="CM45" s="611"/>
      <c r="CN45" s="604"/>
      <c r="CO45" s="604"/>
    </row>
    <row r="46" spans="2:93">
      <c r="B46" s="632" t="s">
        <v>43</v>
      </c>
      <c r="D46" s="498">
        <v>107.157</v>
      </c>
      <c r="E46" s="498">
        <v>130.80000000000001</v>
      </c>
      <c r="F46" s="498">
        <v>134</v>
      </c>
      <c r="G46" s="498">
        <v>56.9</v>
      </c>
      <c r="H46" s="498">
        <v>34</v>
      </c>
      <c r="I46" s="498">
        <v>7.4</v>
      </c>
      <c r="J46" s="498">
        <v>7.7</v>
      </c>
      <c r="K46" s="498">
        <v>6.7</v>
      </c>
      <c r="L46" s="498">
        <v>6.7</v>
      </c>
      <c r="M46" s="498">
        <f t="shared" si="40"/>
        <v>5.5</v>
      </c>
      <c r="N46" s="498">
        <v>5.5</v>
      </c>
      <c r="O46" s="498">
        <v>14.1</v>
      </c>
      <c r="P46" s="498">
        <v>14</v>
      </c>
      <c r="Q46" s="498">
        <v>14.3</v>
      </c>
      <c r="R46" s="498">
        <f t="shared" si="41"/>
        <v>14.3</v>
      </c>
      <c r="S46" s="498">
        <v>14.3</v>
      </c>
      <c r="T46" s="498">
        <v>14.7</v>
      </c>
      <c r="U46" s="498">
        <v>15.5</v>
      </c>
      <c r="V46" s="498">
        <v>16.5</v>
      </c>
      <c r="W46" s="498">
        <f t="shared" si="42"/>
        <v>11.1</v>
      </c>
      <c r="X46" s="498">
        <v>11.1</v>
      </c>
      <c r="Y46" s="498">
        <v>14.2</v>
      </c>
      <c r="Z46" s="498">
        <v>15.7</v>
      </c>
      <c r="AA46" s="498">
        <v>16.600000000000001</v>
      </c>
      <c r="AB46" s="498">
        <f t="shared" si="43"/>
        <v>17.5</v>
      </c>
      <c r="AC46" s="498">
        <v>17.5</v>
      </c>
      <c r="AD46" s="498">
        <v>18.8</v>
      </c>
      <c r="AE46" s="498">
        <v>20</v>
      </c>
      <c r="AF46" s="498">
        <v>10.199999999999999</v>
      </c>
      <c r="AG46" s="498">
        <f t="shared" si="44"/>
        <v>10.6</v>
      </c>
      <c r="AH46" s="498">
        <v>10.6</v>
      </c>
      <c r="AI46" s="498">
        <v>10.6</v>
      </c>
      <c r="AJ46" s="498">
        <v>10.8</v>
      </c>
      <c r="AK46" s="498">
        <v>17.2</v>
      </c>
      <c r="AL46" s="498">
        <v>17.7</v>
      </c>
      <c r="AM46" s="498">
        <f>AL46</f>
        <v>17.7</v>
      </c>
      <c r="AN46" s="498">
        <v>17.8</v>
      </c>
      <c r="AO46" s="604">
        <v>19.100000000000001</v>
      </c>
      <c r="AP46" s="604">
        <v>19.3</v>
      </c>
      <c r="AQ46" s="498">
        <f t="shared" si="47"/>
        <v>19.899999999999999</v>
      </c>
      <c r="AR46" s="498">
        <v>19.899999999999999</v>
      </c>
      <c r="AS46" s="498">
        <v>20.7</v>
      </c>
      <c r="AT46" s="604">
        <v>21.6</v>
      </c>
      <c r="AU46" s="604">
        <v>21.9</v>
      </c>
      <c r="AV46" s="498">
        <f t="shared" si="48"/>
        <v>21.7</v>
      </c>
      <c r="AW46" s="611">
        <v>21.7</v>
      </c>
      <c r="AX46" s="604">
        <v>22.4</v>
      </c>
      <c r="AY46" s="604">
        <v>22.8</v>
      </c>
      <c r="AZ46" s="604">
        <v>21.9</v>
      </c>
      <c r="BA46" s="604">
        <f t="shared" si="49"/>
        <v>22.6</v>
      </c>
      <c r="BB46" s="692">
        <v>22.6</v>
      </c>
      <c r="BC46" s="693">
        <v>22.6</v>
      </c>
      <c r="BD46" s="693">
        <v>23.3</v>
      </c>
      <c r="BE46" s="693">
        <v>22.3</v>
      </c>
      <c r="BF46" s="693">
        <f t="shared" si="50"/>
        <v>23.3</v>
      </c>
      <c r="BG46" s="692">
        <v>23.3</v>
      </c>
      <c r="BH46" s="693">
        <v>22.1</v>
      </c>
      <c r="BI46" s="694">
        <v>23.2</v>
      </c>
      <c r="BJ46" s="693">
        <v>24.3</v>
      </c>
      <c r="BK46" s="693">
        <v>34.200000000000003</v>
      </c>
      <c r="BL46" s="692">
        <f>BK46</f>
        <v>34.200000000000003</v>
      </c>
      <c r="BM46" s="693">
        <v>32</v>
      </c>
      <c r="BN46" s="694">
        <v>33.9</v>
      </c>
      <c r="BO46" s="693">
        <v>33.1</v>
      </c>
      <c r="BP46" s="693">
        <v>30.4</v>
      </c>
      <c r="BQ46" s="692">
        <f>BP46</f>
        <v>30.4</v>
      </c>
      <c r="BR46" s="693">
        <v>20.9</v>
      </c>
      <c r="BS46" s="694">
        <v>48.4</v>
      </c>
      <c r="BT46" s="693">
        <v>48.3</v>
      </c>
      <c r="BU46" s="693">
        <v>53.1</v>
      </c>
      <c r="BV46" s="692">
        <f>BU46</f>
        <v>53.1</v>
      </c>
      <c r="BW46" s="693">
        <v>62.8</v>
      </c>
      <c r="BX46" s="693">
        <v>63.9</v>
      </c>
      <c r="BY46" s="693">
        <v>67.099999999999994</v>
      </c>
      <c r="BZ46" s="693">
        <v>47.7</v>
      </c>
      <c r="CA46" s="692">
        <f>BZ46</f>
        <v>47.7</v>
      </c>
      <c r="CB46" s="693">
        <v>51</v>
      </c>
      <c r="CC46" s="694">
        <v>44.6</v>
      </c>
      <c r="CD46" s="693">
        <v>45.9</v>
      </c>
      <c r="CE46" s="693">
        <v>48.7</v>
      </c>
      <c r="CF46" s="692">
        <f>CE46</f>
        <v>48.7</v>
      </c>
      <c r="CG46" s="693">
        <v>50.9</v>
      </c>
      <c r="CH46" s="694">
        <v>51.8</v>
      </c>
      <c r="CI46" s="693">
        <v>45.8</v>
      </c>
      <c r="CJ46" s="693">
        <v>46.5</v>
      </c>
      <c r="CK46" s="692">
        <f>CJ46</f>
        <v>46.5</v>
      </c>
      <c r="CL46" s="604">
        <v>47.9</v>
      </c>
      <c r="CM46" s="611"/>
      <c r="CN46" s="604"/>
      <c r="CO46" s="604"/>
    </row>
    <row r="47" spans="2:93">
      <c r="B47" s="632" t="s">
        <v>44</v>
      </c>
      <c r="G47" s="498">
        <v>42.7</v>
      </c>
      <c r="H47" s="498">
        <v>42</v>
      </c>
      <c r="I47" s="498">
        <v>39.9</v>
      </c>
      <c r="J47" s="498">
        <v>39.200000000000003</v>
      </c>
      <c r="K47" s="498">
        <v>35.799999999999997</v>
      </c>
      <c r="L47" s="498">
        <v>34.700000000000003</v>
      </c>
      <c r="M47" s="498">
        <f t="shared" si="40"/>
        <v>33.1</v>
      </c>
      <c r="N47" s="498">
        <v>33.1</v>
      </c>
      <c r="O47" s="498">
        <v>33.700000000000003</v>
      </c>
      <c r="P47" s="498">
        <v>36.299999999999997</v>
      </c>
      <c r="Q47" s="498">
        <v>34.9</v>
      </c>
      <c r="R47" s="498">
        <f t="shared" si="41"/>
        <v>107.8</v>
      </c>
      <c r="S47" s="498">
        <v>107.8</v>
      </c>
      <c r="T47" s="498">
        <v>111.6</v>
      </c>
      <c r="U47" s="498">
        <v>111.2</v>
      </c>
      <c r="V47" s="498">
        <v>110.2</v>
      </c>
      <c r="W47" s="498">
        <f t="shared" si="42"/>
        <v>101.5</v>
      </c>
      <c r="X47" s="498">
        <v>101.5</v>
      </c>
      <c r="Y47" s="498">
        <v>103.1</v>
      </c>
      <c r="Z47" s="498">
        <v>96.4</v>
      </c>
      <c r="AA47" s="498">
        <v>94.1</v>
      </c>
      <c r="AB47" s="498">
        <f t="shared" si="43"/>
        <v>88.7</v>
      </c>
      <c r="AC47" s="498">
        <v>88.7</v>
      </c>
      <c r="AD47" s="498">
        <v>87.9</v>
      </c>
      <c r="AE47" s="498">
        <v>83</v>
      </c>
      <c r="AF47" s="498">
        <v>75.5</v>
      </c>
      <c r="AG47" s="498">
        <f t="shared" si="44"/>
        <v>88.3</v>
      </c>
      <c r="AH47" s="498">
        <v>88.3</v>
      </c>
      <c r="AI47" s="498">
        <v>81.5</v>
      </c>
      <c r="AJ47" s="498">
        <v>80</v>
      </c>
      <c r="AK47" s="498">
        <v>80.3</v>
      </c>
      <c r="AL47" s="498">
        <v>85.6</v>
      </c>
      <c r="AM47" s="498">
        <f>AL47</f>
        <v>85.6</v>
      </c>
      <c r="AN47" s="498">
        <v>86.1</v>
      </c>
      <c r="AO47" s="604">
        <v>78.599999999999994</v>
      </c>
      <c r="AP47" s="604">
        <v>73.099999999999994</v>
      </c>
      <c r="AQ47" s="498">
        <f t="shared" si="47"/>
        <v>63.6</v>
      </c>
      <c r="AR47" s="498">
        <v>63.6</v>
      </c>
      <c r="AS47" s="498">
        <v>55.1</v>
      </c>
      <c r="AT47" s="604">
        <v>62.9</v>
      </c>
      <c r="AU47" s="604">
        <v>29.9</v>
      </c>
      <c r="AV47" s="498">
        <f t="shared" si="48"/>
        <v>33</v>
      </c>
      <c r="AW47" s="611">
        <v>33</v>
      </c>
      <c r="AX47" s="604">
        <v>26.1</v>
      </c>
      <c r="AY47" s="604">
        <v>22.1</v>
      </c>
      <c r="AZ47" s="604">
        <v>28</v>
      </c>
      <c r="BA47" s="604">
        <f t="shared" si="49"/>
        <v>15.4</v>
      </c>
      <c r="BB47" s="692">
        <v>15.4</v>
      </c>
      <c r="BC47" s="693">
        <v>14.4</v>
      </c>
      <c r="BD47" s="693">
        <v>13.9</v>
      </c>
      <c r="BE47" s="693">
        <v>14</v>
      </c>
      <c r="BF47" s="693">
        <f t="shared" si="50"/>
        <v>10.3</v>
      </c>
      <c r="BG47" s="692">
        <v>10.3</v>
      </c>
      <c r="BH47" s="693">
        <v>10</v>
      </c>
      <c r="BI47" s="694">
        <v>0</v>
      </c>
      <c r="BJ47" s="693">
        <v>0</v>
      </c>
      <c r="BK47" s="693">
        <v>0</v>
      </c>
      <c r="BL47" s="692">
        <f>BK47</f>
        <v>0</v>
      </c>
      <c r="BM47" s="705"/>
      <c r="BN47" s="706"/>
      <c r="BO47" s="705"/>
      <c r="BP47" s="705"/>
      <c r="BQ47" s="692">
        <f>BP47</f>
        <v>0</v>
      </c>
      <c r="BR47" s="705"/>
      <c r="BS47" s="706"/>
      <c r="BT47" s="705"/>
      <c r="BU47" s="705"/>
      <c r="BV47" s="692">
        <f>BU47</f>
        <v>0</v>
      </c>
      <c r="BW47" s="705"/>
      <c r="BX47" s="705"/>
      <c r="BY47" s="705"/>
      <c r="BZ47" s="705"/>
      <c r="CA47" s="692">
        <f>BZ47</f>
        <v>0</v>
      </c>
      <c r="CB47" s="705"/>
      <c r="CC47" s="706"/>
      <c r="CD47" s="705"/>
      <c r="CE47" s="705"/>
      <c r="CF47" s="692">
        <f>CE47</f>
        <v>0</v>
      </c>
      <c r="CG47" s="705"/>
      <c r="CH47" s="706"/>
      <c r="CI47" s="705"/>
      <c r="CJ47" s="705"/>
      <c r="CK47" s="692">
        <f>CJ47</f>
        <v>0</v>
      </c>
      <c r="CL47" s="604"/>
      <c r="CM47" s="611"/>
      <c r="CN47" s="604"/>
      <c r="CO47" s="604"/>
    </row>
    <row r="48" spans="2:93" ht="15" thickBot="1">
      <c r="B48" s="632" t="s">
        <v>45</v>
      </c>
      <c r="M48" s="498">
        <f t="shared" si="40"/>
        <v>0</v>
      </c>
      <c r="R48" s="498">
        <f t="shared" si="41"/>
        <v>28.3</v>
      </c>
      <c r="S48" s="498">
        <v>28.3</v>
      </c>
      <c r="T48" s="498">
        <v>31</v>
      </c>
      <c r="U48" s="498">
        <v>32.700000000000003</v>
      </c>
      <c r="V48" s="498">
        <v>30.6</v>
      </c>
      <c r="W48" s="498">
        <f t="shared" si="42"/>
        <v>28.200000000000003</v>
      </c>
      <c r="X48" s="498">
        <f>5.9+22.3</f>
        <v>28.200000000000003</v>
      </c>
      <c r="Y48" s="498">
        <v>20.8</v>
      </c>
      <c r="Z48" s="498">
        <v>17.100000000000001</v>
      </c>
      <c r="AA48" s="498">
        <v>16</v>
      </c>
      <c r="AB48" s="498">
        <f t="shared" si="43"/>
        <v>19.399999999999999</v>
      </c>
      <c r="AC48" s="498">
        <v>19.399999999999999</v>
      </c>
      <c r="AD48" s="498">
        <v>19.600000000000001</v>
      </c>
      <c r="AE48" s="498">
        <v>20</v>
      </c>
      <c r="AF48" s="498">
        <v>25.3</v>
      </c>
      <c r="AG48" s="498">
        <f t="shared" si="44"/>
        <v>22.4</v>
      </c>
      <c r="AH48" s="498">
        <v>22.4</v>
      </c>
      <c r="AI48" s="498">
        <v>20</v>
      </c>
      <c r="AJ48" s="498">
        <v>26.5</v>
      </c>
      <c r="AK48" s="498">
        <v>24</v>
      </c>
      <c r="AL48" s="498">
        <v>23.4</v>
      </c>
      <c r="AM48" s="498">
        <f>AL48</f>
        <v>23.4</v>
      </c>
      <c r="AN48" s="498">
        <v>22.2</v>
      </c>
      <c r="AO48" s="604">
        <v>23.6</v>
      </c>
      <c r="AP48" s="604">
        <v>22.4</v>
      </c>
      <c r="AQ48" s="498">
        <f t="shared" si="47"/>
        <v>22.4</v>
      </c>
      <c r="AR48" s="498">
        <v>22.4</v>
      </c>
      <c r="AS48" s="498">
        <v>22.1</v>
      </c>
      <c r="AT48" s="604">
        <v>18.3</v>
      </c>
      <c r="AU48" s="604">
        <v>17.600000000000001</v>
      </c>
      <c r="AV48" s="498">
        <f t="shared" si="48"/>
        <v>17.600000000000001</v>
      </c>
      <c r="AW48" s="611">
        <v>17.600000000000001</v>
      </c>
      <c r="AX48" s="604">
        <v>15.6</v>
      </c>
      <c r="AY48" s="604">
        <v>14.9</v>
      </c>
      <c r="AZ48" s="604">
        <v>16.899999999999999</v>
      </c>
      <c r="BA48" s="604">
        <f t="shared" si="49"/>
        <v>17.2</v>
      </c>
      <c r="BB48" s="692">
        <v>17.2</v>
      </c>
      <c r="BC48" s="693">
        <v>13.8</v>
      </c>
      <c r="BD48" s="693">
        <v>13.3</v>
      </c>
      <c r="BE48" s="693">
        <v>15.8</v>
      </c>
      <c r="BF48" s="693">
        <f t="shared" si="50"/>
        <v>17.7</v>
      </c>
      <c r="BG48" s="692">
        <v>17.7</v>
      </c>
      <c r="BH48" s="693">
        <v>18.5</v>
      </c>
      <c r="BI48" s="694">
        <v>29.4</v>
      </c>
      <c r="BJ48" s="693">
        <v>28.8</v>
      </c>
      <c r="BK48" s="693">
        <v>22.5</v>
      </c>
      <c r="BL48" s="692">
        <f>BK48</f>
        <v>22.5</v>
      </c>
      <c r="BM48" s="693">
        <v>23.7</v>
      </c>
      <c r="BN48" s="694">
        <v>27</v>
      </c>
      <c r="BO48" s="693">
        <v>27.7</v>
      </c>
      <c r="BP48" s="693">
        <v>38.700000000000003</v>
      </c>
      <c r="BQ48" s="692">
        <f>BP48</f>
        <v>38.700000000000003</v>
      </c>
      <c r="BR48" s="693">
        <v>40.6</v>
      </c>
      <c r="BS48" s="694">
        <v>38.9</v>
      </c>
      <c r="BT48" s="693">
        <v>37.6</v>
      </c>
      <c r="BU48" s="693">
        <v>42.7</v>
      </c>
      <c r="BV48" s="692">
        <f>BU48</f>
        <v>42.7</v>
      </c>
      <c r="BW48" s="693">
        <v>52.6</v>
      </c>
      <c r="BX48" s="693">
        <v>56</v>
      </c>
      <c r="BY48" s="693">
        <v>63.1</v>
      </c>
      <c r="BZ48" s="693">
        <v>61.5</v>
      </c>
      <c r="CA48" s="692">
        <f>BZ48</f>
        <v>61.5</v>
      </c>
      <c r="CB48" s="693">
        <v>65.5</v>
      </c>
      <c r="CC48" s="694">
        <v>58.8</v>
      </c>
      <c r="CD48" s="693">
        <v>62.8</v>
      </c>
      <c r="CE48" s="693">
        <v>80.8</v>
      </c>
      <c r="CF48" s="692">
        <f>CE48</f>
        <v>80.8</v>
      </c>
      <c r="CG48" s="693">
        <v>143.9</v>
      </c>
      <c r="CH48" s="694">
        <v>139.69999999999999</v>
      </c>
      <c r="CI48" s="693">
        <v>134.69999999999999</v>
      </c>
      <c r="CJ48" s="693">
        <v>154</v>
      </c>
      <c r="CK48" s="692">
        <f>CJ48</f>
        <v>154</v>
      </c>
      <c r="CL48" s="604">
        <v>153</v>
      </c>
      <c r="CM48" s="611"/>
      <c r="CN48" s="604"/>
      <c r="CO48" s="604"/>
    </row>
    <row r="49" spans="2:93" ht="15" hidden="1" outlineLevel="1" thickBot="1">
      <c r="B49" s="632" t="s">
        <v>96</v>
      </c>
      <c r="C49" s="613"/>
      <c r="D49" s="613"/>
      <c r="E49" s="613"/>
      <c r="F49" s="613"/>
      <c r="G49" s="613"/>
      <c r="H49" s="613"/>
      <c r="I49" s="613"/>
      <c r="J49" s="613"/>
      <c r="K49" s="613"/>
      <c r="L49" s="613"/>
      <c r="M49" s="613">
        <f t="shared" si="40"/>
        <v>0</v>
      </c>
      <c r="N49" s="613"/>
      <c r="O49" s="613"/>
      <c r="P49" s="613"/>
      <c r="Q49" s="613"/>
      <c r="R49" s="613">
        <f t="shared" si="41"/>
        <v>0</v>
      </c>
      <c r="S49" s="613"/>
      <c r="T49" s="613"/>
      <c r="U49" s="613"/>
      <c r="V49" s="613"/>
      <c r="W49" s="613">
        <f t="shared" si="42"/>
        <v>0</v>
      </c>
      <c r="X49" s="613"/>
      <c r="Y49" s="613"/>
      <c r="Z49" s="613">
        <v>40</v>
      </c>
      <c r="AA49" s="613"/>
      <c r="AB49" s="613">
        <f t="shared" si="43"/>
        <v>0</v>
      </c>
      <c r="AC49" s="613">
        <v>0</v>
      </c>
      <c r="AD49" s="613"/>
      <c r="AE49" s="613"/>
      <c r="AF49" s="613">
        <v>0</v>
      </c>
      <c r="AG49" s="613">
        <f t="shared" si="44"/>
        <v>0</v>
      </c>
      <c r="AH49" s="613"/>
      <c r="AI49" s="613"/>
      <c r="AJ49" s="613"/>
      <c r="AK49" s="613"/>
      <c r="AL49" s="613"/>
      <c r="AM49" s="613"/>
      <c r="AN49" s="613"/>
      <c r="AQ49" s="613"/>
      <c r="AR49" s="613"/>
      <c r="AS49" s="613"/>
      <c r="AV49" s="613"/>
      <c r="AW49" s="611"/>
      <c r="BI49" s="611"/>
      <c r="BN49" s="611"/>
      <c r="BS49" s="611"/>
      <c r="CC49" s="611"/>
      <c r="CH49" s="611"/>
      <c r="CM49" s="611"/>
    </row>
    <row r="50" spans="2:93" collapsed="1">
      <c r="B50" s="633" t="s">
        <v>46</v>
      </c>
      <c r="C50" s="526">
        <f t="shared" ref="C50:L50" si="52">SUM(C43,C44:C48)</f>
        <v>811.58600000000001</v>
      </c>
      <c r="D50" s="526">
        <f t="shared" si="52"/>
        <v>1404.1609999999998</v>
      </c>
      <c r="E50" s="526">
        <f t="shared" si="52"/>
        <v>1261.9000000000001</v>
      </c>
      <c r="F50" s="526">
        <f t="shared" si="52"/>
        <v>1211.4000000000001</v>
      </c>
      <c r="G50" s="526">
        <f t="shared" si="52"/>
        <v>789.39999999999986</v>
      </c>
      <c r="H50" s="526">
        <f t="shared" si="52"/>
        <v>708.09999999999991</v>
      </c>
      <c r="I50" s="526">
        <f t="shared" si="52"/>
        <v>722.69999999999993</v>
      </c>
      <c r="J50" s="526">
        <f t="shared" si="52"/>
        <v>723.10000000000014</v>
      </c>
      <c r="K50" s="526">
        <f t="shared" si="52"/>
        <v>744</v>
      </c>
      <c r="L50" s="526">
        <f t="shared" si="52"/>
        <v>750.60000000000014</v>
      </c>
      <c r="M50" s="526">
        <f t="shared" si="40"/>
        <v>776.8</v>
      </c>
      <c r="N50" s="526">
        <f>SUM(N43,N44:N48)</f>
        <v>776.8</v>
      </c>
      <c r="O50" s="526">
        <f>SUM(O43,O44:O48)</f>
        <v>766.30000000000018</v>
      </c>
      <c r="P50" s="526">
        <f>SUM(P43,P44:P48)</f>
        <v>753.3</v>
      </c>
      <c r="Q50" s="526">
        <f>SUM(Q43,Q44:Q48)</f>
        <v>742.69999999999993</v>
      </c>
      <c r="R50" s="526">
        <f t="shared" si="41"/>
        <v>880.59999999999991</v>
      </c>
      <c r="S50" s="526">
        <f>SUM(S43,S44:S48)</f>
        <v>880.59999999999991</v>
      </c>
      <c r="T50" s="526">
        <f>SUM(T43,T44:T48)</f>
        <v>939.19999999999993</v>
      </c>
      <c r="U50" s="526">
        <f>SUM(U43,U44:U48)</f>
        <v>951.5</v>
      </c>
      <c r="V50" s="526">
        <f>SUM(V43,V44:V48)</f>
        <v>975.70000000000016</v>
      </c>
      <c r="W50" s="526">
        <f t="shared" si="42"/>
        <v>1012.9000000000001</v>
      </c>
      <c r="X50" s="526">
        <f>SUM(X43,X44:X48)</f>
        <v>1012.9000000000001</v>
      </c>
      <c r="Y50" s="526">
        <f>SUM(Y43,Y44:Y48)</f>
        <v>1045.7</v>
      </c>
      <c r="Z50" s="526">
        <f>SUM(Z44:Z49)+Z43</f>
        <v>1073.4000000000001</v>
      </c>
      <c r="AA50" s="526">
        <f>SUM(AA43,AA44:AA48)</f>
        <v>1020.3</v>
      </c>
      <c r="AB50" s="526">
        <f t="shared" si="43"/>
        <v>1060.5</v>
      </c>
      <c r="AC50" s="526">
        <f>SUM(AC43,AC44:AC48)</f>
        <v>1060.5</v>
      </c>
      <c r="AD50" s="526">
        <f>SUM(AD43,AD44:AD48)</f>
        <v>1163.6999999999998</v>
      </c>
      <c r="AE50" s="526">
        <f>SUM(AE43,AE44:AE48)</f>
        <v>1217.8</v>
      </c>
      <c r="AF50" s="526">
        <f>SUM(AF43,AF44:AF48)</f>
        <v>1188.7</v>
      </c>
      <c r="AG50" s="526">
        <f t="shared" si="44"/>
        <v>1210.3</v>
      </c>
      <c r="AH50" s="526">
        <f t="shared" ref="AH50:AP50" si="53">SUM(AH43,AH44:AH48)</f>
        <v>1210.3</v>
      </c>
      <c r="AI50" s="526">
        <f t="shared" si="53"/>
        <v>1199.8</v>
      </c>
      <c r="AJ50" s="526">
        <f t="shared" si="53"/>
        <v>1214.8</v>
      </c>
      <c r="AK50" s="526">
        <f t="shared" si="53"/>
        <v>1224.9000000000001</v>
      </c>
      <c r="AL50" s="526">
        <f t="shared" si="53"/>
        <v>1246.6000000000001</v>
      </c>
      <c r="AM50" s="526">
        <f t="shared" si="53"/>
        <v>1246.6000000000001</v>
      </c>
      <c r="AN50" s="526">
        <f t="shared" si="53"/>
        <v>1206.0999999999999</v>
      </c>
      <c r="AO50" s="526">
        <f t="shared" si="53"/>
        <v>1234.1999999999998</v>
      </c>
      <c r="AP50" s="526">
        <f t="shared" si="53"/>
        <v>1250.9999999999998</v>
      </c>
      <c r="AQ50" s="526">
        <f>AR50</f>
        <v>1258.1000000000001</v>
      </c>
      <c r="AR50" s="526">
        <f>SUM(AR43,AR44:AR48)</f>
        <v>1258.1000000000001</v>
      </c>
      <c r="AS50" s="526">
        <f>SUM(AS43,AS44:AS48)</f>
        <v>1276.8999999999999</v>
      </c>
      <c r="AT50" s="526">
        <f>SUM(AT43,AT44:AT48)</f>
        <v>1319.3999999999999</v>
      </c>
      <c r="AU50" s="526">
        <f>SUM(AU43,AU44:AU48)</f>
        <v>1321.1000000000001</v>
      </c>
      <c r="AV50" s="526">
        <f>AW50</f>
        <v>1376.1000000000001</v>
      </c>
      <c r="AW50" s="616">
        <f>SUM(AW43,AW44:AW48)</f>
        <v>1376.1000000000001</v>
      </c>
      <c r="AX50" s="617">
        <f>SUM(AX43,AX44:AX48)</f>
        <v>1466.9999999999998</v>
      </c>
      <c r="AY50" s="617">
        <f>SUM(AY43,AY44:AY48)</f>
        <v>1517.3</v>
      </c>
      <c r="AZ50" s="617">
        <f>SUM(AZ43,AZ44:AZ48)</f>
        <v>1566.9000000000003</v>
      </c>
      <c r="BA50" s="617">
        <f>BB50</f>
        <v>1603.1</v>
      </c>
      <c r="BB50" s="713">
        <f>SUM(BB43,BB44:BB48)</f>
        <v>1603.1</v>
      </c>
      <c r="BC50" s="713">
        <f>SUM(BC43,BC44:BC48)</f>
        <v>1638</v>
      </c>
      <c r="BD50" s="713">
        <f>SUM(BD43,BD44:BD48)</f>
        <v>1695</v>
      </c>
      <c r="BE50" s="713">
        <f>SUM(BE43,BE44:BE48)</f>
        <v>1761.4</v>
      </c>
      <c r="BF50" s="713">
        <f>BG50</f>
        <v>1836.1000000000001</v>
      </c>
      <c r="BG50" s="713">
        <f t="shared" ref="BG50:CL50" si="54">SUM(BG43,BG44:BG48)</f>
        <v>1836.1000000000001</v>
      </c>
      <c r="BH50" s="713">
        <f t="shared" si="54"/>
        <v>1904.6999999999998</v>
      </c>
      <c r="BI50" s="713">
        <f t="shared" si="54"/>
        <v>1947.3999999999999</v>
      </c>
      <c r="BJ50" s="713">
        <f t="shared" si="54"/>
        <v>1959.8</v>
      </c>
      <c r="BK50" s="713">
        <f t="shared" si="54"/>
        <v>2036.4</v>
      </c>
      <c r="BL50" s="713">
        <f t="shared" si="54"/>
        <v>2036.4</v>
      </c>
      <c r="BM50" s="713">
        <f t="shared" si="54"/>
        <v>2087.1999999999998</v>
      </c>
      <c r="BN50" s="713">
        <f t="shared" si="54"/>
        <v>2200.1</v>
      </c>
      <c r="BO50" s="713">
        <f t="shared" si="54"/>
        <v>2240.6999999999994</v>
      </c>
      <c r="BP50" s="713">
        <f t="shared" si="54"/>
        <v>2187.3999999999996</v>
      </c>
      <c r="BQ50" s="713">
        <f t="shared" si="54"/>
        <v>2187.3999999999996</v>
      </c>
      <c r="BR50" s="713">
        <f t="shared" si="54"/>
        <v>2321.6000000000004</v>
      </c>
      <c r="BS50" s="713">
        <f t="shared" si="54"/>
        <v>2369.6000000000004</v>
      </c>
      <c r="BT50" s="713">
        <f t="shared" si="54"/>
        <v>2390.6000000000004</v>
      </c>
      <c r="BU50" s="713">
        <f t="shared" si="54"/>
        <v>2400.5999999999995</v>
      </c>
      <c r="BV50" s="713">
        <f t="shared" si="54"/>
        <v>2400.5999999999995</v>
      </c>
      <c r="BW50" s="713">
        <f t="shared" si="54"/>
        <v>2575.5</v>
      </c>
      <c r="BX50" s="713">
        <f t="shared" si="54"/>
        <v>2627.3</v>
      </c>
      <c r="BY50" s="713">
        <f t="shared" si="54"/>
        <v>2737.2</v>
      </c>
      <c r="BZ50" s="713">
        <f t="shared" si="54"/>
        <v>2780.8999999999996</v>
      </c>
      <c r="CA50" s="713">
        <f t="shared" si="54"/>
        <v>2780.8999999999996</v>
      </c>
      <c r="CB50" s="713">
        <f t="shared" si="54"/>
        <v>2884.7</v>
      </c>
      <c r="CC50" s="713">
        <f t="shared" si="54"/>
        <v>2836.1000000000004</v>
      </c>
      <c r="CD50" s="713">
        <f t="shared" si="54"/>
        <v>2846.5000000000005</v>
      </c>
      <c r="CE50" s="713">
        <f t="shared" si="54"/>
        <v>2824.1000000000004</v>
      </c>
      <c r="CF50" s="713">
        <f t="shared" si="54"/>
        <v>2824.1000000000004</v>
      </c>
      <c r="CG50" s="713">
        <f t="shared" si="54"/>
        <v>3166</v>
      </c>
      <c r="CH50" s="713">
        <f t="shared" si="54"/>
        <v>3195.1</v>
      </c>
      <c r="CI50" s="713">
        <f t="shared" si="54"/>
        <v>3155.2000000000003</v>
      </c>
      <c r="CJ50" s="713">
        <f t="shared" si="54"/>
        <v>3128.6</v>
      </c>
      <c r="CK50" s="713">
        <f t="shared" si="54"/>
        <v>3128.6</v>
      </c>
      <c r="CL50" s="616">
        <f t="shared" si="54"/>
        <v>3433.3</v>
      </c>
      <c r="CM50" s="619"/>
      <c r="CN50" s="619"/>
      <c r="CO50" s="619"/>
    </row>
    <row r="51" spans="2:93">
      <c r="B51" s="632" t="s">
        <v>40</v>
      </c>
      <c r="AW51" s="611"/>
      <c r="BI51" s="611"/>
      <c r="BN51" s="611"/>
      <c r="BS51" s="611"/>
      <c r="CC51" s="611"/>
      <c r="CH51" s="611"/>
      <c r="CM51" s="611"/>
    </row>
    <row r="52" spans="2:93">
      <c r="B52" s="526" t="s">
        <v>175</v>
      </c>
      <c r="AW52" s="611"/>
      <c r="BI52" s="611"/>
      <c r="BN52" s="611"/>
      <c r="BS52" s="611"/>
      <c r="CC52" s="611"/>
      <c r="CH52" s="611"/>
      <c r="CM52" s="611"/>
    </row>
    <row r="53" spans="2:93">
      <c r="B53" s="632" t="s">
        <v>239</v>
      </c>
      <c r="C53" s="498">
        <v>13.858000000000001</v>
      </c>
      <c r="D53" s="498">
        <v>26.867000000000001</v>
      </c>
      <c r="E53" s="498">
        <v>34.299999999999997</v>
      </c>
      <c r="F53" s="498">
        <v>22.1</v>
      </c>
      <c r="G53" s="498">
        <v>17.399999999999999</v>
      </c>
      <c r="H53" s="498">
        <v>621.70000000000005</v>
      </c>
      <c r="I53" s="498">
        <v>2.1</v>
      </c>
      <c r="J53" s="498">
        <v>0.5</v>
      </c>
      <c r="K53" s="498">
        <v>1</v>
      </c>
      <c r="L53" s="498">
        <v>3.8</v>
      </c>
      <c r="M53" s="498">
        <f t="shared" ref="M53:M72" si="55">N53</f>
        <v>1</v>
      </c>
      <c r="N53" s="498">
        <v>1</v>
      </c>
      <c r="O53" s="498">
        <v>4.5999999999999996</v>
      </c>
      <c r="P53" s="498">
        <v>5.4</v>
      </c>
      <c r="Q53" s="498">
        <v>3.9</v>
      </c>
      <c r="R53" s="498">
        <f t="shared" ref="R53:R72" si="56">S53</f>
        <v>3</v>
      </c>
      <c r="S53" s="498">
        <v>3</v>
      </c>
      <c r="T53" s="498">
        <v>6.5</v>
      </c>
      <c r="U53" s="498">
        <v>5.0999999999999996</v>
      </c>
      <c r="V53" s="498">
        <v>5</v>
      </c>
      <c r="W53" s="498">
        <f t="shared" ref="W53:W72" si="57">X53</f>
        <v>2.5</v>
      </c>
      <c r="X53" s="498">
        <v>2.5</v>
      </c>
      <c r="Y53" s="498">
        <v>2.2000000000000002</v>
      </c>
      <c r="Z53" s="498">
        <v>2</v>
      </c>
      <c r="AA53" s="498">
        <v>1.8</v>
      </c>
      <c r="AB53" s="498">
        <f t="shared" ref="AB53:AB72" si="58">AC53</f>
        <v>0.4</v>
      </c>
      <c r="AC53" s="498">
        <v>0.4</v>
      </c>
      <c r="AD53" s="498">
        <v>0.6</v>
      </c>
      <c r="AE53" s="498">
        <v>1.7</v>
      </c>
      <c r="AF53" s="498">
        <v>1.9</v>
      </c>
      <c r="AG53" s="498">
        <f t="shared" ref="AG53:AG72" si="59">AH53</f>
        <v>2.1</v>
      </c>
      <c r="AH53" s="498">
        <v>2.1</v>
      </c>
      <c r="AI53" s="498">
        <v>6.6</v>
      </c>
      <c r="AJ53" s="498">
        <v>13.2</v>
      </c>
      <c r="AK53" s="498">
        <v>3.5</v>
      </c>
      <c r="AL53" s="498">
        <v>33.5</v>
      </c>
      <c r="AM53" s="498">
        <f>AL53</f>
        <v>33.5</v>
      </c>
      <c r="AN53" s="498">
        <v>4.4000000000000004</v>
      </c>
      <c r="AO53" s="604">
        <v>7</v>
      </c>
      <c r="AP53" s="604">
        <v>10.5</v>
      </c>
      <c r="AQ53" s="498">
        <f>AR53</f>
        <v>27.6</v>
      </c>
      <c r="AR53" s="498">
        <v>27.6</v>
      </c>
      <c r="AS53" s="498">
        <v>11.4</v>
      </c>
      <c r="AT53" s="604">
        <v>9.3000000000000007</v>
      </c>
      <c r="AU53" s="604">
        <v>11.9</v>
      </c>
      <c r="AV53" s="498">
        <f>AW53</f>
        <v>12.6</v>
      </c>
      <c r="AW53" s="611">
        <v>12.6</v>
      </c>
      <c r="AX53" s="604">
        <v>14.5</v>
      </c>
      <c r="AY53" s="604">
        <v>19.2</v>
      </c>
      <c r="AZ53" s="604">
        <v>17.100000000000001</v>
      </c>
      <c r="BA53" s="604">
        <f>BB53</f>
        <v>16.600000000000001</v>
      </c>
      <c r="BB53" s="687">
        <v>16.600000000000001</v>
      </c>
      <c r="BC53" s="684">
        <v>15.4</v>
      </c>
      <c r="BD53" s="684">
        <v>5</v>
      </c>
      <c r="BE53" s="684">
        <v>4.8</v>
      </c>
      <c r="BF53" s="684">
        <f>BG53</f>
        <v>3</v>
      </c>
      <c r="BG53" s="687">
        <v>3</v>
      </c>
      <c r="BH53" s="684">
        <v>2.8</v>
      </c>
      <c r="BI53" s="685">
        <v>2.8</v>
      </c>
      <c r="BJ53" s="685">
        <v>2.8</v>
      </c>
      <c r="BK53" s="684">
        <v>1.3</v>
      </c>
      <c r="BL53" s="687">
        <f>BK53</f>
        <v>1.3</v>
      </c>
      <c r="BM53" s="684">
        <v>0.2</v>
      </c>
      <c r="BN53" s="685">
        <v>0</v>
      </c>
      <c r="BO53" s="685">
        <v>0</v>
      </c>
      <c r="BP53" s="684">
        <v>0</v>
      </c>
      <c r="BQ53" s="687">
        <f>BP53</f>
        <v>0</v>
      </c>
      <c r="BR53" s="682"/>
      <c r="BS53" s="683"/>
      <c r="BT53" s="685">
        <v>4.7</v>
      </c>
      <c r="BU53" s="684">
        <v>4.3</v>
      </c>
      <c r="BV53" s="687">
        <f>BU53</f>
        <v>4.3</v>
      </c>
      <c r="BW53" s="684">
        <v>4.2</v>
      </c>
      <c r="BX53" s="684">
        <v>4.3</v>
      </c>
      <c r="BY53" s="685">
        <v>4.2</v>
      </c>
      <c r="BZ53" s="684">
        <v>4.3</v>
      </c>
      <c r="CA53" s="687">
        <f>BZ53</f>
        <v>4.3</v>
      </c>
      <c r="CB53" s="684">
        <v>4.4000000000000004</v>
      </c>
      <c r="CC53" s="685">
        <v>9.3000000000000007</v>
      </c>
      <c r="CD53" s="685">
        <v>9.3000000000000007</v>
      </c>
      <c r="CE53" s="684">
        <v>9.4</v>
      </c>
      <c r="CF53" s="687">
        <f>CE53</f>
        <v>9.4</v>
      </c>
      <c r="CG53" s="684">
        <v>9.6999999999999993</v>
      </c>
      <c r="CH53" s="685">
        <v>9.6999999999999993</v>
      </c>
      <c r="CI53" s="685">
        <v>9.3000000000000007</v>
      </c>
      <c r="CJ53" s="684">
        <v>9.5</v>
      </c>
      <c r="CK53" s="687">
        <f>CJ53</f>
        <v>9.5</v>
      </c>
      <c r="CL53" s="604">
        <v>0.6</v>
      </c>
      <c r="CM53" s="611"/>
      <c r="CN53" s="611"/>
      <c r="CO53" s="604"/>
    </row>
    <row r="54" spans="2:93">
      <c r="B54" s="632" t="s">
        <v>47</v>
      </c>
      <c r="C54" s="498">
        <v>70.010999999999996</v>
      </c>
      <c r="D54" s="498">
        <v>81.869</v>
      </c>
      <c r="E54" s="498">
        <v>80.3</v>
      </c>
      <c r="F54" s="498">
        <v>69.400000000000006</v>
      </c>
      <c r="G54" s="498">
        <v>58.6</v>
      </c>
      <c r="H54" s="498">
        <v>54.9</v>
      </c>
      <c r="I54" s="498">
        <v>64.099999999999994</v>
      </c>
      <c r="J54" s="498">
        <v>81.5</v>
      </c>
      <c r="K54" s="498">
        <v>81.400000000000006</v>
      </c>
      <c r="L54" s="498">
        <v>81.2</v>
      </c>
      <c r="M54" s="498">
        <f t="shared" si="55"/>
        <v>94.8</v>
      </c>
      <c r="N54" s="498">
        <v>94.8</v>
      </c>
      <c r="O54" s="498">
        <v>97.7</v>
      </c>
      <c r="P54" s="498">
        <v>90.8</v>
      </c>
      <c r="Q54" s="498">
        <v>86</v>
      </c>
      <c r="R54" s="498">
        <f t="shared" si="56"/>
        <v>94.5</v>
      </c>
      <c r="S54" s="498">
        <v>94.5</v>
      </c>
      <c r="T54" s="498">
        <v>102.6</v>
      </c>
      <c r="U54" s="498">
        <v>95.6</v>
      </c>
      <c r="V54" s="498">
        <v>92.2</v>
      </c>
      <c r="W54" s="498">
        <f t="shared" si="57"/>
        <v>104</v>
      </c>
      <c r="X54" s="498">
        <v>104</v>
      </c>
      <c r="Y54" s="498">
        <v>98.1</v>
      </c>
      <c r="Z54" s="498">
        <v>100.6</v>
      </c>
      <c r="AA54" s="498">
        <v>103.4</v>
      </c>
      <c r="AB54" s="498">
        <f t="shared" si="58"/>
        <v>144.19999999999999</v>
      </c>
      <c r="AC54" s="498">
        <v>144.19999999999999</v>
      </c>
      <c r="AD54" s="498">
        <v>162.80000000000001</v>
      </c>
      <c r="AE54" s="498">
        <v>143.80000000000001</v>
      </c>
      <c r="AF54" s="498">
        <v>121.5</v>
      </c>
      <c r="AG54" s="498">
        <f t="shared" si="59"/>
        <v>120.5</v>
      </c>
      <c r="AH54" s="498">
        <v>120.5</v>
      </c>
      <c r="AI54" s="498">
        <v>103</v>
      </c>
      <c r="AJ54" s="498">
        <v>74.7</v>
      </c>
      <c r="AK54" s="498">
        <v>70.8</v>
      </c>
      <c r="AL54" s="498">
        <v>74.3</v>
      </c>
      <c r="AM54" s="498">
        <f>AL54</f>
        <v>74.3</v>
      </c>
      <c r="AN54" s="498">
        <v>78.599999999999994</v>
      </c>
      <c r="AO54" s="604">
        <v>87.7</v>
      </c>
      <c r="AP54" s="604">
        <v>82.6</v>
      </c>
      <c r="AQ54" s="498">
        <f>AR54</f>
        <v>83</v>
      </c>
      <c r="AR54" s="498">
        <v>83</v>
      </c>
      <c r="AS54" s="498">
        <v>107.8</v>
      </c>
      <c r="AT54" s="604">
        <v>108.7</v>
      </c>
      <c r="AU54" s="604">
        <v>113.9</v>
      </c>
      <c r="AV54" s="498">
        <f>AW54</f>
        <v>141.69999999999999</v>
      </c>
      <c r="AW54" s="611">
        <v>141.69999999999999</v>
      </c>
      <c r="AX54" s="604">
        <v>119.2</v>
      </c>
      <c r="AY54" s="604">
        <v>121.3</v>
      </c>
      <c r="AZ54" s="604">
        <v>104.3</v>
      </c>
      <c r="BA54" s="604">
        <f>BB54</f>
        <v>115.7</v>
      </c>
      <c r="BB54" s="692">
        <v>115.7</v>
      </c>
      <c r="BC54" s="693">
        <v>125.2</v>
      </c>
      <c r="BD54" s="693">
        <v>114.2</v>
      </c>
      <c r="BE54" s="693">
        <v>108.3</v>
      </c>
      <c r="BF54" s="693">
        <f>BG54</f>
        <v>135.9</v>
      </c>
      <c r="BG54" s="692">
        <v>135.9</v>
      </c>
      <c r="BH54" s="693">
        <v>131.80000000000001</v>
      </c>
      <c r="BI54" s="694">
        <v>128</v>
      </c>
      <c r="BJ54" s="693">
        <v>131.19999999999999</v>
      </c>
      <c r="BK54" s="693">
        <v>175</v>
      </c>
      <c r="BL54" s="692">
        <f>BK54</f>
        <v>175</v>
      </c>
      <c r="BM54" s="693">
        <v>140.1</v>
      </c>
      <c r="BN54" s="694">
        <v>146</v>
      </c>
      <c r="BO54" s="693">
        <v>134.19999999999999</v>
      </c>
      <c r="BP54" s="693">
        <v>148.9</v>
      </c>
      <c r="BQ54" s="692">
        <f>BP54</f>
        <v>148.9</v>
      </c>
      <c r="BR54" s="693">
        <v>142.6</v>
      </c>
      <c r="BS54" s="694">
        <v>140.4</v>
      </c>
      <c r="BT54" s="693">
        <v>149.30000000000001</v>
      </c>
      <c r="BU54" s="693">
        <v>137.30000000000001</v>
      </c>
      <c r="BV54" s="692">
        <f>BU54</f>
        <v>137.30000000000001</v>
      </c>
      <c r="BW54" s="693">
        <v>141.69999999999999</v>
      </c>
      <c r="BX54" s="693">
        <v>139.5</v>
      </c>
      <c r="BY54" s="693">
        <v>128.6</v>
      </c>
      <c r="BZ54" s="693">
        <v>144.1</v>
      </c>
      <c r="CA54" s="692">
        <f>BZ54</f>
        <v>144.1</v>
      </c>
      <c r="CB54" s="693">
        <v>154.80000000000001</v>
      </c>
      <c r="CC54" s="694">
        <v>147.1</v>
      </c>
      <c r="CD54" s="693">
        <v>143.1</v>
      </c>
      <c r="CE54" s="693">
        <v>161.9</v>
      </c>
      <c r="CF54" s="692">
        <f>CE54</f>
        <v>161.9</v>
      </c>
      <c r="CG54" s="693">
        <v>165.2</v>
      </c>
      <c r="CH54" s="694">
        <v>177.8</v>
      </c>
      <c r="CI54" s="693">
        <v>164.5</v>
      </c>
      <c r="CJ54" s="693">
        <v>157.6</v>
      </c>
      <c r="CK54" s="692">
        <f>CJ54</f>
        <v>157.6</v>
      </c>
      <c r="CL54" s="604">
        <v>151.9</v>
      </c>
      <c r="CM54" s="611"/>
      <c r="CN54" s="604"/>
      <c r="CO54" s="604"/>
    </row>
    <row r="55" spans="2:93">
      <c r="B55" s="632" t="s">
        <v>48</v>
      </c>
      <c r="C55" s="498">
        <v>37.305999999999997</v>
      </c>
      <c r="D55" s="498">
        <v>42.171999999999997</v>
      </c>
      <c r="E55" s="498">
        <v>38.4</v>
      </c>
      <c r="F55" s="498">
        <v>47.4</v>
      </c>
      <c r="G55" s="498">
        <v>47.5</v>
      </c>
      <c r="H55" s="498">
        <v>37.6</v>
      </c>
      <c r="I55" s="498">
        <v>42.3</v>
      </c>
      <c r="J55" s="498">
        <v>92.7</v>
      </c>
      <c r="K55" s="498">
        <v>108.1</v>
      </c>
      <c r="L55" s="498">
        <v>115.1</v>
      </c>
      <c r="M55" s="498">
        <f t="shared" si="55"/>
        <v>55.6</v>
      </c>
      <c r="N55" s="498">
        <v>55.6</v>
      </c>
      <c r="O55" s="498">
        <v>91.1</v>
      </c>
      <c r="P55" s="498">
        <v>92.6</v>
      </c>
      <c r="Q55" s="498">
        <v>108.9</v>
      </c>
      <c r="R55" s="498">
        <f t="shared" si="56"/>
        <v>49.2</v>
      </c>
      <c r="S55" s="498">
        <v>49.2</v>
      </c>
      <c r="T55" s="498">
        <v>88.6</v>
      </c>
      <c r="U55" s="498">
        <v>94</v>
      </c>
      <c r="V55" s="498">
        <v>93.8</v>
      </c>
      <c r="W55" s="498">
        <f t="shared" si="57"/>
        <v>42.4</v>
      </c>
      <c r="X55" s="498">
        <v>42.4</v>
      </c>
      <c r="Y55" s="498">
        <v>111</v>
      </c>
      <c r="Z55" s="498">
        <v>131.1</v>
      </c>
      <c r="AA55" s="498">
        <v>126.1</v>
      </c>
      <c r="AB55" s="498">
        <f t="shared" si="58"/>
        <v>22.1</v>
      </c>
      <c r="AC55" s="498">
        <v>22.1</v>
      </c>
      <c r="AD55" s="498">
        <v>77.2</v>
      </c>
      <c r="AE55" s="498">
        <v>87.1</v>
      </c>
      <c r="AF55" s="498">
        <v>80.5</v>
      </c>
      <c r="AG55" s="498">
        <f t="shared" si="59"/>
        <v>47.2</v>
      </c>
      <c r="AH55" s="498">
        <v>47.2</v>
      </c>
      <c r="AI55" s="498">
        <v>91.9</v>
      </c>
      <c r="AJ55" s="498">
        <v>85.1</v>
      </c>
      <c r="AK55" s="498">
        <v>85.3</v>
      </c>
      <c r="AL55" s="498">
        <v>93.9</v>
      </c>
      <c r="AM55" s="498">
        <f>AL55</f>
        <v>93.9</v>
      </c>
      <c r="AN55" s="498">
        <v>81.599999999999994</v>
      </c>
      <c r="AO55" s="498">
        <v>99.4</v>
      </c>
      <c r="AP55" s="498">
        <v>103.8</v>
      </c>
      <c r="AQ55" s="498">
        <f>AR55</f>
        <v>50.5</v>
      </c>
      <c r="AR55" s="498">
        <v>50.5</v>
      </c>
      <c r="AW55" s="611"/>
      <c r="BA55" s="498">
        <f>BB55</f>
        <v>58.8</v>
      </c>
      <c r="BB55" s="692">
        <v>58.8</v>
      </c>
      <c r="BC55" s="704"/>
      <c r="BD55" s="704"/>
      <c r="BE55" s="704"/>
      <c r="BF55" s="692">
        <f>BG55</f>
        <v>0</v>
      </c>
      <c r="BG55" s="692">
        <v>0</v>
      </c>
      <c r="BH55" s="692">
        <v>0</v>
      </c>
      <c r="BI55" s="692">
        <v>0</v>
      </c>
      <c r="BJ55" s="692">
        <v>0</v>
      </c>
      <c r="BK55" s="692">
        <v>0</v>
      </c>
      <c r="BL55" s="692">
        <v>0</v>
      </c>
      <c r="BM55" s="692">
        <v>0</v>
      </c>
      <c r="BN55" s="692">
        <v>0</v>
      </c>
      <c r="BO55" s="692">
        <v>0</v>
      </c>
      <c r="BP55" s="692">
        <v>0</v>
      </c>
      <c r="BQ55" s="692">
        <v>0</v>
      </c>
      <c r="BR55" s="692">
        <v>0</v>
      </c>
      <c r="BS55" s="692">
        <v>0</v>
      </c>
      <c r="BT55" s="692">
        <v>0</v>
      </c>
      <c r="BU55" s="692">
        <v>0</v>
      </c>
      <c r="BV55" s="692">
        <v>0</v>
      </c>
      <c r="BW55" s="692">
        <v>0</v>
      </c>
      <c r="BX55" s="692">
        <v>0</v>
      </c>
      <c r="BY55" s="692">
        <v>0</v>
      </c>
      <c r="BZ55" s="692">
        <v>0</v>
      </c>
      <c r="CA55" s="692">
        <v>0</v>
      </c>
      <c r="CB55" s="692">
        <v>0</v>
      </c>
      <c r="CC55" s="692">
        <v>0</v>
      </c>
      <c r="CD55" s="692">
        <v>0</v>
      </c>
      <c r="CE55" s="692">
        <v>0</v>
      </c>
      <c r="CF55" s="692">
        <v>0</v>
      </c>
      <c r="CG55" s="692">
        <v>62.1</v>
      </c>
      <c r="CH55" s="694">
        <v>66.900000000000006</v>
      </c>
      <c r="CI55" s="692">
        <v>70.599999999999994</v>
      </c>
      <c r="CJ55" s="692">
        <v>74.400000000000006</v>
      </c>
      <c r="CK55" s="692">
        <f>CJ55</f>
        <v>74.400000000000006</v>
      </c>
      <c r="CL55" s="604">
        <v>50.7</v>
      </c>
      <c r="CM55" s="611"/>
    </row>
    <row r="56" spans="2:93" hidden="1" outlineLevel="1">
      <c r="B56" s="632" t="s">
        <v>49</v>
      </c>
      <c r="F56" s="498">
        <v>17.600000000000001</v>
      </c>
      <c r="G56" s="498">
        <v>18.8</v>
      </c>
      <c r="H56" s="498">
        <v>19.100000000000001</v>
      </c>
      <c r="I56" s="498">
        <v>18.3</v>
      </c>
      <c r="M56" s="498">
        <f t="shared" si="55"/>
        <v>16</v>
      </c>
      <c r="N56" s="498">
        <v>16</v>
      </c>
      <c r="R56" s="498">
        <f t="shared" si="56"/>
        <v>8.6</v>
      </c>
      <c r="S56" s="498">
        <v>8.6</v>
      </c>
      <c r="W56" s="498">
        <f t="shared" si="57"/>
        <v>8.8000000000000007</v>
      </c>
      <c r="X56" s="498">
        <v>8.8000000000000007</v>
      </c>
      <c r="AB56" s="498">
        <f t="shared" si="58"/>
        <v>9.6</v>
      </c>
      <c r="AC56" s="498">
        <v>9.6</v>
      </c>
      <c r="AG56" s="498">
        <f t="shared" si="59"/>
        <v>10.1</v>
      </c>
      <c r="AH56" s="498">
        <v>10.1</v>
      </c>
      <c r="AQ56" s="498">
        <f>AR56</f>
        <v>6.9</v>
      </c>
      <c r="AR56" s="498">
        <v>6.9</v>
      </c>
      <c r="AW56" s="611"/>
      <c r="BB56" s="704"/>
      <c r="BC56" s="704"/>
      <c r="BD56" s="704"/>
      <c r="BE56" s="704"/>
      <c r="BF56" s="704"/>
      <c r="BG56" s="704"/>
      <c r="BH56" s="704"/>
      <c r="BI56" s="706"/>
      <c r="BJ56" s="704"/>
      <c r="BK56" s="704"/>
      <c r="BL56" s="704"/>
      <c r="BM56" s="704"/>
      <c r="BN56" s="706"/>
      <c r="BO56" s="704"/>
      <c r="BP56" s="704"/>
      <c r="BQ56" s="704"/>
      <c r="BR56" s="704"/>
      <c r="BS56" s="706"/>
      <c r="BT56" s="704"/>
      <c r="BU56" s="704"/>
      <c r="BV56" s="704"/>
      <c r="BW56" s="704"/>
      <c r="BX56" s="704"/>
      <c r="BY56" s="704"/>
      <c r="BZ56" s="704"/>
      <c r="CA56" s="704"/>
      <c r="CB56" s="704"/>
      <c r="CC56" s="706"/>
      <c r="CD56" s="704"/>
      <c r="CE56" s="704"/>
      <c r="CF56" s="704"/>
      <c r="CG56" s="704"/>
      <c r="CH56" s="706"/>
      <c r="CI56" s="704"/>
      <c r="CJ56" s="704"/>
      <c r="CK56" s="704"/>
      <c r="CM56" s="611"/>
    </row>
    <row r="57" spans="2:93" hidden="1" outlineLevel="1">
      <c r="B57" s="632" t="s">
        <v>50</v>
      </c>
      <c r="F57" s="498">
        <v>41.4</v>
      </c>
      <c r="G57" s="498">
        <v>33.4</v>
      </c>
      <c r="H57" s="498">
        <v>10.5</v>
      </c>
      <c r="I57" s="498">
        <v>5.9</v>
      </c>
      <c r="M57" s="498">
        <f t="shared" si="55"/>
        <v>4.3</v>
      </c>
      <c r="N57" s="498">
        <v>4.3</v>
      </c>
      <c r="R57" s="498">
        <f t="shared" si="56"/>
        <v>4.2</v>
      </c>
      <c r="S57" s="498">
        <v>4.2</v>
      </c>
      <c r="W57" s="498">
        <f t="shared" si="57"/>
        <v>11</v>
      </c>
      <c r="X57" s="498">
        <v>11</v>
      </c>
      <c r="AB57" s="498">
        <f t="shared" si="58"/>
        <v>3.4</v>
      </c>
      <c r="AC57" s="498">
        <v>3.4</v>
      </c>
      <c r="AG57" s="498">
        <f t="shared" si="59"/>
        <v>2.9</v>
      </c>
      <c r="AH57" s="498">
        <v>2.9</v>
      </c>
      <c r="AW57" s="611"/>
      <c r="BB57" s="704"/>
      <c r="BC57" s="704"/>
      <c r="BD57" s="704"/>
      <c r="BE57" s="704"/>
      <c r="BF57" s="704"/>
      <c r="BG57" s="704"/>
      <c r="BH57" s="704"/>
      <c r="BI57" s="706"/>
      <c r="BJ57" s="704"/>
      <c r="BK57" s="704"/>
      <c r="BL57" s="704"/>
      <c r="BM57" s="704"/>
      <c r="BN57" s="706"/>
      <c r="BO57" s="704"/>
      <c r="BP57" s="704"/>
      <c r="BQ57" s="704"/>
      <c r="BR57" s="704"/>
      <c r="BS57" s="706"/>
      <c r="BT57" s="704"/>
      <c r="BU57" s="704"/>
      <c r="BV57" s="704"/>
      <c r="BW57" s="704"/>
      <c r="BX57" s="704"/>
      <c r="BY57" s="704"/>
      <c r="BZ57" s="704"/>
      <c r="CA57" s="704"/>
      <c r="CB57" s="704"/>
      <c r="CC57" s="706"/>
      <c r="CD57" s="704"/>
      <c r="CE57" s="704"/>
      <c r="CF57" s="704"/>
      <c r="CG57" s="704"/>
      <c r="CH57" s="706"/>
      <c r="CI57" s="704"/>
      <c r="CJ57" s="704"/>
      <c r="CK57" s="704"/>
      <c r="CM57" s="611"/>
    </row>
    <row r="58" spans="2:93" ht="15" collapsed="1" thickBot="1">
      <c r="B58" s="632" t="s">
        <v>51</v>
      </c>
      <c r="C58" s="498">
        <v>65.180999999999997</v>
      </c>
      <c r="D58" s="498">
        <v>68.536000000000001</v>
      </c>
      <c r="E58" s="498">
        <v>57.5</v>
      </c>
      <c r="G58" s="498">
        <v>32</v>
      </c>
      <c r="H58" s="498">
        <v>35.299999999999997</v>
      </c>
      <c r="I58" s="498">
        <v>31.2</v>
      </c>
      <c r="M58" s="498">
        <f t="shared" si="55"/>
        <v>44.3</v>
      </c>
      <c r="N58" s="498">
        <v>44.3</v>
      </c>
      <c r="R58" s="498">
        <f t="shared" si="56"/>
        <v>36.299999999999997</v>
      </c>
      <c r="S58" s="498">
        <v>36.299999999999997</v>
      </c>
      <c r="W58" s="498">
        <f t="shared" si="57"/>
        <v>50.6</v>
      </c>
      <c r="X58" s="498">
        <f>6.2+44.4</f>
        <v>50.6</v>
      </c>
      <c r="AB58" s="498">
        <f t="shared" si="58"/>
        <v>64.599999999999994</v>
      </c>
      <c r="AC58" s="498">
        <v>64.599999999999994</v>
      </c>
      <c r="AG58" s="498">
        <f t="shared" si="59"/>
        <v>41.4</v>
      </c>
      <c r="AH58" s="498">
        <v>41.4</v>
      </c>
      <c r="AQ58" s="498">
        <f>AR58</f>
        <v>37.9</v>
      </c>
      <c r="AR58" s="498">
        <v>37.9</v>
      </c>
      <c r="AS58" s="498">
        <f>89.3-AS56-AS55</f>
        <v>89.3</v>
      </c>
      <c r="AT58" s="498">
        <v>109.1</v>
      </c>
      <c r="AU58" s="498">
        <v>94.9</v>
      </c>
      <c r="AV58" s="498">
        <f>AW58</f>
        <v>93.2</v>
      </c>
      <c r="AW58" s="611">
        <v>93.2</v>
      </c>
      <c r="AX58" s="604">
        <v>87.1</v>
      </c>
      <c r="AY58" s="604">
        <v>100.9</v>
      </c>
      <c r="AZ58" s="604">
        <v>108.1</v>
      </c>
      <c r="BA58" s="604">
        <f>BB58</f>
        <v>44.2</v>
      </c>
      <c r="BB58" s="692">
        <v>44.2</v>
      </c>
      <c r="BC58" s="693">
        <v>106.7</v>
      </c>
      <c r="BD58" s="693">
        <v>94.5</v>
      </c>
      <c r="BE58" s="693">
        <v>130.19999999999999</v>
      </c>
      <c r="BF58" s="693">
        <f>BG58</f>
        <v>129.80000000000001</v>
      </c>
      <c r="BG58" s="692">
        <v>129.80000000000001</v>
      </c>
      <c r="BH58" s="693">
        <v>129.30000000000001</v>
      </c>
      <c r="BI58" s="694">
        <v>136.80000000000001</v>
      </c>
      <c r="BJ58" s="693">
        <v>125.7</v>
      </c>
      <c r="BK58" s="693">
        <v>134.30000000000001</v>
      </c>
      <c r="BL58" s="692">
        <f>BK58</f>
        <v>134.30000000000001</v>
      </c>
      <c r="BM58" s="693">
        <v>139.19999999999999</v>
      </c>
      <c r="BN58" s="694">
        <v>134.9</v>
      </c>
      <c r="BO58" s="693">
        <v>143.30000000000001</v>
      </c>
      <c r="BP58" s="693">
        <v>143.69999999999999</v>
      </c>
      <c r="BQ58" s="692">
        <f>BP58</f>
        <v>143.69999999999999</v>
      </c>
      <c r="BR58" s="693">
        <f>120.7+0.9</f>
        <v>121.60000000000001</v>
      </c>
      <c r="BS58" s="694">
        <f>130.4+0.8</f>
        <v>131.20000000000002</v>
      </c>
      <c r="BT58" s="693">
        <v>122.6</v>
      </c>
      <c r="BU58" s="693">
        <v>130.30000000000001</v>
      </c>
      <c r="BV58" s="692">
        <f>BU58</f>
        <v>130.30000000000001</v>
      </c>
      <c r="BW58" s="693">
        <v>128.9</v>
      </c>
      <c r="BX58" s="693">
        <v>127</v>
      </c>
      <c r="BY58" s="693">
        <v>125</v>
      </c>
      <c r="BZ58" s="693">
        <v>113.7</v>
      </c>
      <c r="CA58" s="692">
        <f>BZ58</f>
        <v>113.7</v>
      </c>
      <c r="CB58" s="693">
        <v>111.6</v>
      </c>
      <c r="CC58" s="694">
        <f>68.8+68.6</f>
        <v>137.39999999999998</v>
      </c>
      <c r="CD58" s="693">
        <v>118.5</v>
      </c>
      <c r="CE58" s="693">
        <v>155.4</v>
      </c>
      <c r="CF58" s="692">
        <f>CE58</f>
        <v>155.4</v>
      </c>
      <c r="CG58" s="693">
        <v>112.9</v>
      </c>
      <c r="CH58" s="694">
        <v>105.3</v>
      </c>
      <c r="CI58" s="693">
        <v>102.6</v>
      </c>
      <c r="CJ58" s="693">
        <v>81.099999999999994</v>
      </c>
      <c r="CK58" s="692">
        <f>CJ58</f>
        <v>81.099999999999994</v>
      </c>
      <c r="CL58" s="604">
        <v>106.7</v>
      </c>
      <c r="CM58" s="611"/>
      <c r="CN58" s="604"/>
      <c r="CO58" s="604"/>
    </row>
    <row r="59" spans="2:93" hidden="1" outlineLevel="1">
      <c r="B59" s="632" t="s">
        <v>97</v>
      </c>
      <c r="C59" s="613"/>
      <c r="D59" s="613"/>
      <c r="E59" s="613"/>
      <c r="F59" s="613"/>
      <c r="G59" s="613"/>
      <c r="H59" s="613"/>
      <c r="I59" s="613">
        <v>0</v>
      </c>
      <c r="J59" s="613"/>
      <c r="K59" s="613"/>
      <c r="L59" s="613"/>
      <c r="M59" s="613">
        <f t="shared" si="55"/>
        <v>0</v>
      </c>
      <c r="N59" s="613">
        <v>0</v>
      </c>
      <c r="O59" s="613"/>
      <c r="P59" s="613"/>
      <c r="Q59" s="613"/>
      <c r="R59" s="613">
        <f t="shared" si="56"/>
        <v>0</v>
      </c>
      <c r="S59" s="613">
        <v>0</v>
      </c>
      <c r="T59" s="613"/>
      <c r="U59" s="613"/>
      <c r="V59" s="613"/>
      <c r="W59" s="613">
        <f t="shared" si="57"/>
        <v>0</v>
      </c>
      <c r="X59" s="613">
        <v>0</v>
      </c>
      <c r="Y59" s="613"/>
      <c r="Z59" s="613">
        <v>12.4</v>
      </c>
      <c r="AA59" s="613"/>
      <c r="AB59" s="613">
        <f t="shared" si="58"/>
        <v>0</v>
      </c>
      <c r="AC59" s="613">
        <v>0</v>
      </c>
      <c r="AD59" s="613"/>
      <c r="AE59" s="613"/>
      <c r="AF59" s="613"/>
      <c r="AG59" s="613">
        <f t="shared" si="59"/>
        <v>0</v>
      </c>
      <c r="AH59" s="613"/>
      <c r="AI59" s="613"/>
      <c r="AJ59" s="613"/>
      <c r="AK59" s="613"/>
      <c r="AL59" s="613"/>
      <c r="AM59" s="613"/>
      <c r="AN59" s="613"/>
      <c r="AQ59" s="613"/>
      <c r="AR59" s="613"/>
      <c r="AS59" s="613"/>
      <c r="AV59" s="613"/>
      <c r="AW59" s="611"/>
      <c r="BI59" s="611"/>
      <c r="BN59" s="611"/>
      <c r="BS59" s="611"/>
      <c r="CC59" s="611"/>
      <c r="CH59" s="611"/>
      <c r="CM59" s="611"/>
    </row>
    <row r="60" spans="2:93" collapsed="1">
      <c r="B60" s="633" t="s">
        <v>52</v>
      </c>
      <c r="C60" s="526">
        <f t="shared" ref="C60:L60" si="60">SUM(C53:C59)</f>
        <v>186.35599999999999</v>
      </c>
      <c r="D60" s="526">
        <f t="shared" si="60"/>
        <v>219.44400000000002</v>
      </c>
      <c r="E60" s="526">
        <f t="shared" si="60"/>
        <v>210.5</v>
      </c>
      <c r="F60" s="526">
        <f t="shared" si="60"/>
        <v>197.9</v>
      </c>
      <c r="G60" s="526">
        <f t="shared" si="60"/>
        <v>207.70000000000002</v>
      </c>
      <c r="H60" s="526">
        <f t="shared" si="60"/>
        <v>779.1</v>
      </c>
      <c r="I60" s="526">
        <f t="shared" si="60"/>
        <v>163.89999999999998</v>
      </c>
      <c r="J60" s="526">
        <f t="shared" si="60"/>
        <v>174.7</v>
      </c>
      <c r="K60" s="526">
        <f t="shared" si="60"/>
        <v>190.5</v>
      </c>
      <c r="L60" s="526">
        <f t="shared" si="60"/>
        <v>200.1</v>
      </c>
      <c r="M60" s="526">
        <f t="shared" si="55"/>
        <v>216</v>
      </c>
      <c r="N60" s="526">
        <f>SUM(N53:N59)</f>
        <v>216</v>
      </c>
      <c r="O60" s="526">
        <f>SUM(O53:O59)</f>
        <v>193.39999999999998</v>
      </c>
      <c r="P60" s="526">
        <f>SUM(P53:P59)</f>
        <v>188.8</v>
      </c>
      <c r="Q60" s="526">
        <f>SUM(Q53:Q59)</f>
        <v>198.8</v>
      </c>
      <c r="R60" s="526">
        <f t="shared" si="56"/>
        <v>195.79999999999995</v>
      </c>
      <c r="S60" s="526">
        <f>SUM(S53:S59)</f>
        <v>195.79999999999995</v>
      </c>
      <c r="T60" s="526">
        <f>SUM(T53:T59)</f>
        <v>197.7</v>
      </c>
      <c r="U60" s="526">
        <f>SUM(U53:U59)</f>
        <v>194.7</v>
      </c>
      <c r="V60" s="526">
        <f>SUM(V53:V59)</f>
        <v>191</v>
      </c>
      <c r="W60" s="526">
        <f t="shared" si="57"/>
        <v>219.3</v>
      </c>
      <c r="X60" s="526">
        <f>SUM(X53:X59)</f>
        <v>219.3</v>
      </c>
      <c r="Y60" s="526">
        <f>SUM(Y53:Y59)</f>
        <v>211.3</v>
      </c>
      <c r="Z60" s="526">
        <f>SUM(Z53:Z59)</f>
        <v>246.1</v>
      </c>
      <c r="AA60" s="526">
        <f>SUM(AA53:AA59)</f>
        <v>231.3</v>
      </c>
      <c r="AB60" s="526">
        <f t="shared" si="58"/>
        <v>244.29999999999998</v>
      </c>
      <c r="AC60" s="526">
        <f>SUM(AC53:AC59)</f>
        <v>244.29999999999998</v>
      </c>
      <c r="AD60" s="526">
        <f>SUM(AD53:AD59)</f>
        <v>240.60000000000002</v>
      </c>
      <c r="AE60" s="526">
        <f>SUM(AE53:AE59)</f>
        <v>232.6</v>
      </c>
      <c r="AF60" s="526">
        <f>SUM(AF53:AF59)</f>
        <v>203.9</v>
      </c>
      <c r="AG60" s="526">
        <f t="shared" si="59"/>
        <v>224.20000000000002</v>
      </c>
      <c r="AH60" s="526">
        <f t="shared" ref="AH60:AN60" si="61">SUM(AH53:AH58)</f>
        <v>224.20000000000002</v>
      </c>
      <c r="AI60" s="526">
        <f t="shared" si="61"/>
        <v>201.5</v>
      </c>
      <c r="AJ60" s="526">
        <f t="shared" si="61"/>
        <v>173</v>
      </c>
      <c r="AK60" s="526">
        <f t="shared" si="61"/>
        <v>159.6</v>
      </c>
      <c r="AL60" s="526">
        <f t="shared" si="61"/>
        <v>201.7</v>
      </c>
      <c r="AM60" s="526">
        <f t="shared" si="61"/>
        <v>201.7</v>
      </c>
      <c r="AN60" s="526">
        <f t="shared" si="61"/>
        <v>164.6</v>
      </c>
      <c r="AO60" s="526">
        <f>SUM(AO53:AO57)</f>
        <v>194.10000000000002</v>
      </c>
      <c r="AP60" s="526">
        <f>SUM(AP53:AP58)</f>
        <v>196.89999999999998</v>
      </c>
      <c r="AQ60" s="526">
        <f>AR60</f>
        <v>205.9</v>
      </c>
      <c r="AR60" s="526">
        <f>SUM(AR53:AR58)</f>
        <v>205.9</v>
      </c>
      <c r="AS60" s="526">
        <f>SUM(AS53:AS58)</f>
        <v>208.5</v>
      </c>
      <c r="AT60" s="526">
        <f>SUM(AT53:AT58)</f>
        <v>227.1</v>
      </c>
      <c r="AU60" s="526">
        <f>SUM(AU53:AU58)</f>
        <v>220.70000000000002</v>
      </c>
      <c r="AV60" s="526">
        <f>AW60</f>
        <v>247.5</v>
      </c>
      <c r="AW60" s="616">
        <f>SUM(AW53:AW58)</f>
        <v>247.5</v>
      </c>
      <c r="AX60" s="526">
        <f>SUM(AX53:AX58)</f>
        <v>220.79999999999998</v>
      </c>
      <c r="AY60" s="526">
        <f>SUM(AY53:AY58)</f>
        <v>241.4</v>
      </c>
      <c r="AZ60" s="526">
        <f>SUM(AZ53:AZ58)</f>
        <v>229.5</v>
      </c>
      <c r="BA60" s="526">
        <f>BB60</f>
        <v>235.3</v>
      </c>
      <c r="BB60" s="713">
        <f>SUM(BB53:BB58)</f>
        <v>235.3</v>
      </c>
      <c r="BC60" s="713">
        <f>SUM(BC53:BC58)</f>
        <v>247.3</v>
      </c>
      <c r="BD60" s="713">
        <f>SUM(BD53:BD58)</f>
        <v>213.7</v>
      </c>
      <c r="BE60" s="713">
        <f>SUM(BE53:BE58)</f>
        <v>243.29999999999998</v>
      </c>
      <c r="BF60" s="713">
        <f>BG60</f>
        <v>268.70000000000005</v>
      </c>
      <c r="BG60" s="713">
        <f t="shared" ref="BG60:CL60" si="62">SUM(BG53:BG58)</f>
        <v>268.70000000000005</v>
      </c>
      <c r="BH60" s="713">
        <f t="shared" si="62"/>
        <v>263.90000000000003</v>
      </c>
      <c r="BI60" s="713">
        <f t="shared" si="62"/>
        <v>267.60000000000002</v>
      </c>
      <c r="BJ60" s="713">
        <f t="shared" si="62"/>
        <v>259.7</v>
      </c>
      <c r="BK60" s="713">
        <f t="shared" si="62"/>
        <v>310.60000000000002</v>
      </c>
      <c r="BL60" s="713">
        <f t="shared" si="62"/>
        <v>310.60000000000002</v>
      </c>
      <c r="BM60" s="713">
        <f t="shared" si="62"/>
        <v>279.5</v>
      </c>
      <c r="BN60" s="713">
        <f t="shared" si="62"/>
        <v>280.89999999999998</v>
      </c>
      <c r="BO60" s="713">
        <f t="shared" si="62"/>
        <v>277.5</v>
      </c>
      <c r="BP60" s="713">
        <f t="shared" si="62"/>
        <v>292.60000000000002</v>
      </c>
      <c r="BQ60" s="713">
        <f t="shared" si="62"/>
        <v>292.60000000000002</v>
      </c>
      <c r="BR60" s="713">
        <f t="shared" si="62"/>
        <v>264.2</v>
      </c>
      <c r="BS60" s="713">
        <f t="shared" si="62"/>
        <v>271.60000000000002</v>
      </c>
      <c r="BT60" s="713">
        <f t="shared" si="62"/>
        <v>276.60000000000002</v>
      </c>
      <c r="BU60" s="713">
        <f t="shared" si="62"/>
        <v>271.90000000000003</v>
      </c>
      <c r="BV60" s="713">
        <f t="shared" si="62"/>
        <v>271.90000000000003</v>
      </c>
      <c r="BW60" s="713">
        <f t="shared" si="62"/>
        <v>274.79999999999995</v>
      </c>
      <c r="BX60" s="713">
        <f t="shared" si="62"/>
        <v>270.8</v>
      </c>
      <c r="BY60" s="713">
        <f t="shared" si="62"/>
        <v>257.79999999999995</v>
      </c>
      <c r="BZ60" s="713">
        <f t="shared" si="62"/>
        <v>262.10000000000002</v>
      </c>
      <c r="CA60" s="713">
        <f t="shared" si="62"/>
        <v>262.10000000000002</v>
      </c>
      <c r="CB60" s="713">
        <f t="shared" si="62"/>
        <v>270.8</v>
      </c>
      <c r="CC60" s="713">
        <f t="shared" si="62"/>
        <v>293.79999999999995</v>
      </c>
      <c r="CD60" s="713">
        <f t="shared" si="62"/>
        <v>270.89999999999998</v>
      </c>
      <c r="CE60" s="713">
        <f t="shared" si="62"/>
        <v>326.70000000000005</v>
      </c>
      <c r="CF60" s="713">
        <f t="shared" si="62"/>
        <v>326.70000000000005</v>
      </c>
      <c r="CG60" s="713">
        <f t="shared" si="62"/>
        <v>349.9</v>
      </c>
      <c r="CH60" s="713">
        <f t="shared" si="62"/>
        <v>359.7</v>
      </c>
      <c r="CI60" s="713">
        <f t="shared" si="62"/>
        <v>347</v>
      </c>
      <c r="CJ60" s="713">
        <f t="shared" si="62"/>
        <v>322.60000000000002</v>
      </c>
      <c r="CK60" s="713">
        <f t="shared" si="62"/>
        <v>322.60000000000002</v>
      </c>
      <c r="CL60" s="616">
        <f t="shared" si="62"/>
        <v>309.89999999999998</v>
      </c>
      <c r="CM60" s="616"/>
      <c r="CN60" s="616"/>
      <c r="CO60" s="616"/>
    </row>
    <row r="61" spans="2:93">
      <c r="B61" s="632" t="s">
        <v>240</v>
      </c>
      <c r="C61" s="498">
        <v>304.54599999999999</v>
      </c>
      <c r="D61" s="498">
        <v>802.37599999999998</v>
      </c>
      <c r="E61" s="498">
        <v>712.5</v>
      </c>
      <c r="F61" s="498">
        <v>627.1</v>
      </c>
      <c r="G61" s="498">
        <v>668.5</v>
      </c>
      <c r="I61" s="498">
        <v>481.3</v>
      </c>
      <c r="J61" s="498">
        <v>469.8</v>
      </c>
      <c r="K61" s="498">
        <v>465.1</v>
      </c>
      <c r="L61" s="498">
        <v>453.6</v>
      </c>
      <c r="M61" s="498">
        <f t="shared" si="55"/>
        <v>430.4</v>
      </c>
      <c r="N61" s="498">
        <v>430.4</v>
      </c>
      <c r="O61" s="498">
        <v>478.4</v>
      </c>
      <c r="P61" s="498">
        <v>447.9</v>
      </c>
      <c r="Q61" s="498">
        <v>422.4</v>
      </c>
      <c r="R61" s="498">
        <f t="shared" si="56"/>
        <v>416.8</v>
      </c>
      <c r="S61" s="498">
        <v>416.8</v>
      </c>
      <c r="T61" s="498">
        <v>446.3</v>
      </c>
      <c r="U61" s="498">
        <v>422.5</v>
      </c>
      <c r="V61" s="498">
        <v>426.8</v>
      </c>
      <c r="W61" s="498">
        <f t="shared" si="57"/>
        <v>409.8</v>
      </c>
      <c r="X61" s="498">
        <v>409.8</v>
      </c>
      <c r="Y61" s="498">
        <v>419.4</v>
      </c>
      <c r="Z61" s="498">
        <v>401.9</v>
      </c>
      <c r="AA61" s="498">
        <v>322.8</v>
      </c>
      <c r="AB61" s="498">
        <f t="shared" si="58"/>
        <v>315.5</v>
      </c>
      <c r="AC61" s="498">
        <v>315.5</v>
      </c>
      <c r="AD61" s="498">
        <v>371.1</v>
      </c>
      <c r="AE61" s="498">
        <v>393.8</v>
      </c>
      <c r="AF61" s="498">
        <v>393.1</v>
      </c>
      <c r="AG61" s="498">
        <f t="shared" si="59"/>
        <v>392.5</v>
      </c>
      <c r="AH61" s="498">
        <v>392.5</v>
      </c>
      <c r="AI61" s="498">
        <v>392</v>
      </c>
      <c r="AJ61" s="498">
        <v>390.8</v>
      </c>
      <c r="AK61" s="498">
        <v>388.8</v>
      </c>
      <c r="AL61" s="498">
        <v>358.8</v>
      </c>
      <c r="AM61" s="498">
        <f>AL61</f>
        <v>358.8</v>
      </c>
      <c r="AN61" s="498">
        <v>358.6</v>
      </c>
      <c r="AO61" s="604">
        <v>356.8</v>
      </c>
      <c r="AP61" s="604">
        <v>321.10000000000002</v>
      </c>
      <c r="AQ61" s="498">
        <f>AR61</f>
        <v>304.60000000000002</v>
      </c>
      <c r="AR61" s="498">
        <v>304.60000000000002</v>
      </c>
      <c r="AS61" s="498">
        <v>268.39999999999998</v>
      </c>
      <c r="AT61" s="604">
        <v>242.1</v>
      </c>
      <c r="AU61" s="604">
        <v>236.9</v>
      </c>
      <c r="AV61" s="498">
        <f>AW61</f>
        <v>238.3</v>
      </c>
      <c r="AW61" s="611">
        <v>238.3</v>
      </c>
      <c r="AX61" s="604">
        <v>294.8</v>
      </c>
      <c r="AY61" s="604">
        <v>280.7</v>
      </c>
      <c r="AZ61" s="604">
        <v>279.3</v>
      </c>
      <c r="BA61" s="604">
        <f>BB61</f>
        <v>240</v>
      </c>
      <c r="BB61" s="692">
        <v>240</v>
      </c>
      <c r="BC61" s="693">
        <v>258.5</v>
      </c>
      <c r="BD61" s="693">
        <v>309</v>
      </c>
      <c r="BE61" s="693">
        <v>262</v>
      </c>
      <c r="BF61" s="693">
        <f>BG61</f>
        <v>292</v>
      </c>
      <c r="BG61" s="692">
        <v>292</v>
      </c>
      <c r="BH61" s="693">
        <v>352</v>
      </c>
      <c r="BI61" s="694">
        <v>395</v>
      </c>
      <c r="BJ61" s="693">
        <v>430</v>
      </c>
      <c r="BK61" s="693">
        <v>415</v>
      </c>
      <c r="BL61" s="692">
        <f>BK61</f>
        <v>415</v>
      </c>
      <c r="BM61" s="693">
        <v>480</v>
      </c>
      <c r="BN61" s="694">
        <v>508</v>
      </c>
      <c r="BO61" s="693">
        <v>596.4</v>
      </c>
      <c r="BP61" s="693">
        <v>576.5</v>
      </c>
      <c r="BQ61" s="692">
        <f>BP61</f>
        <v>576.5</v>
      </c>
      <c r="BR61" s="693">
        <v>688</v>
      </c>
      <c r="BS61" s="694">
        <v>706.8</v>
      </c>
      <c r="BT61" s="693">
        <v>670.2</v>
      </c>
      <c r="BU61" s="693">
        <v>684.4</v>
      </c>
      <c r="BV61" s="692">
        <f>BU61</f>
        <v>684.4</v>
      </c>
      <c r="BW61" s="693">
        <v>837</v>
      </c>
      <c r="BX61" s="693">
        <v>817.3</v>
      </c>
      <c r="BY61" s="693">
        <v>829.6</v>
      </c>
      <c r="BZ61" s="693">
        <v>805.6</v>
      </c>
      <c r="CA61" s="692">
        <f>BZ61</f>
        <v>805.6</v>
      </c>
      <c r="CB61" s="693">
        <v>835.6</v>
      </c>
      <c r="CC61" s="694">
        <v>930.1</v>
      </c>
      <c r="CD61" s="693">
        <v>980.7</v>
      </c>
      <c r="CE61" s="693">
        <v>947.4</v>
      </c>
      <c r="CF61" s="692">
        <f>CE61</f>
        <v>947.4</v>
      </c>
      <c r="CG61" s="693">
        <v>1160</v>
      </c>
      <c r="CH61" s="694">
        <v>1115.8</v>
      </c>
      <c r="CI61" s="693">
        <v>1115.2</v>
      </c>
      <c r="CJ61" s="693">
        <v>1050.5999999999999</v>
      </c>
      <c r="CK61" s="692">
        <f>CJ61</f>
        <v>1050.5999999999999</v>
      </c>
      <c r="CL61" s="604">
        <v>1389.5</v>
      </c>
      <c r="CM61" s="611"/>
      <c r="CN61" s="604"/>
      <c r="CO61" s="604"/>
    </row>
    <row r="62" spans="2:93">
      <c r="B62" s="632" t="s">
        <v>53</v>
      </c>
      <c r="E62" s="498">
        <v>0</v>
      </c>
      <c r="F62" s="498">
        <v>0</v>
      </c>
      <c r="G62" s="498">
        <v>45.8</v>
      </c>
      <c r="H62" s="498">
        <v>48.1</v>
      </c>
      <c r="I62" s="498">
        <v>49.7</v>
      </c>
      <c r="J62" s="498">
        <v>63.6</v>
      </c>
      <c r="K62" s="498">
        <v>65.400000000000006</v>
      </c>
      <c r="L62" s="498">
        <v>64.599999999999994</v>
      </c>
      <c r="M62" s="498">
        <f t="shared" si="55"/>
        <v>48.9</v>
      </c>
      <c r="N62" s="498">
        <v>48.9</v>
      </c>
      <c r="O62" s="498">
        <v>62</v>
      </c>
      <c r="P62" s="498">
        <v>65.8</v>
      </c>
      <c r="Q62" s="498">
        <v>65.2</v>
      </c>
      <c r="R62" s="498">
        <f t="shared" si="56"/>
        <v>42.5</v>
      </c>
      <c r="S62" s="498">
        <v>42.5</v>
      </c>
      <c r="T62" s="498">
        <v>57.6</v>
      </c>
      <c r="U62" s="498">
        <v>59.2</v>
      </c>
      <c r="V62" s="498">
        <v>61.2</v>
      </c>
      <c r="W62" s="498">
        <f t="shared" si="57"/>
        <v>71.2</v>
      </c>
      <c r="X62" s="498">
        <v>71.2</v>
      </c>
      <c r="AB62" s="498">
        <f t="shared" si="58"/>
        <v>39.799999999999997</v>
      </c>
      <c r="AC62" s="498">
        <v>39.799999999999997</v>
      </c>
      <c r="AG62" s="498">
        <f t="shared" si="59"/>
        <v>47.9</v>
      </c>
      <c r="AH62" s="498">
        <v>47.9</v>
      </c>
      <c r="AQ62" s="498">
        <f>AR62</f>
        <v>61.9</v>
      </c>
      <c r="AR62" s="498">
        <v>61.9</v>
      </c>
      <c r="AW62" s="611"/>
      <c r="BB62" s="692">
        <v>0</v>
      </c>
      <c r="BC62" s="692">
        <v>0</v>
      </c>
      <c r="BD62" s="692">
        <v>0</v>
      </c>
      <c r="BE62" s="692">
        <v>0</v>
      </c>
      <c r="BF62" s="692">
        <v>0</v>
      </c>
      <c r="BG62" s="692">
        <v>0</v>
      </c>
      <c r="BH62" s="692">
        <v>0</v>
      </c>
      <c r="BI62" s="694">
        <v>0</v>
      </c>
      <c r="BJ62" s="692">
        <v>0</v>
      </c>
      <c r="BK62" s="692">
        <v>0</v>
      </c>
      <c r="BL62" s="692">
        <v>0</v>
      </c>
      <c r="BM62" s="692">
        <v>0</v>
      </c>
      <c r="BN62" s="694">
        <v>0</v>
      </c>
      <c r="BO62" s="692">
        <v>0</v>
      </c>
      <c r="BP62" s="692">
        <v>0</v>
      </c>
      <c r="BQ62" s="692">
        <v>0</v>
      </c>
      <c r="BR62" s="692">
        <v>0</v>
      </c>
      <c r="BS62" s="694">
        <v>0</v>
      </c>
      <c r="BT62" s="692">
        <v>0</v>
      </c>
      <c r="BU62" s="692">
        <v>0</v>
      </c>
      <c r="BV62" s="692">
        <v>0</v>
      </c>
      <c r="BW62" s="692">
        <v>0</v>
      </c>
      <c r="BX62" s="692">
        <v>0</v>
      </c>
      <c r="BY62" s="692">
        <v>0</v>
      </c>
      <c r="BZ62" s="692">
        <v>0</v>
      </c>
      <c r="CA62" s="692">
        <v>0</v>
      </c>
      <c r="CB62" s="692">
        <v>0</v>
      </c>
      <c r="CC62" s="694">
        <v>0</v>
      </c>
      <c r="CD62" s="692">
        <v>0</v>
      </c>
      <c r="CE62" s="692">
        <v>0</v>
      </c>
      <c r="CF62" s="692">
        <v>0</v>
      </c>
      <c r="CG62" s="692">
        <v>42.1</v>
      </c>
      <c r="CH62" s="694">
        <v>42.4</v>
      </c>
      <c r="CI62" s="692">
        <v>41.9</v>
      </c>
      <c r="CJ62" s="692">
        <v>53.3</v>
      </c>
      <c r="CK62" s="692">
        <f>CJ62</f>
        <v>53.3</v>
      </c>
      <c r="CL62" s="604">
        <v>53.1</v>
      </c>
      <c r="CM62" s="611"/>
    </row>
    <row r="63" spans="2:93" ht="15" thickBot="1">
      <c r="B63" s="632" t="s">
        <v>54</v>
      </c>
      <c r="C63" s="498">
        <f>34.967+35.816</f>
        <v>70.783000000000001</v>
      </c>
      <c r="D63" s="498">
        <f>35.675+44.267</f>
        <v>79.942000000000007</v>
      </c>
      <c r="E63" s="498">
        <f>44.7+24.1</f>
        <v>68.800000000000011</v>
      </c>
      <c r="F63" s="498">
        <f>46.3+24.4</f>
        <v>70.699999999999989</v>
      </c>
      <c r="H63" s="498">
        <v>8.3000000000000007</v>
      </c>
      <c r="I63" s="498">
        <v>15.2</v>
      </c>
      <c r="M63" s="498">
        <f t="shared" si="55"/>
        <v>15.4</v>
      </c>
      <c r="N63" s="498">
        <v>15.4</v>
      </c>
      <c r="R63" s="498">
        <f t="shared" si="56"/>
        <v>14.8</v>
      </c>
      <c r="S63" s="498">
        <v>14.8</v>
      </c>
      <c r="W63" s="498">
        <f t="shared" si="57"/>
        <v>11</v>
      </c>
      <c r="X63" s="498">
        <f>1.4+9.6</f>
        <v>11</v>
      </c>
      <c r="Y63" s="498">
        <v>82</v>
      </c>
      <c r="Z63" s="498">
        <v>73.099999999999994</v>
      </c>
      <c r="AA63" s="498">
        <v>81.900000000000006</v>
      </c>
      <c r="AB63" s="498">
        <f t="shared" si="58"/>
        <v>33.299999999999997</v>
      </c>
      <c r="AC63" s="498">
        <v>33.299999999999997</v>
      </c>
      <c r="AD63" s="498">
        <v>83.5</v>
      </c>
      <c r="AE63" s="498">
        <v>89.3</v>
      </c>
      <c r="AF63" s="498">
        <v>81.599999999999994</v>
      </c>
      <c r="AG63" s="498">
        <f t="shared" si="59"/>
        <v>36.5</v>
      </c>
      <c r="AH63" s="498">
        <v>36.5</v>
      </c>
      <c r="AI63" s="498">
        <v>80.900000000000006</v>
      </c>
      <c r="AJ63" s="498">
        <v>83.9</v>
      </c>
      <c r="AK63" s="498">
        <v>89</v>
      </c>
      <c r="AL63" s="498">
        <v>110.5</v>
      </c>
      <c r="AM63" s="498">
        <f>AL63</f>
        <v>110.5</v>
      </c>
      <c r="AN63" s="498">
        <v>106</v>
      </c>
      <c r="AO63" s="604">
        <v>100.7</v>
      </c>
      <c r="AP63" s="604">
        <v>97.8</v>
      </c>
      <c r="AQ63" s="498">
        <f>AR63</f>
        <v>26.3</v>
      </c>
      <c r="AR63" s="498">
        <v>26.3</v>
      </c>
      <c r="AS63" s="498">
        <f>81-AS62</f>
        <v>81</v>
      </c>
      <c r="AT63" s="604">
        <v>73.7</v>
      </c>
      <c r="AU63" s="604">
        <v>74.2</v>
      </c>
      <c r="AV63" s="498">
        <f>AW63</f>
        <v>88.1</v>
      </c>
      <c r="AW63" s="611">
        <v>88.1</v>
      </c>
      <c r="AX63" s="604">
        <v>87.1</v>
      </c>
      <c r="AY63" s="604">
        <v>100.7</v>
      </c>
      <c r="AZ63" s="604">
        <v>109.2</v>
      </c>
      <c r="BA63" s="604">
        <f>BB63</f>
        <v>133.69999999999999</v>
      </c>
      <c r="BB63" s="692">
        <v>133.69999999999999</v>
      </c>
      <c r="BC63" s="693">
        <v>121.8</v>
      </c>
      <c r="BD63" s="693">
        <v>131.1</v>
      </c>
      <c r="BE63" s="693">
        <v>136.30000000000001</v>
      </c>
      <c r="BF63" s="693">
        <f>BG63</f>
        <v>115</v>
      </c>
      <c r="BG63" s="692">
        <v>115</v>
      </c>
      <c r="BH63" s="693">
        <v>123.8</v>
      </c>
      <c r="BI63" s="694">
        <v>128.6</v>
      </c>
      <c r="BJ63" s="693">
        <v>142.9</v>
      </c>
      <c r="BK63" s="693">
        <v>160.9</v>
      </c>
      <c r="BL63" s="692">
        <f>BK63</f>
        <v>160.9</v>
      </c>
      <c r="BM63" s="693">
        <v>162.19999999999999</v>
      </c>
      <c r="BN63" s="694">
        <v>164.2</v>
      </c>
      <c r="BO63" s="693">
        <v>171.5</v>
      </c>
      <c r="BP63" s="693">
        <v>138.69999999999999</v>
      </c>
      <c r="BQ63" s="692">
        <f>BP63</f>
        <v>138.69999999999999</v>
      </c>
      <c r="BR63" s="693">
        <v>151.9</v>
      </c>
      <c r="BS63" s="694">
        <v>166.1</v>
      </c>
      <c r="BT63" s="693">
        <v>184.4</v>
      </c>
      <c r="BU63" s="693">
        <v>199.4</v>
      </c>
      <c r="BV63" s="692">
        <f>BU63</f>
        <v>199.4</v>
      </c>
      <c r="BW63" s="693">
        <v>201</v>
      </c>
      <c r="BX63" s="693">
        <v>208.9</v>
      </c>
      <c r="BY63" s="693">
        <v>223.1</v>
      </c>
      <c r="BZ63" s="693">
        <v>218.1</v>
      </c>
      <c r="CA63" s="692">
        <f>BZ63</f>
        <v>218.1</v>
      </c>
      <c r="CB63" s="693">
        <v>215.8</v>
      </c>
      <c r="CC63" s="694">
        <v>171.1</v>
      </c>
      <c r="CD63" s="693">
        <v>227.6</v>
      </c>
      <c r="CE63" s="693">
        <v>228</v>
      </c>
      <c r="CF63" s="692">
        <f>CE63</f>
        <v>228</v>
      </c>
      <c r="CG63" s="693">
        <v>241.6</v>
      </c>
      <c r="CH63" s="694">
        <v>234.8</v>
      </c>
      <c r="CI63" s="693">
        <v>233.3</v>
      </c>
      <c r="CJ63" s="693">
        <v>256</v>
      </c>
      <c r="CK63" s="692">
        <f>CJ63</f>
        <v>256</v>
      </c>
      <c r="CL63" s="604">
        <v>259.7</v>
      </c>
      <c r="CM63" s="611"/>
      <c r="CN63" s="604"/>
      <c r="CO63" s="604"/>
    </row>
    <row r="64" spans="2:93" hidden="1" outlineLevel="1">
      <c r="B64" s="632" t="s">
        <v>97</v>
      </c>
      <c r="C64" s="613"/>
      <c r="D64" s="613"/>
      <c r="E64" s="613"/>
      <c r="F64" s="613"/>
      <c r="G64" s="613"/>
      <c r="H64" s="613"/>
      <c r="I64" s="613"/>
      <c r="J64" s="613"/>
      <c r="K64" s="613"/>
      <c r="L64" s="613"/>
      <c r="M64" s="613">
        <f t="shared" si="55"/>
        <v>0</v>
      </c>
      <c r="N64" s="613"/>
      <c r="O64" s="613"/>
      <c r="P64" s="613"/>
      <c r="Q64" s="613"/>
      <c r="R64" s="613">
        <f t="shared" si="56"/>
        <v>0</v>
      </c>
      <c r="S64" s="613">
        <v>0</v>
      </c>
      <c r="T64" s="613"/>
      <c r="U64" s="613"/>
      <c r="V64" s="613"/>
      <c r="W64" s="613">
        <f t="shared" si="57"/>
        <v>0</v>
      </c>
      <c r="X64" s="613">
        <v>0</v>
      </c>
      <c r="Y64" s="613"/>
      <c r="Z64" s="613">
        <v>1.8</v>
      </c>
      <c r="AA64" s="613"/>
      <c r="AB64" s="613">
        <f t="shared" si="58"/>
        <v>0</v>
      </c>
      <c r="AC64" s="613">
        <v>0</v>
      </c>
      <c r="AD64" s="613"/>
      <c r="AE64" s="613"/>
      <c r="AF64" s="613"/>
      <c r="AG64" s="613">
        <f t="shared" si="59"/>
        <v>0</v>
      </c>
      <c r="AH64" s="613"/>
      <c r="AI64" s="613"/>
      <c r="AJ64" s="613"/>
      <c r="AK64" s="613"/>
      <c r="AL64" s="613"/>
      <c r="AM64" s="613"/>
      <c r="AN64" s="613"/>
      <c r="AQ64" s="613"/>
      <c r="AR64" s="613"/>
      <c r="AS64" s="613"/>
      <c r="AV64" s="613"/>
      <c r="AW64" s="611"/>
    </row>
    <row r="65" spans="2:93" collapsed="1">
      <c r="B65" s="633" t="s">
        <v>55</v>
      </c>
      <c r="C65" s="526">
        <f t="shared" ref="C65:L65" si="63">SUM(C61:C63)+C60+C64</f>
        <v>561.68499999999995</v>
      </c>
      <c r="D65" s="526">
        <f t="shared" si="63"/>
        <v>1101.7619999999999</v>
      </c>
      <c r="E65" s="526">
        <f t="shared" si="63"/>
        <v>991.8</v>
      </c>
      <c r="F65" s="526">
        <f t="shared" si="63"/>
        <v>895.69999999999993</v>
      </c>
      <c r="G65" s="526">
        <f t="shared" si="63"/>
        <v>922</v>
      </c>
      <c r="H65" s="526">
        <f t="shared" si="63"/>
        <v>835.5</v>
      </c>
      <c r="I65" s="526">
        <f t="shared" si="63"/>
        <v>710.1</v>
      </c>
      <c r="J65" s="526">
        <f t="shared" si="63"/>
        <v>708.09999999999991</v>
      </c>
      <c r="K65" s="526">
        <f t="shared" si="63"/>
        <v>721</v>
      </c>
      <c r="L65" s="526">
        <f t="shared" si="63"/>
        <v>718.30000000000007</v>
      </c>
      <c r="M65" s="526">
        <f t="shared" si="55"/>
        <v>710.69999999999993</v>
      </c>
      <c r="N65" s="526">
        <f>SUM(N61:N63)+N60+N64</f>
        <v>710.69999999999993</v>
      </c>
      <c r="O65" s="526">
        <f>SUM(O61:O63)+O60+O64</f>
        <v>733.8</v>
      </c>
      <c r="P65" s="526">
        <f>SUM(P61:P63)+P60+P64</f>
        <v>702.5</v>
      </c>
      <c r="Q65" s="526">
        <f>SUM(Q61:Q63)+Q60+Q64</f>
        <v>686.4</v>
      </c>
      <c r="R65" s="526">
        <f t="shared" si="56"/>
        <v>669.9</v>
      </c>
      <c r="S65" s="526">
        <f>SUM(S61:S63)+S60+S64</f>
        <v>669.9</v>
      </c>
      <c r="T65" s="526">
        <f>SUM(T61:T63)+T60+T64</f>
        <v>701.6</v>
      </c>
      <c r="U65" s="526">
        <f>SUM(U61:U63)+U60+U64</f>
        <v>676.4</v>
      </c>
      <c r="V65" s="526">
        <f>SUM(V61:V63)+V60+V64</f>
        <v>679</v>
      </c>
      <c r="W65" s="526">
        <f t="shared" si="57"/>
        <v>711.3</v>
      </c>
      <c r="X65" s="526">
        <f>SUM(X61:X63)+X60+X64</f>
        <v>711.3</v>
      </c>
      <c r="Y65" s="526">
        <f>SUM(Y61:Y63)+Y60+Y64</f>
        <v>712.7</v>
      </c>
      <c r="Z65" s="526">
        <f>SUM(Z61:Z63)+Z60+Z64</f>
        <v>722.9</v>
      </c>
      <c r="AA65" s="526">
        <f>SUM(AA61:AA63)+AA60+AA64</f>
        <v>636</v>
      </c>
      <c r="AB65" s="526">
        <f t="shared" si="58"/>
        <v>632.9</v>
      </c>
      <c r="AC65" s="526">
        <f>SUM(AC61:AC63)+AC60+AC64</f>
        <v>632.9</v>
      </c>
      <c r="AD65" s="526">
        <f>SUM(AD61:AD63)+AD60+AD64</f>
        <v>695.2</v>
      </c>
      <c r="AE65" s="526">
        <f>SUM(AE61:AE63)+AE60+AE64</f>
        <v>715.7</v>
      </c>
      <c r="AF65" s="526">
        <f>SUM(AF61:AF63)+AF60+AF64</f>
        <v>678.6</v>
      </c>
      <c r="AG65" s="526">
        <f t="shared" si="59"/>
        <v>701.1</v>
      </c>
      <c r="AH65" s="526">
        <f t="shared" ref="AH65:AP65" si="64">SUM(AH61:AH63)+AH60</f>
        <v>701.1</v>
      </c>
      <c r="AI65" s="526">
        <f t="shared" si="64"/>
        <v>674.4</v>
      </c>
      <c r="AJ65" s="526">
        <f t="shared" si="64"/>
        <v>647.70000000000005</v>
      </c>
      <c r="AK65" s="526">
        <f t="shared" si="64"/>
        <v>637.4</v>
      </c>
      <c r="AL65" s="526">
        <f t="shared" si="64"/>
        <v>671</v>
      </c>
      <c r="AM65" s="526">
        <f t="shared" si="64"/>
        <v>671</v>
      </c>
      <c r="AN65" s="526">
        <f t="shared" si="64"/>
        <v>629.20000000000005</v>
      </c>
      <c r="AO65" s="526">
        <f t="shared" si="64"/>
        <v>651.6</v>
      </c>
      <c r="AP65" s="526">
        <f t="shared" si="64"/>
        <v>615.79999999999995</v>
      </c>
      <c r="AQ65" s="526">
        <f>AR65</f>
        <v>598.70000000000005</v>
      </c>
      <c r="AR65" s="526">
        <f>SUM(AR61:AR63)+AR60</f>
        <v>598.70000000000005</v>
      </c>
      <c r="AS65" s="526">
        <f>SUM(AS61:AS63)+AS60</f>
        <v>557.9</v>
      </c>
      <c r="AT65" s="526">
        <f>SUM(AT61:AT63)+AT60</f>
        <v>542.9</v>
      </c>
      <c r="AU65" s="526">
        <f>SUM(AU61:AU63)+AU60</f>
        <v>531.80000000000007</v>
      </c>
      <c r="AV65" s="526">
        <f>AW65</f>
        <v>573.9</v>
      </c>
      <c r="AW65" s="616">
        <f>SUM(AW61:AW63)+AW60</f>
        <v>573.9</v>
      </c>
      <c r="AX65" s="526">
        <f>SUM(AX61:AX63)+AX60</f>
        <v>602.69999999999993</v>
      </c>
      <c r="AY65" s="526">
        <f>SUM(AY61:AY63)+AY60</f>
        <v>622.79999999999995</v>
      </c>
      <c r="AZ65" s="526">
        <f>SUM(AZ61:AZ63)+AZ60</f>
        <v>618</v>
      </c>
      <c r="BA65" s="526">
        <f>BB65</f>
        <v>609</v>
      </c>
      <c r="BB65" s="713">
        <f>SUM(BB61:BB63)+BB60</f>
        <v>609</v>
      </c>
      <c r="BC65" s="713">
        <f>SUM(BC61:BC63)+BC60</f>
        <v>627.6</v>
      </c>
      <c r="BD65" s="713">
        <f>SUM(BD61:BD63)+BD60</f>
        <v>653.79999999999995</v>
      </c>
      <c r="BE65" s="713">
        <f>SUM(BE61:BE63)+BE60</f>
        <v>641.6</v>
      </c>
      <c r="BF65" s="713">
        <f>BG65</f>
        <v>675.7</v>
      </c>
      <c r="BG65" s="713">
        <f t="shared" ref="BG65:CL65" si="65">SUM(BG61:BG63)+BG60</f>
        <v>675.7</v>
      </c>
      <c r="BH65" s="713">
        <f t="shared" si="65"/>
        <v>739.7</v>
      </c>
      <c r="BI65" s="713">
        <f t="shared" si="65"/>
        <v>791.2</v>
      </c>
      <c r="BJ65" s="713">
        <f t="shared" si="65"/>
        <v>832.59999999999991</v>
      </c>
      <c r="BK65" s="713">
        <f t="shared" si="65"/>
        <v>886.5</v>
      </c>
      <c r="BL65" s="713">
        <f t="shared" si="65"/>
        <v>886.5</v>
      </c>
      <c r="BM65" s="713">
        <f t="shared" si="65"/>
        <v>921.7</v>
      </c>
      <c r="BN65" s="713">
        <f t="shared" si="65"/>
        <v>953.1</v>
      </c>
      <c r="BO65" s="713">
        <f t="shared" si="65"/>
        <v>1045.4000000000001</v>
      </c>
      <c r="BP65" s="713">
        <f t="shared" si="65"/>
        <v>1007.8000000000001</v>
      </c>
      <c r="BQ65" s="713">
        <f t="shared" si="65"/>
        <v>1007.8000000000001</v>
      </c>
      <c r="BR65" s="713">
        <f t="shared" si="65"/>
        <v>1104.0999999999999</v>
      </c>
      <c r="BS65" s="713">
        <f t="shared" si="65"/>
        <v>1144.5</v>
      </c>
      <c r="BT65" s="713">
        <f t="shared" si="65"/>
        <v>1131.2</v>
      </c>
      <c r="BU65" s="713">
        <f t="shared" si="65"/>
        <v>1155.7</v>
      </c>
      <c r="BV65" s="713">
        <f t="shared" si="65"/>
        <v>1155.7</v>
      </c>
      <c r="BW65" s="713">
        <f t="shared" si="65"/>
        <v>1312.8</v>
      </c>
      <c r="BX65" s="713">
        <f t="shared" si="65"/>
        <v>1297</v>
      </c>
      <c r="BY65" s="713">
        <f t="shared" si="65"/>
        <v>1310.5</v>
      </c>
      <c r="BZ65" s="713">
        <f t="shared" si="65"/>
        <v>1285.8000000000002</v>
      </c>
      <c r="CA65" s="713">
        <f t="shared" si="65"/>
        <v>1285.8000000000002</v>
      </c>
      <c r="CB65" s="713">
        <f t="shared" si="65"/>
        <v>1322.2</v>
      </c>
      <c r="CC65" s="713">
        <f t="shared" si="65"/>
        <v>1395</v>
      </c>
      <c r="CD65" s="713">
        <f t="shared" si="65"/>
        <v>1479.1999999999998</v>
      </c>
      <c r="CE65" s="713">
        <f t="shared" si="65"/>
        <v>1502.1000000000001</v>
      </c>
      <c r="CF65" s="713">
        <f t="shared" si="65"/>
        <v>1502.1000000000001</v>
      </c>
      <c r="CG65" s="713">
        <f t="shared" si="65"/>
        <v>1793.6</v>
      </c>
      <c r="CH65" s="713">
        <f t="shared" si="65"/>
        <v>1752.7</v>
      </c>
      <c r="CI65" s="713">
        <f t="shared" si="65"/>
        <v>1737.4</v>
      </c>
      <c r="CJ65" s="713">
        <f t="shared" si="65"/>
        <v>1682.5</v>
      </c>
      <c r="CK65" s="713">
        <f t="shared" si="65"/>
        <v>1682.5</v>
      </c>
      <c r="CL65" s="526">
        <f t="shared" si="65"/>
        <v>2012.1999999999998</v>
      </c>
      <c r="CM65" s="526"/>
      <c r="CN65" s="526"/>
      <c r="CO65" s="526"/>
    </row>
    <row r="66" spans="2:93">
      <c r="B66" s="632" t="s">
        <v>89</v>
      </c>
      <c r="C66" s="498">
        <v>0.36899999999999999</v>
      </c>
      <c r="D66" s="498">
        <v>0.372</v>
      </c>
      <c r="E66" s="498">
        <v>0.4</v>
      </c>
      <c r="F66" s="498">
        <v>0.4</v>
      </c>
      <c r="G66" s="498">
        <v>0.4</v>
      </c>
      <c r="H66" s="498">
        <v>0.4</v>
      </c>
      <c r="I66" s="498">
        <v>0.4</v>
      </c>
      <c r="J66" s="498">
        <v>0.4</v>
      </c>
      <c r="K66" s="498">
        <v>0.4</v>
      </c>
      <c r="L66" s="498">
        <v>0.4</v>
      </c>
      <c r="M66" s="498">
        <f t="shared" si="55"/>
        <v>0.5</v>
      </c>
      <c r="N66" s="498">
        <v>0.5</v>
      </c>
      <c r="O66" s="498">
        <v>0.6</v>
      </c>
      <c r="P66" s="498">
        <v>0.6</v>
      </c>
      <c r="Q66" s="498">
        <v>0.7</v>
      </c>
      <c r="R66" s="498">
        <f t="shared" si="56"/>
        <v>0.9</v>
      </c>
      <c r="S66" s="498">
        <v>0.9</v>
      </c>
      <c r="T66" s="498">
        <v>0.9</v>
      </c>
      <c r="U66" s="498">
        <v>1</v>
      </c>
      <c r="V66" s="498">
        <v>1</v>
      </c>
      <c r="W66" s="498">
        <f t="shared" si="57"/>
        <v>1</v>
      </c>
      <c r="X66" s="498">
        <v>1</v>
      </c>
      <c r="Y66" s="498">
        <v>1</v>
      </c>
      <c r="Z66" s="498">
        <v>1</v>
      </c>
      <c r="AA66" s="498">
        <v>1</v>
      </c>
      <c r="AB66" s="498">
        <f t="shared" si="58"/>
        <v>1</v>
      </c>
      <c r="AC66" s="498">
        <v>1</v>
      </c>
      <c r="AD66" s="498">
        <v>1</v>
      </c>
      <c r="AE66" s="498">
        <v>1</v>
      </c>
      <c r="AF66" s="498">
        <v>1</v>
      </c>
      <c r="AG66" s="498">
        <f t="shared" si="59"/>
        <v>1</v>
      </c>
      <c r="AH66" s="498">
        <v>1</v>
      </c>
      <c r="AI66" s="498">
        <v>1</v>
      </c>
      <c r="AJ66" s="498">
        <v>1</v>
      </c>
      <c r="AK66" s="498">
        <v>1</v>
      </c>
      <c r="AL66" s="498">
        <v>1</v>
      </c>
      <c r="AM66" s="498">
        <f>AL66</f>
        <v>1</v>
      </c>
      <c r="AN66" s="498">
        <v>1</v>
      </c>
      <c r="AO66" s="604">
        <v>1</v>
      </c>
      <c r="AP66" s="604">
        <v>1</v>
      </c>
      <c r="AQ66" s="498">
        <f t="shared" ref="AQ66:AQ72" si="66">AR66</f>
        <v>1</v>
      </c>
      <c r="AR66" s="498">
        <v>1</v>
      </c>
      <c r="AS66" s="498">
        <v>1</v>
      </c>
      <c r="AT66" s="604">
        <v>1</v>
      </c>
      <c r="AU66" s="604">
        <v>1</v>
      </c>
      <c r="AV66" s="498">
        <f t="shared" ref="AV66:AV72" si="67">AW66</f>
        <v>1</v>
      </c>
      <c r="AW66" s="611">
        <v>1</v>
      </c>
      <c r="AX66" s="604">
        <v>1</v>
      </c>
      <c r="AY66" s="604">
        <v>1</v>
      </c>
      <c r="AZ66" s="604">
        <v>1</v>
      </c>
      <c r="BA66" s="604">
        <f t="shared" ref="BA66:BA72" si="68">BB66</f>
        <v>1</v>
      </c>
      <c r="BB66" s="692">
        <v>1</v>
      </c>
      <c r="BC66" s="693">
        <v>1</v>
      </c>
      <c r="BD66" s="693">
        <v>1</v>
      </c>
      <c r="BE66" s="693">
        <v>1</v>
      </c>
      <c r="BF66" s="693">
        <f t="shared" ref="BF66:BF72" si="69">BG66</f>
        <v>1</v>
      </c>
      <c r="BG66" s="692">
        <v>1</v>
      </c>
      <c r="BH66" s="693">
        <v>1</v>
      </c>
      <c r="BI66" s="694">
        <v>1</v>
      </c>
      <c r="BJ66" s="693">
        <v>1</v>
      </c>
      <c r="BK66" s="693">
        <v>1</v>
      </c>
      <c r="BL66" s="692">
        <f>BK66</f>
        <v>1</v>
      </c>
      <c r="BM66" s="693">
        <v>1.1000000000000001</v>
      </c>
      <c r="BN66" s="694">
        <v>1.1000000000000001</v>
      </c>
      <c r="BO66" s="693">
        <v>1.1000000000000001</v>
      </c>
      <c r="BP66" s="693">
        <v>1.1000000000000001</v>
      </c>
      <c r="BQ66" s="692">
        <f>BP66</f>
        <v>1.1000000000000001</v>
      </c>
      <c r="BR66" s="693">
        <v>1.1000000000000001</v>
      </c>
      <c r="BS66" s="694">
        <v>1.1000000000000001</v>
      </c>
      <c r="BT66" s="693">
        <v>1.1000000000000001</v>
      </c>
      <c r="BU66" s="693">
        <v>1.1000000000000001</v>
      </c>
      <c r="BV66" s="692">
        <f>BU66</f>
        <v>1.1000000000000001</v>
      </c>
      <c r="BW66" s="693">
        <v>1.1000000000000001</v>
      </c>
      <c r="BX66" s="693">
        <v>1.1000000000000001</v>
      </c>
      <c r="BY66" s="693">
        <v>1.1000000000000001</v>
      </c>
      <c r="BZ66" s="693">
        <v>1.1000000000000001</v>
      </c>
      <c r="CA66" s="692">
        <f>BZ66</f>
        <v>1.1000000000000001</v>
      </c>
      <c r="CB66" s="693">
        <v>1.1000000000000001</v>
      </c>
      <c r="CC66" s="694">
        <v>1.1000000000000001</v>
      </c>
      <c r="CD66" s="693">
        <v>1.1000000000000001</v>
      </c>
      <c r="CE66" s="693">
        <v>1.1000000000000001</v>
      </c>
      <c r="CF66" s="692">
        <f>CE66</f>
        <v>1.1000000000000001</v>
      </c>
      <c r="CG66" s="693">
        <v>1.1000000000000001</v>
      </c>
      <c r="CH66" s="694">
        <v>1.1000000000000001</v>
      </c>
      <c r="CI66" s="693">
        <v>1.1000000000000001</v>
      </c>
      <c r="CJ66" s="693">
        <v>1.1000000000000001</v>
      </c>
      <c r="CK66" s="692">
        <f>CJ66</f>
        <v>1.1000000000000001</v>
      </c>
      <c r="CL66" s="604">
        <v>1.1000000000000001</v>
      </c>
      <c r="CM66" s="611"/>
      <c r="CN66" s="604"/>
      <c r="CO66" s="604"/>
    </row>
    <row r="67" spans="2:93">
      <c r="B67" s="632" t="s">
        <v>56</v>
      </c>
      <c r="C67" s="498">
        <v>266.17700000000002</v>
      </c>
      <c r="D67" s="498">
        <v>271.46899999999999</v>
      </c>
      <c r="E67" s="498">
        <v>273.60000000000002</v>
      </c>
      <c r="F67" s="498">
        <v>280.7</v>
      </c>
      <c r="G67" s="498">
        <v>287.7</v>
      </c>
      <c r="H67" s="498">
        <v>288.2</v>
      </c>
      <c r="I67" s="498">
        <v>303.5</v>
      </c>
      <c r="J67" s="498">
        <v>301.5</v>
      </c>
      <c r="K67" s="498">
        <v>301</v>
      </c>
      <c r="L67" s="498">
        <v>299.89999999999998</v>
      </c>
      <c r="M67" s="498">
        <f t="shared" si="55"/>
        <v>334.5</v>
      </c>
      <c r="N67" s="498">
        <v>334.5</v>
      </c>
      <c r="O67" s="498">
        <v>336.3</v>
      </c>
      <c r="P67" s="498">
        <v>338.3</v>
      </c>
      <c r="Q67" s="498">
        <v>374.4</v>
      </c>
      <c r="R67" s="498">
        <f t="shared" si="56"/>
        <v>455</v>
      </c>
      <c r="S67" s="498">
        <v>455</v>
      </c>
      <c r="T67" s="498">
        <v>465.9</v>
      </c>
      <c r="U67" s="498">
        <v>475.4</v>
      </c>
      <c r="V67" s="498">
        <v>477.3</v>
      </c>
      <c r="W67" s="498">
        <f t="shared" si="57"/>
        <v>479.3</v>
      </c>
      <c r="X67" s="498">
        <v>479.3</v>
      </c>
      <c r="Y67" s="498">
        <v>489.3</v>
      </c>
      <c r="Z67" s="498">
        <v>495.8</v>
      </c>
      <c r="AA67" s="498">
        <v>506.8</v>
      </c>
      <c r="AB67" s="498">
        <f t="shared" si="58"/>
        <v>513.29999999999995</v>
      </c>
      <c r="AC67" s="498">
        <v>513.29999999999995</v>
      </c>
      <c r="AD67" s="498">
        <v>519.5</v>
      </c>
      <c r="AE67" s="498">
        <v>523.6</v>
      </c>
      <c r="AF67" s="498">
        <v>525.6</v>
      </c>
      <c r="AG67" s="498">
        <f t="shared" si="59"/>
        <v>526.1</v>
      </c>
      <c r="AH67" s="498">
        <v>526.1</v>
      </c>
      <c r="AI67" s="498">
        <v>530.70000000000005</v>
      </c>
      <c r="AJ67" s="498">
        <v>531.9</v>
      </c>
      <c r="AK67" s="498">
        <v>532.9</v>
      </c>
      <c r="AL67" s="498">
        <v>535.29999999999995</v>
      </c>
      <c r="AM67" s="498">
        <f>AL67</f>
        <v>535.29999999999995</v>
      </c>
      <c r="AN67" s="498">
        <v>542.29999999999995</v>
      </c>
      <c r="AO67" s="604">
        <v>546.4</v>
      </c>
      <c r="AP67" s="604">
        <v>548.9</v>
      </c>
      <c r="AQ67" s="498">
        <f t="shared" si="66"/>
        <v>552.29999999999995</v>
      </c>
      <c r="AR67" s="498">
        <v>552.29999999999995</v>
      </c>
      <c r="AS67" s="498">
        <v>562.9</v>
      </c>
      <c r="AT67" s="604">
        <v>573.70000000000005</v>
      </c>
      <c r="AU67" s="604">
        <v>579.9</v>
      </c>
      <c r="AV67" s="498">
        <f t="shared" si="67"/>
        <v>589.20000000000005</v>
      </c>
      <c r="AW67" s="611">
        <v>589.20000000000005</v>
      </c>
      <c r="AX67" s="604">
        <v>604.29999999999995</v>
      </c>
      <c r="AY67" s="604">
        <v>609.20000000000005</v>
      </c>
      <c r="AZ67" s="604">
        <v>612.20000000000005</v>
      </c>
      <c r="BA67" s="604">
        <f t="shared" si="68"/>
        <v>617</v>
      </c>
      <c r="BB67" s="692">
        <v>617</v>
      </c>
      <c r="BC67" s="693">
        <v>632.5</v>
      </c>
      <c r="BD67" s="693">
        <v>640.1</v>
      </c>
      <c r="BE67" s="693">
        <v>644.9</v>
      </c>
      <c r="BF67" s="693">
        <f t="shared" si="69"/>
        <v>642.29999999999995</v>
      </c>
      <c r="BG67" s="692">
        <v>642.29999999999995</v>
      </c>
      <c r="BH67" s="693">
        <v>663.7</v>
      </c>
      <c r="BI67" s="694">
        <v>671.3</v>
      </c>
      <c r="BJ67" s="693">
        <v>674.2</v>
      </c>
      <c r="BK67" s="693">
        <v>678.5</v>
      </c>
      <c r="BL67" s="692">
        <f>BK67</f>
        <v>678.5</v>
      </c>
      <c r="BM67" s="693">
        <v>706.8</v>
      </c>
      <c r="BN67" s="694">
        <v>709.7</v>
      </c>
      <c r="BO67" s="693">
        <v>712.9</v>
      </c>
      <c r="BP67" s="693">
        <v>715.8</v>
      </c>
      <c r="BQ67" s="692">
        <f>BP67</f>
        <v>715.8</v>
      </c>
      <c r="BR67" s="693">
        <v>727.4</v>
      </c>
      <c r="BS67" s="694">
        <v>730.2</v>
      </c>
      <c r="BT67" s="693">
        <v>735</v>
      </c>
      <c r="BU67" s="693">
        <v>738.8</v>
      </c>
      <c r="BV67" s="692">
        <f>BU67</f>
        <v>738.8</v>
      </c>
      <c r="BW67" s="693">
        <v>754.9</v>
      </c>
      <c r="BX67" s="693">
        <v>763.1</v>
      </c>
      <c r="BY67" s="693">
        <v>766.5</v>
      </c>
      <c r="BZ67" s="693">
        <v>774.3</v>
      </c>
      <c r="CA67" s="692">
        <f>BZ67</f>
        <v>774.3</v>
      </c>
      <c r="CB67" s="693">
        <v>787.7</v>
      </c>
      <c r="CC67" s="694">
        <v>792</v>
      </c>
      <c r="CD67" s="693">
        <v>795.2</v>
      </c>
      <c r="CE67" s="693">
        <v>798.3</v>
      </c>
      <c r="CF67" s="692">
        <f>CE67</f>
        <v>798.3</v>
      </c>
      <c r="CG67" s="693">
        <v>811.8</v>
      </c>
      <c r="CH67" s="694">
        <v>817.9</v>
      </c>
      <c r="CI67" s="693">
        <v>826.7</v>
      </c>
      <c r="CJ67" s="693">
        <v>829.9</v>
      </c>
      <c r="CK67" s="692">
        <f>CJ67</f>
        <v>829.9</v>
      </c>
      <c r="CL67" s="604">
        <v>845.1</v>
      </c>
      <c r="CM67" s="611"/>
      <c r="CN67" s="604"/>
      <c r="CO67" s="604"/>
    </row>
    <row r="68" spans="2:93">
      <c r="B68" s="632" t="s">
        <v>57</v>
      </c>
      <c r="C68" s="498">
        <v>-15.541</v>
      </c>
      <c r="D68" s="498">
        <v>34.898000000000003</v>
      </c>
      <c r="E68" s="498">
        <v>11.6</v>
      </c>
      <c r="F68" s="498">
        <v>65.8</v>
      </c>
      <c r="G68" s="498">
        <v>-367.9</v>
      </c>
      <c r="H68" s="498">
        <v>-381.5</v>
      </c>
      <c r="I68" s="498">
        <v>-392.6</v>
      </c>
      <c r="J68" s="498">
        <v>-384.5</v>
      </c>
      <c r="K68" s="498">
        <v>-375.7</v>
      </c>
      <c r="L68" s="498">
        <v>-371.4</v>
      </c>
      <c r="M68" s="498">
        <f t="shared" si="55"/>
        <v>-363.8</v>
      </c>
      <c r="N68" s="498">
        <v>-363.8</v>
      </c>
      <c r="O68" s="498">
        <v>-386.2</v>
      </c>
      <c r="P68" s="498">
        <v>-360</v>
      </c>
      <c r="Q68" s="498">
        <v>-358.9</v>
      </c>
      <c r="R68" s="498">
        <f t="shared" si="56"/>
        <v>-222.5</v>
      </c>
      <c r="S68" s="498">
        <v>-222.5</v>
      </c>
      <c r="T68" s="498">
        <v>-208</v>
      </c>
      <c r="U68" s="498">
        <v>-190.4</v>
      </c>
      <c r="V68" s="498">
        <v>-174.7</v>
      </c>
      <c r="W68" s="498">
        <f t="shared" si="57"/>
        <v>-157.1</v>
      </c>
      <c r="X68" s="498">
        <v>-157.1</v>
      </c>
      <c r="Y68" s="498">
        <v>-135.19999999999999</v>
      </c>
      <c r="Z68" s="498">
        <v>-126.5</v>
      </c>
      <c r="AA68" s="498">
        <v>-109.2</v>
      </c>
      <c r="AB68" s="498">
        <f t="shared" si="58"/>
        <v>-97.4</v>
      </c>
      <c r="AC68" s="498">
        <v>-97.4</v>
      </c>
      <c r="AD68" s="498">
        <v>-74.2</v>
      </c>
      <c r="AE68" s="498">
        <v>-47.6</v>
      </c>
      <c r="AF68" s="498">
        <v>-14.5</v>
      </c>
      <c r="AG68" s="498">
        <f t="shared" si="59"/>
        <v>14.6</v>
      </c>
      <c r="AH68" s="498">
        <v>14.6</v>
      </c>
      <c r="AI68" s="498">
        <v>38.1</v>
      </c>
      <c r="AJ68" s="498">
        <v>54.8</v>
      </c>
      <c r="AK68" s="498">
        <v>65.3</v>
      </c>
      <c r="AL68" s="498">
        <v>71</v>
      </c>
      <c r="AM68" s="498">
        <f>AL68</f>
        <v>71</v>
      </c>
      <c r="AN68" s="498">
        <v>86.8</v>
      </c>
      <c r="AO68" s="604">
        <v>109.9</v>
      </c>
      <c r="AP68" s="604">
        <v>125.5</v>
      </c>
      <c r="AQ68" s="498">
        <f t="shared" si="66"/>
        <v>148.4</v>
      </c>
      <c r="AR68" s="498">
        <v>148.4</v>
      </c>
      <c r="AS68" s="498">
        <v>174.8</v>
      </c>
      <c r="AT68" s="604">
        <v>212.2</v>
      </c>
      <c r="AU68" s="604">
        <v>244.4</v>
      </c>
      <c r="AV68" s="498">
        <f t="shared" si="67"/>
        <v>283.89999999999998</v>
      </c>
      <c r="AW68" s="611">
        <v>283.89999999999998</v>
      </c>
      <c r="AX68" s="604">
        <v>323.5</v>
      </c>
      <c r="AY68" s="604">
        <v>371.5</v>
      </c>
      <c r="AZ68" s="604">
        <v>411.3</v>
      </c>
      <c r="BA68" s="604">
        <f t="shared" si="68"/>
        <v>448.2</v>
      </c>
      <c r="BB68" s="692">
        <v>448.2</v>
      </c>
      <c r="BC68" s="693">
        <v>491.8</v>
      </c>
      <c r="BD68" s="693">
        <v>540.29999999999995</v>
      </c>
      <c r="BE68" s="693">
        <v>589</v>
      </c>
      <c r="BF68" s="693">
        <f t="shared" si="69"/>
        <v>636.1</v>
      </c>
      <c r="BG68" s="692">
        <v>636.1</v>
      </c>
      <c r="BH68" s="693">
        <v>686.2</v>
      </c>
      <c r="BI68" s="694">
        <v>736.8</v>
      </c>
      <c r="BJ68" s="693">
        <v>792.6</v>
      </c>
      <c r="BK68" s="693">
        <v>845.5</v>
      </c>
      <c r="BL68" s="692">
        <f>BK68</f>
        <v>845.5</v>
      </c>
      <c r="BM68" s="693">
        <v>904</v>
      </c>
      <c r="BN68" s="694">
        <v>956.1</v>
      </c>
      <c r="BO68" s="693">
        <v>999.9</v>
      </c>
      <c r="BP68" s="693">
        <v>1044.4000000000001</v>
      </c>
      <c r="BQ68" s="692">
        <f>BP68</f>
        <v>1044.4000000000001</v>
      </c>
      <c r="BR68" s="693">
        <v>1091.4000000000001</v>
      </c>
      <c r="BS68" s="694">
        <v>1147.3</v>
      </c>
      <c r="BT68" s="693">
        <v>1205.2</v>
      </c>
      <c r="BU68" s="693">
        <v>1254.7</v>
      </c>
      <c r="BV68" s="692">
        <f>BU68</f>
        <v>1254.7</v>
      </c>
      <c r="BW68" s="693">
        <v>1309.0999999999999</v>
      </c>
      <c r="BX68" s="693">
        <v>1360.6</v>
      </c>
      <c r="BY68" s="693">
        <v>1419.1</v>
      </c>
      <c r="BZ68" s="693">
        <v>1496.1</v>
      </c>
      <c r="CA68" s="692">
        <f>BZ68</f>
        <v>1496.1</v>
      </c>
      <c r="CB68" s="693">
        <v>1548.7</v>
      </c>
      <c r="CC68" s="694">
        <v>1606.2</v>
      </c>
      <c r="CD68" s="693">
        <v>1673.3</v>
      </c>
      <c r="CE68" s="693">
        <v>1726.5</v>
      </c>
      <c r="CF68" s="692">
        <f>CE68</f>
        <v>1726.5</v>
      </c>
      <c r="CG68" s="693">
        <v>1786</v>
      </c>
      <c r="CH68" s="694">
        <v>1854.1</v>
      </c>
      <c r="CI68" s="693">
        <v>1920</v>
      </c>
      <c r="CJ68" s="693">
        <v>1978.9</v>
      </c>
      <c r="CK68" s="692">
        <f>CJ68</f>
        <v>1978.9</v>
      </c>
      <c r="CL68" s="604">
        <v>2007.1</v>
      </c>
      <c r="CM68" s="611"/>
      <c r="CN68" s="604"/>
      <c r="CO68" s="604"/>
    </row>
    <row r="69" spans="2:93">
      <c r="B69" s="632" t="s">
        <v>58</v>
      </c>
      <c r="C69" s="498">
        <v>-1.1040000000000001</v>
      </c>
      <c r="D69" s="498">
        <v>6.3129999999999997</v>
      </c>
      <c r="E69" s="498">
        <v>-4.8</v>
      </c>
      <c r="F69" s="498">
        <v>-20</v>
      </c>
      <c r="G69" s="498">
        <v>-39.700000000000003</v>
      </c>
      <c r="H69" s="498">
        <v>-21.2</v>
      </c>
      <c r="I69" s="498">
        <v>8.8000000000000007</v>
      </c>
      <c r="J69" s="498">
        <v>2.5</v>
      </c>
      <c r="K69" s="498">
        <v>-0.9</v>
      </c>
      <c r="L69" s="498">
        <v>2</v>
      </c>
      <c r="M69" s="498">
        <f t="shared" si="55"/>
        <v>18.399999999999999</v>
      </c>
      <c r="N69" s="498">
        <v>18.399999999999999</v>
      </c>
      <c r="O69" s="498">
        <v>4.4000000000000004</v>
      </c>
      <c r="P69" s="498">
        <v>-7.7</v>
      </c>
      <c r="Q69" s="498">
        <v>-8.8000000000000007</v>
      </c>
      <c r="R69" s="498">
        <f t="shared" si="56"/>
        <v>-7.3</v>
      </c>
      <c r="S69" s="498">
        <v>-7.3</v>
      </c>
      <c r="T69" s="498">
        <v>-2.2999999999999998</v>
      </c>
      <c r="U69" s="498">
        <v>8.4</v>
      </c>
      <c r="V69" s="498">
        <v>12.4</v>
      </c>
      <c r="W69" s="498">
        <f t="shared" si="57"/>
        <v>-1.8</v>
      </c>
      <c r="X69" s="498">
        <v>-1.8</v>
      </c>
      <c r="Y69" s="498">
        <v>-0.6</v>
      </c>
      <c r="Z69" s="498">
        <v>1.8</v>
      </c>
      <c r="AA69" s="498">
        <v>7.5</v>
      </c>
      <c r="AB69" s="498">
        <f t="shared" si="58"/>
        <v>32.6</v>
      </c>
      <c r="AC69" s="498">
        <v>32.6</v>
      </c>
      <c r="AD69" s="498">
        <v>45.1</v>
      </c>
      <c r="AE69" s="498">
        <v>48.3</v>
      </c>
      <c r="AF69" s="498">
        <v>21.8</v>
      </c>
      <c r="AG69" s="498">
        <f t="shared" si="59"/>
        <v>-8.6999999999999993</v>
      </c>
      <c r="AH69" s="498">
        <v>-8.6999999999999993</v>
      </c>
      <c r="AI69" s="498">
        <v>-19.899999999999999</v>
      </c>
      <c r="AJ69" s="498">
        <v>3.9</v>
      </c>
      <c r="AK69" s="498">
        <v>12.8</v>
      </c>
      <c r="AL69" s="498">
        <v>-7</v>
      </c>
      <c r="AM69" s="498">
        <f>AL69</f>
        <v>-7</v>
      </c>
      <c r="AN69" s="498">
        <v>-25.8</v>
      </c>
      <c r="AO69" s="604">
        <v>-47.2</v>
      </c>
      <c r="AP69" s="604">
        <v>-12.6</v>
      </c>
      <c r="AQ69" s="498">
        <f t="shared" si="66"/>
        <v>-15.1</v>
      </c>
      <c r="AR69" s="498">
        <v>-15.1</v>
      </c>
      <c r="AS69" s="498">
        <v>8.6999999999999993</v>
      </c>
      <c r="AT69" s="604">
        <v>14.4</v>
      </c>
      <c r="AU69" s="604">
        <v>-9.1999999999999993</v>
      </c>
      <c r="AV69" s="498">
        <f t="shared" si="67"/>
        <v>-39.799999999999997</v>
      </c>
      <c r="AW69" s="611">
        <v>-39.799999999999997</v>
      </c>
      <c r="AX69" s="604">
        <v>-25.4</v>
      </c>
      <c r="AY69" s="604">
        <v>-48.1</v>
      </c>
      <c r="AZ69" s="604">
        <v>-36.4</v>
      </c>
      <c r="BA69" s="604">
        <f t="shared" si="68"/>
        <v>-31.9</v>
      </c>
      <c r="BB69" s="692">
        <v>-31.9</v>
      </c>
      <c r="BC69" s="693">
        <v>-52.5</v>
      </c>
      <c r="BD69" s="693">
        <v>-42.7</v>
      </c>
      <c r="BE69" s="693">
        <v>-17.5</v>
      </c>
      <c r="BF69" s="693">
        <f t="shared" si="69"/>
        <v>10.7</v>
      </c>
      <c r="BG69" s="692">
        <v>10.7</v>
      </c>
      <c r="BH69" s="693">
        <v>9.8000000000000007</v>
      </c>
      <c r="BI69" s="694">
        <v>9.1999999999999993</v>
      </c>
      <c r="BJ69" s="693">
        <v>-35.200000000000003</v>
      </c>
      <c r="BK69" s="693">
        <v>-69.7</v>
      </c>
      <c r="BL69" s="692">
        <f>BK69</f>
        <v>-69.7</v>
      </c>
      <c r="BM69" s="693">
        <v>-135</v>
      </c>
      <c r="BN69" s="694">
        <v>-108.5</v>
      </c>
      <c r="BO69" s="693">
        <v>-107</v>
      </c>
      <c r="BP69" s="693">
        <v>-123.9</v>
      </c>
      <c r="BQ69" s="692">
        <f>BP69</f>
        <v>-123.9</v>
      </c>
      <c r="BR69" s="693">
        <v>-103.5</v>
      </c>
      <c r="BS69" s="694">
        <v>-134.5</v>
      </c>
      <c r="BT69" s="693">
        <v>-132.80000000000001</v>
      </c>
      <c r="BU69" s="693">
        <v>-174.4</v>
      </c>
      <c r="BV69" s="692">
        <f>BU69</f>
        <v>-174.4</v>
      </c>
      <c r="BW69" s="693">
        <v>-158.1</v>
      </c>
      <c r="BX69" s="693">
        <v>-93</v>
      </c>
      <c r="BY69" s="693">
        <v>-57.2</v>
      </c>
      <c r="BZ69" s="693">
        <v>-45</v>
      </c>
      <c r="CA69" s="692">
        <f>BZ69</f>
        <v>-45</v>
      </c>
      <c r="CB69" s="693">
        <v>-7.8</v>
      </c>
      <c r="CC69" s="694">
        <v>-80.8</v>
      </c>
      <c r="CD69" s="693">
        <v>-81.599999999999994</v>
      </c>
      <c r="CE69" s="693">
        <v>-108</v>
      </c>
      <c r="CF69" s="692">
        <f>CE69</f>
        <v>-108</v>
      </c>
      <c r="CG69" s="693">
        <v>-113.9</v>
      </c>
      <c r="CH69" s="694">
        <v>-118.1</v>
      </c>
      <c r="CI69" s="693">
        <v>-161.1</v>
      </c>
      <c r="CJ69" s="693">
        <v>-118.7</v>
      </c>
      <c r="CK69" s="692">
        <f>CJ69</f>
        <v>-118.7</v>
      </c>
      <c r="CL69" s="604">
        <v>-155.30000000000001</v>
      </c>
      <c r="CM69" s="611"/>
      <c r="CN69" s="604"/>
      <c r="CO69" s="604"/>
    </row>
    <row r="70" spans="2:93">
      <c r="B70" s="632" t="s">
        <v>172</v>
      </c>
      <c r="C70" s="613">
        <v>0</v>
      </c>
      <c r="D70" s="613">
        <v>-10.653</v>
      </c>
      <c r="E70" s="613">
        <v>-10.7</v>
      </c>
      <c r="F70" s="613">
        <v>-11.2</v>
      </c>
      <c r="G70" s="613">
        <v>-13.1</v>
      </c>
      <c r="H70" s="613">
        <v>-13.3</v>
      </c>
      <c r="I70" s="613">
        <v>-13.5</v>
      </c>
      <c r="J70" s="613">
        <v>-14</v>
      </c>
      <c r="K70" s="613">
        <v>-14</v>
      </c>
      <c r="L70" s="613">
        <v>-14</v>
      </c>
      <c r="M70" s="613">
        <f t="shared" si="55"/>
        <v>-14</v>
      </c>
      <c r="N70" s="613">
        <v>-14</v>
      </c>
      <c r="O70" s="613">
        <v>-15.4</v>
      </c>
      <c r="P70" s="613">
        <v>-15.4</v>
      </c>
      <c r="Q70" s="613">
        <v>-15.4</v>
      </c>
      <c r="R70" s="613">
        <f t="shared" si="56"/>
        <v>-15.4</v>
      </c>
      <c r="S70" s="613">
        <v>-15.4</v>
      </c>
      <c r="T70" s="613">
        <v>-18.899999999999999</v>
      </c>
      <c r="U70" s="613">
        <v>-19.3</v>
      </c>
      <c r="V70" s="613">
        <v>-19.3</v>
      </c>
      <c r="W70" s="613">
        <f t="shared" si="57"/>
        <v>-19.8</v>
      </c>
      <c r="X70" s="613">
        <v>-19.8</v>
      </c>
      <c r="Y70" s="613">
        <v>-21.5</v>
      </c>
      <c r="Z70" s="613">
        <v>-21.6</v>
      </c>
      <c r="AA70" s="613">
        <v>-21.8</v>
      </c>
      <c r="AB70" s="613">
        <f t="shared" si="58"/>
        <v>-21.9</v>
      </c>
      <c r="AC70" s="613">
        <v>-21.9</v>
      </c>
      <c r="AD70" s="613">
        <v>-22.9</v>
      </c>
      <c r="AE70" s="613">
        <v>-23.2</v>
      </c>
      <c r="AF70" s="613">
        <v>-23.8</v>
      </c>
      <c r="AG70" s="613">
        <f t="shared" si="59"/>
        <v>-23.8</v>
      </c>
      <c r="AH70" s="613">
        <v>-23.8</v>
      </c>
      <c r="AI70" s="613">
        <v>-24.5</v>
      </c>
      <c r="AJ70" s="613">
        <v>-24.5</v>
      </c>
      <c r="AK70" s="613">
        <v>-24.5</v>
      </c>
      <c r="AL70" s="613">
        <v>-24.7</v>
      </c>
      <c r="AM70" s="613">
        <f>AL70</f>
        <v>-24.7</v>
      </c>
      <c r="AN70" s="613">
        <v>-27.4</v>
      </c>
      <c r="AO70" s="604">
        <v>-27.5</v>
      </c>
      <c r="AP70" s="614">
        <v>-27.6</v>
      </c>
      <c r="AQ70" s="613">
        <f t="shared" si="66"/>
        <v>-27.2</v>
      </c>
      <c r="AR70" s="613">
        <v>-27.2</v>
      </c>
      <c r="AS70" s="613">
        <v>-28.4</v>
      </c>
      <c r="AT70" s="614">
        <v>-24.8</v>
      </c>
      <c r="AU70" s="614">
        <v>-26.8</v>
      </c>
      <c r="AV70" s="613">
        <f t="shared" si="67"/>
        <v>-32.1</v>
      </c>
      <c r="AW70" s="615">
        <v>-32.1</v>
      </c>
      <c r="AX70" s="614">
        <v>-39.1</v>
      </c>
      <c r="AY70" s="614">
        <v>-39.1</v>
      </c>
      <c r="AZ70" s="614">
        <v>-39.200000000000003</v>
      </c>
      <c r="BA70" s="614">
        <f t="shared" si="68"/>
        <v>-40.200000000000003</v>
      </c>
      <c r="BB70" s="692">
        <v>-40.200000000000003</v>
      </c>
      <c r="BC70" s="693">
        <v>-62.4</v>
      </c>
      <c r="BD70" s="693">
        <v>-97.5</v>
      </c>
      <c r="BE70" s="693">
        <v>-97.6</v>
      </c>
      <c r="BF70" s="693">
        <f t="shared" si="69"/>
        <v>-129.69999999999999</v>
      </c>
      <c r="BG70" s="692">
        <v>-129.69999999999999</v>
      </c>
      <c r="BH70" s="693">
        <v>-195.7</v>
      </c>
      <c r="BI70" s="694">
        <v>-262.10000000000002</v>
      </c>
      <c r="BJ70" s="693">
        <v>-305.39999999999998</v>
      </c>
      <c r="BK70" s="693">
        <v>-305.39999999999998</v>
      </c>
      <c r="BL70" s="692">
        <f>BK70</f>
        <v>-305.39999999999998</v>
      </c>
      <c r="BM70" s="693">
        <v>-311.39999999999998</v>
      </c>
      <c r="BN70" s="694">
        <v>-311.39999999999998</v>
      </c>
      <c r="BO70" s="693">
        <v>-411.6</v>
      </c>
      <c r="BP70" s="693">
        <v>-457.8</v>
      </c>
      <c r="BQ70" s="692">
        <f>BP70</f>
        <v>-457.8</v>
      </c>
      <c r="BR70" s="693">
        <v>-498.9</v>
      </c>
      <c r="BS70" s="694">
        <v>-519</v>
      </c>
      <c r="BT70" s="693">
        <v>-549.1</v>
      </c>
      <c r="BU70" s="693">
        <v>-575.29999999999995</v>
      </c>
      <c r="BV70" s="692">
        <f>BU70</f>
        <v>-575.29999999999995</v>
      </c>
      <c r="BW70" s="693">
        <v>-644.29999999999995</v>
      </c>
      <c r="BX70" s="693">
        <v>-701.5</v>
      </c>
      <c r="BY70" s="693">
        <v>-702.8</v>
      </c>
      <c r="BZ70" s="693">
        <v>-731.4</v>
      </c>
      <c r="CA70" s="692">
        <f>BZ70</f>
        <v>-731.4</v>
      </c>
      <c r="CB70" s="693">
        <v>-767.2</v>
      </c>
      <c r="CC70" s="693">
        <v>-918.7</v>
      </c>
      <c r="CD70" s="693">
        <v>-1020.7</v>
      </c>
      <c r="CE70" s="693">
        <v>-1095.9000000000001</v>
      </c>
      <c r="CF70" s="692">
        <f>CE70</f>
        <v>-1095.9000000000001</v>
      </c>
      <c r="CG70" s="693">
        <v>-1112.5999999999999</v>
      </c>
      <c r="CH70" s="694">
        <v>-1112.5999999999999</v>
      </c>
      <c r="CI70" s="693">
        <v>-1168.9000000000001</v>
      </c>
      <c r="CJ70" s="693">
        <v>-1245.0999999999999</v>
      </c>
      <c r="CK70" s="692">
        <f>CJ70</f>
        <v>-1245.0999999999999</v>
      </c>
      <c r="CL70" s="614">
        <v>-1276.9000000000001</v>
      </c>
      <c r="CM70" s="615"/>
      <c r="CN70" s="614"/>
      <c r="CO70" s="614"/>
    </row>
    <row r="71" spans="2:93" ht="15" thickBot="1">
      <c r="B71" s="633" t="s">
        <v>59</v>
      </c>
      <c r="C71" s="526">
        <f t="shared" ref="C71:L71" si="70">SUM(C66:C70)</f>
        <v>249.90100000000004</v>
      </c>
      <c r="D71" s="526">
        <f t="shared" si="70"/>
        <v>302.399</v>
      </c>
      <c r="E71" s="526">
        <f t="shared" si="70"/>
        <v>270.10000000000002</v>
      </c>
      <c r="F71" s="526">
        <f t="shared" si="70"/>
        <v>315.7</v>
      </c>
      <c r="G71" s="526">
        <f t="shared" si="70"/>
        <v>-132.60000000000002</v>
      </c>
      <c r="H71" s="526">
        <f t="shared" si="70"/>
        <v>-127.40000000000003</v>
      </c>
      <c r="I71" s="526">
        <f t="shared" si="70"/>
        <v>-93.400000000000048</v>
      </c>
      <c r="J71" s="526">
        <f t="shared" si="70"/>
        <v>-94.100000000000023</v>
      </c>
      <c r="K71" s="526">
        <f t="shared" si="70"/>
        <v>-89.200000000000017</v>
      </c>
      <c r="L71" s="526">
        <f t="shared" si="70"/>
        <v>-83.100000000000023</v>
      </c>
      <c r="M71" s="526">
        <f t="shared" si="55"/>
        <v>-24.400000000000013</v>
      </c>
      <c r="N71" s="526">
        <f>SUM(N66:N70)</f>
        <v>-24.400000000000013</v>
      </c>
      <c r="O71" s="526">
        <f>SUM(O66:O70)</f>
        <v>-60.299999999999955</v>
      </c>
      <c r="P71" s="526">
        <f>SUM(P66:P70)</f>
        <v>-44.199999999999967</v>
      </c>
      <c r="Q71" s="526">
        <f>SUM(Q66:Q70)</f>
        <v>-8.0000000000000124</v>
      </c>
      <c r="R71" s="526">
        <f t="shared" si="56"/>
        <v>210.69999999999996</v>
      </c>
      <c r="S71" s="526">
        <f>SUM(S66:S70)</f>
        <v>210.69999999999996</v>
      </c>
      <c r="T71" s="526">
        <f>SUM(T66:T70)</f>
        <v>237.59999999999994</v>
      </c>
      <c r="U71" s="526">
        <f>SUM(U66:U70)</f>
        <v>275.09999999999997</v>
      </c>
      <c r="V71" s="526">
        <f>SUM(V66:V70)</f>
        <v>296.7</v>
      </c>
      <c r="W71" s="526">
        <f t="shared" si="57"/>
        <v>301.60000000000002</v>
      </c>
      <c r="X71" s="526">
        <f>SUM(X66:X70)</f>
        <v>301.60000000000002</v>
      </c>
      <c r="Y71" s="526">
        <f>SUM(Y66:Y70)</f>
        <v>333</v>
      </c>
      <c r="Z71" s="526">
        <f>SUM(Z66:Z70)</f>
        <v>350.5</v>
      </c>
      <c r="AA71" s="526">
        <f>SUM(AA66:AA70)</f>
        <v>384.3</v>
      </c>
      <c r="AB71" s="526">
        <f t="shared" si="58"/>
        <v>427.6</v>
      </c>
      <c r="AC71" s="526">
        <f>SUM(AC66:AC70)</f>
        <v>427.6</v>
      </c>
      <c r="AD71" s="526">
        <f>SUM(AD66:AD70)</f>
        <v>468.50000000000006</v>
      </c>
      <c r="AE71" s="526">
        <f>SUM(AE66:AE70)</f>
        <v>502.09999999999997</v>
      </c>
      <c r="AF71" s="526">
        <f>SUM(AF66:AF70)</f>
        <v>510.09999999999997</v>
      </c>
      <c r="AG71" s="526">
        <f t="shared" si="59"/>
        <v>509.2</v>
      </c>
      <c r="AH71" s="526">
        <f t="shared" ref="AH71:AP71" si="71">SUM(AH66:AH70)</f>
        <v>509.2</v>
      </c>
      <c r="AI71" s="526">
        <f t="shared" si="71"/>
        <v>525.40000000000009</v>
      </c>
      <c r="AJ71" s="526">
        <f t="shared" si="71"/>
        <v>567.09999999999991</v>
      </c>
      <c r="AK71" s="526">
        <f t="shared" si="71"/>
        <v>587.49999999999989</v>
      </c>
      <c r="AL71" s="526">
        <f t="shared" si="71"/>
        <v>575.59999999999991</v>
      </c>
      <c r="AM71" s="526">
        <f t="shared" si="71"/>
        <v>575.59999999999991</v>
      </c>
      <c r="AN71" s="526">
        <f t="shared" si="71"/>
        <v>576.9</v>
      </c>
      <c r="AO71" s="526">
        <f t="shared" si="71"/>
        <v>582.59999999999991</v>
      </c>
      <c r="AP71" s="526">
        <f t="shared" si="71"/>
        <v>635.19999999999993</v>
      </c>
      <c r="AQ71" s="526">
        <f t="shared" si="66"/>
        <v>659.39999999999986</v>
      </c>
      <c r="AR71" s="526">
        <f>SUM(AR66:AR70)</f>
        <v>659.39999999999986</v>
      </c>
      <c r="AS71" s="526">
        <f>SUM(AS66:AS70)</f>
        <v>719.00000000000011</v>
      </c>
      <c r="AT71" s="526">
        <f>SUM(AT66:AT70)</f>
        <v>776.50000000000011</v>
      </c>
      <c r="AU71" s="526">
        <f>SUM(AU66:AU70)</f>
        <v>789.3</v>
      </c>
      <c r="AV71" s="526">
        <f t="shared" si="67"/>
        <v>802.2</v>
      </c>
      <c r="AW71" s="616">
        <f>SUM(AW66:AW70)</f>
        <v>802.2</v>
      </c>
      <c r="AX71" s="526">
        <f>SUM(AX66:AX70)</f>
        <v>864.3</v>
      </c>
      <c r="AY71" s="526">
        <f>SUM(AY66:AY70)</f>
        <v>894.5</v>
      </c>
      <c r="AZ71" s="526">
        <f>SUM(AZ66:AZ70)</f>
        <v>948.9</v>
      </c>
      <c r="BA71" s="526">
        <f t="shared" si="68"/>
        <v>994.09999999999991</v>
      </c>
      <c r="BB71" s="700">
        <f>SUM(BB66:BB70)</f>
        <v>994.09999999999991</v>
      </c>
      <c r="BC71" s="700">
        <f>SUM(BC66:BC70)</f>
        <v>1010.4</v>
      </c>
      <c r="BD71" s="700">
        <f>SUM(BD66:BD70)</f>
        <v>1041.2</v>
      </c>
      <c r="BE71" s="700">
        <f>SUM(BE66:BE70)</f>
        <v>1119.8000000000002</v>
      </c>
      <c r="BF71" s="700">
        <f t="shared" si="69"/>
        <v>1160.4000000000001</v>
      </c>
      <c r="BG71" s="700">
        <f t="shared" ref="BG71:CL71" si="72">SUM(BG66:BG70)</f>
        <v>1160.4000000000001</v>
      </c>
      <c r="BH71" s="700">
        <f t="shared" si="72"/>
        <v>1165</v>
      </c>
      <c r="BI71" s="701">
        <f t="shared" si="72"/>
        <v>1156.1999999999998</v>
      </c>
      <c r="BJ71" s="701">
        <f t="shared" si="72"/>
        <v>1127.2000000000003</v>
      </c>
      <c r="BK71" s="701">
        <f t="shared" si="72"/>
        <v>1149.9000000000001</v>
      </c>
      <c r="BL71" s="700">
        <f t="shared" si="72"/>
        <v>1149.9000000000001</v>
      </c>
      <c r="BM71" s="701">
        <f t="shared" si="72"/>
        <v>1165.5</v>
      </c>
      <c r="BN71" s="701">
        <f t="shared" si="72"/>
        <v>1247</v>
      </c>
      <c r="BO71" s="701">
        <f t="shared" si="72"/>
        <v>1195.3000000000002</v>
      </c>
      <c r="BP71" s="701">
        <f t="shared" si="72"/>
        <v>1179.6000000000001</v>
      </c>
      <c r="BQ71" s="700">
        <f t="shared" si="72"/>
        <v>1179.6000000000001</v>
      </c>
      <c r="BR71" s="701">
        <f t="shared" si="72"/>
        <v>1217.5</v>
      </c>
      <c r="BS71" s="701">
        <f t="shared" si="72"/>
        <v>1225.0999999999999</v>
      </c>
      <c r="BT71" s="701">
        <f t="shared" si="72"/>
        <v>1259.4000000000001</v>
      </c>
      <c r="BU71" s="701">
        <f t="shared" si="72"/>
        <v>1244.8999999999999</v>
      </c>
      <c r="BV71" s="700">
        <f t="shared" si="72"/>
        <v>1244.8999999999999</v>
      </c>
      <c r="BW71" s="701">
        <f t="shared" si="72"/>
        <v>1262.7</v>
      </c>
      <c r="BX71" s="701">
        <f t="shared" si="72"/>
        <v>1330.3000000000002</v>
      </c>
      <c r="BY71" s="701">
        <f t="shared" si="72"/>
        <v>1426.7</v>
      </c>
      <c r="BZ71" s="701">
        <f t="shared" si="72"/>
        <v>1495.1</v>
      </c>
      <c r="CA71" s="700">
        <f t="shared" si="72"/>
        <v>1495.1</v>
      </c>
      <c r="CB71" s="701">
        <f t="shared" si="72"/>
        <v>1562.4999999999998</v>
      </c>
      <c r="CC71" s="701">
        <f t="shared" si="72"/>
        <v>1399.8</v>
      </c>
      <c r="CD71" s="701">
        <f t="shared" si="72"/>
        <v>1367.3</v>
      </c>
      <c r="CE71" s="701">
        <f t="shared" si="72"/>
        <v>1322</v>
      </c>
      <c r="CF71" s="700">
        <f t="shared" si="72"/>
        <v>1322</v>
      </c>
      <c r="CG71" s="701">
        <f t="shared" si="72"/>
        <v>1372.4</v>
      </c>
      <c r="CH71" s="701">
        <f t="shared" si="72"/>
        <v>1442.4</v>
      </c>
      <c r="CI71" s="701">
        <f t="shared" si="72"/>
        <v>1417.8000000000002</v>
      </c>
      <c r="CJ71" s="701">
        <f t="shared" si="72"/>
        <v>1446.1000000000004</v>
      </c>
      <c r="CK71" s="700">
        <f t="shared" si="72"/>
        <v>1446.1000000000004</v>
      </c>
      <c r="CL71" s="616">
        <f t="shared" si="72"/>
        <v>1421.1</v>
      </c>
      <c r="CM71" s="616"/>
      <c r="CN71" s="616"/>
      <c r="CO71" s="616"/>
    </row>
    <row r="72" spans="2:93">
      <c r="B72" s="633" t="s">
        <v>60</v>
      </c>
      <c r="C72" s="526" t="e">
        <f>C71+C65+#REF!</f>
        <v>#REF!</v>
      </c>
      <c r="D72" s="526" t="e">
        <f>D71+D65+#REF!</f>
        <v>#REF!</v>
      </c>
      <c r="E72" s="526" t="e">
        <f>E71+E65+#REF!</f>
        <v>#REF!</v>
      </c>
      <c r="F72" s="526" t="e">
        <f>F71+F65+#REF!</f>
        <v>#REF!</v>
      </c>
      <c r="G72" s="526" t="e">
        <f>G71+G65+#REF!</f>
        <v>#REF!</v>
      </c>
      <c r="H72" s="526" t="e">
        <f>H71+H65+#REF!</f>
        <v>#REF!</v>
      </c>
      <c r="I72" s="526" t="e">
        <f>I71+I65+#REF!</f>
        <v>#REF!</v>
      </c>
      <c r="J72" s="526" t="e">
        <f>J71+J65+#REF!</f>
        <v>#REF!</v>
      </c>
      <c r="K72" s="526" t="e">
        <f>K71+K65+#REF!</f>
        <v>#REF!</v>
      </c>
      <c r="L72" s="526" t="e">
        <f>L71+L65+#REF!</f>
        <v>#REF!</v>
      </c>
      <c r="M72" s="526" t="e">
        <f t="shared" si="55"/>
        <v>#REF!</v>
      </c>
      <c r="N72" s="526" t="e">
        <f>N71+N65+#REF!</f>
        <v>#REF!</v>
      </c>
      <c r="O72" s="526" t="e">
        <f>O71+O65+#REF!</f>
        <v>#REF!</v>
      </c>
      <c r="P72" s="526" t="e">
        <f>P71+P65+#REF!</f>
        <v>#REF!</v>
      </c>
      <c r="Q72" s="526" t="e">
        <f>Q71+Q65+#REF!</f>
        <v>#REF!</v>
      </c>
      <c r="R72" s="526">
        <f t="shared" si="56"/>
        <v>880.59999999999991</v>
      </c>
      <c r="S72" s="526">
        <f>S71+S65</f>
        <v>880.59999999999991</v>
      </c>
      <c r="T72" s="526">
        <f>T71+T65</f>
        <v>939.19999999999993</v>
      </c>
      <c r="U72" s="526">
        <f>U71+U65</f>
        <v>951.5</v>
      </c>
      <c r="V72" s="526">
        <f>V71+V65</f>
        <v>975.7</v>
      </c>
      <c r="W72" s="526">
        <f t="shared" si="57"/>
        <v>1012.9</v>
      </c>
      <c r="X72" s="526">
        <f>X71+X65</f>
        <v>1012.9</v>
      </c>
      <c r="Y72" s="526">
        <f>Y71+Y65</f>
        <v>1045.7</v>
      </c>
      <c r="Z72" s="526">
        <f>Z71+Z65</f>
        <v>1073.4000000000001</v>
      </c>
      <c r="AA72" s="526">
        <f>AA71+AA65</f>
        <v>1020.3</v>
      </c>
      <c r="AB72" s="526">
        <f t="shared" si="58"/>
        <v>1060.5</v>
      </c>
      <c r="AC72" s="526">
        <f>AC71+AC65</f>
        <v>1060.5</v>
      </c>
      <c r="AD72" s="526">
        <f>AD71+AD65</f>
        <v>1163.7</v>
      </c>
      <c r="AE72" s="526">
        <f>AE71+AE65</f>
        <v>1217.8</v>
      </c>
      <c r="AF72" s="526">
        <f>AF71+AF65</f>
        <v>1188.7</v>
      </c>
      <c r="AG72" s="526">
        <f t="shared" si="59"/>
        <v>1210.3</v>
      </c>
      <c r="AH72" s="526">
        <f t="shared" ref="AH72:AP72" si="73">AH71+AH65</f>
        <v>1210.3</v>
      </c>
      <c r="AI72" s="526">
        <f t="shared" si="73"/>
        <v>1199.8000000000002</v>
      </c>
      <c r="AJ72" s="526">
        <f t="shared" si="73"/>
        <v>1214.8</v>
      </c>
      <c r="AK72" s="526">
        <f t="shared" si="73"/>
        <v>1224.8999999999999</v>
      </c>
      <c r="AL72" s="526">
        <f t="shared" si="73"/>
        <v>1246.5999999999999</v>
      </c>
      <c r="AM72" s="526">
        <f t="shared" si="73"/>
        <v>1246.5999999999999</v>
      </c>
      <c r="AN72" s="526">
        <f t="shared" si="73"/>
        <v>1206.0999999999999</v>
      </c>
      <c r="AO72" s="526">
        <f t="shared" si="73"/>
        <v>1234.1999999999998</v>
      </c>
      <c r="AP72" s="526">
        <f t="shared" si="73"/>
        <v>1251</v>
      </c>
      <c r="AQ72" s="526">
        <f t="shared" si="66"/>
        <v>1258.0999999999999</v>
      </c>
      <c r="AR72" s="526">
        <f>AR71+AR65</f>
        <v>1258.0999999999999</v>
      </c>
      <c r="AS72" s="526">
        <f>AS71+AS65</f>
        <v>1276.9000000000001</v>
      </c>
      <c r="AT72" s="526">
        <f>AT71+AT65</f>
        <v>1319.4</v>
      </c>
      <c r="AU72" s="526">
        <f>AU71+AU65</f>
        <v>1321.1</v>
      </c>
      <c r="AV72" s="526">
        <f t="shared" si="67"/>
        <v>1376.1</v>
      </c>
      <c r="AW72" s="526">
        <f>AW71+AW65</f>
        <v>1376.1</v>
      </c>
      <c r="AX72" s="617">
        <f>AX71+AX65</f>
        <v>1467</v>
      </c>
      <c r="AY72" s="617">
        <f>AY71+AY65</f>
        <v>1517.3</v>
      </c>
      <c r="AZ72" s="617">
        <f>AZ71+AZ65</f>
        <v>1566.9</v>
      </c>
      <c r="BA72" s="617">
        <f t="shared" si="68"/>
        <v>1603.1</v>
      </c>
      <c r="BB72" s="713">
        <f>BB71+BB65</f>
        <v>1603.1</v>
      </c>
      <c r="BC72" s="713">
        <f>BC71+BC65</f>
        <v>1638</v>
      </c>
      <c r="BD72" s="713">
        <f>BD71+BD65</f>
        <v>1695</v>
      </c>
      <c r="BE72" s="713">
        <f>BE71+BE65</f>
        <v>1761.4</v>
      </c>
      <c r="BF72" s="713">
        <f t="shared" si="69"/>
        <v>1836.1000000000001</v>
      </c>
      <c r="BG72" s="713">
        <f t="shared" ref="BG72:CL72" si="74">BG71+BG65</f>
        <v>1836.1000000000001</v>
      </c>
      <c r="BH72" s="713">
        <f t="shared" si="74"/>
        <v>1904.7</v>
      </c>
      <c r="BI72" s="713">
        <f t="shared" si="74"/>
        <v>1947.3999999999999</v>
      </c>
      <c r="BJ72" s="713">
        <f t="shared" si="74"/>
        <v>1959.8000000000002</v>
      </c>
      <c r="BK72" s="713">
        <f t="shared" si="74"/>
        <v>2036.4</v>
      </c>
      <c r="BL72" s="713">
        <f t="shared" si="74"/>
        <v>2036.4</v>
      </c>
      <c r="BM72" s="713">
        <f t="shared" si="74"/>
        <v>2087.1999999999998</v>
      </c>
      <c r="BN72" s="713">
        <f t="shared" si="74"/>
        <v>2200.1</v>
      </c>
      <c r="BO72" s="713">
        <f t="shared" si="74"/>
        <v>2240.7000000000003</v>
      </c>
      <c r="BP72" s="713">
        <f t="shared" si="74"/>
        <v>2187.4</v>
      </c>
      <c r="BQ72" s="713">
        <f t="shared" si="74"/>
        <v>2187.4</v>
      </c>
      <c r="BR72" s="713">
        <f t="shared" si="74"/>
        <v>2321.6</v>
      </c>
      <c r="BS72" s="713">
        <f t="shared" si="74"/>
        <v>2369.6</v>
      </c>
      <c r="BT72" s="713">
        <f t="shared" si="74"/>
        <v>2390.6000000000004</v>
      </c>
      <c r="BU72" s="713">
        <f t="shared" si="74"/>
        <v>2400.6</v>
      </c>
      <c r="BV72" s="713">
        <f t="shared" si="74"/>
        <v>2400.6</v>
      </c>
      <c r="BW72" s="713">
        <f t="shared" si="74"/>
        <v>2575.5</v>
      </c>
      <c r="BX72" s="713">
        <f t="shared" si="74"/>
        <v>2627.3</v>
      </c>
      <c r="BY72" s="713">
        <f t="shared" si="74"/>
        <v>2737.2</v>
      </c>
      <c r="BZ72" s="713">
        <f t="shared" si="74"/>
        <v>2780.9</v>
      </c>
      <c r="CA72" s="713">
        <f t="shared" si="74"/>
        <v>2780.9</v>
      </c>
      <c r="CB72" s="713">
        <f t="shared" si="74"/>
        <v>2884.7</v>
      </c>
      <c r="CC72" s="713">
        <f t="shared" si="74"/>
        <v>2794.8</v>
      </c>
      <c r="CD72" s="713">
        <f t="shared" si="74"/>
        <v>2846.5</v>
      </c>
      <c r="CE72" s="713">
        <f t="shared" si="74"/>
        <v>2824.1000000000004</v>
      </c>
      <c r="CF72" s="713">
        <f t="shared" si="74"/>
        <v>2824.1000000000004</v>
      </c>
      <c r="CG72" s="713">
        <f t="shared" si="74"/>
        <v>3166</v>
      </c>
      <c r="CH72" s="713">
        <f t="shared" si="74"/>
        <v>3195.1000000000004</v>
      </c>
      <c r="CI72" s="713">
        <f t="shared" si="74"/>
        <v>3155.2000000000003</v>
      </c>
      <c r="CJ72" s="713">
        <f t="shared" si="74"/>
        <v>3128.6000000000004</v>
      </c>
      <c r="CK72" s="713">
        <f t="shared" si="74"/>
        <v>3128.6000000000004</v>
      </c>
      <c r="CL72" s="616">
        <f t="shared" si="74"/>
        <v>3433.2999999999997</v>
      </c>
      <c r="CM72" s="619"/>
      <c r="CN72" s="619"/>
      <c r="CO72" s="619"/>
    </row>
    <row r="73" spans="2:93" hidden="1" outlineLevel="1">
      <c r="B73" s="633"/>
      <c r="C73" s="634" t="e">
        <f t="shared" ref="C73:AK73" si="75">IF(ROUND(C72,0)=ROUND(C50,0),"","check")</f>
        <v>#REF!</v>
      </c>
      <c r="D73" s="634" t="e">
        <f t="shared" si="75"/>
        <v>#REF!</v>
      </c>
      <c r="E73" s="634" t="e">
        <f t="shared" si="75"/>
        <v>#REF!</v>
      </c>
      <c r="F73" s="634" t="e">
        <f t="shared" si="75"/>
        <v>#REF!</v>
      </c>
      <c r="G73" s="634" t="e">
        <f t="shared" si="75"/>
        <v>#REF!</v>
      </c>
      <c r="H73" s="634" t="e">
        <f t="shared" si="75"/>
        <v>#REF!</v>
      </c>
      <c r="I73" s="634" t="e">
        <f t="shared" si="75"/>
        <v>#REF!</v>
      </c>
      <c r="J73" s="634" t="e">
        <f t="shared" si="75"/>
        <v>#REF!</v>
      </c>
      <c r="K73" s="634" t="e">
        <f t="shared" si="75"/>
        <v>#REF!</v>
      </c>
      <c r="L73" s="634" t="e">
        <f t="shared" si="75"/>
        <v>#REF!</v>
      </c>
      <c r="M73" s="634" t="e">
        <f t="shared" si="75"/>
        <v>#REF!</v>
      </c>
      <c r="N73" s="634" t="e">
        <f t="shared" si="75"/>
        <v>#REF!</v>
      </c>
      <c r="O73" s="634" t="e">
        <f t="shared" si="75"/>
        <v>#REF!</v>
      </c>
      <c r="P73" s="634" t="e">
        <f t="shared" si="75"/>
        <v>#REF!</v>
      </c>
      <c r="Q73" s="634" t="e">
        <f t="shared" si="75"/>
        <v>#REF!</v>
      </c>
      <c r="R73" s="634" t="str">
        <f t="shared" si="75"/>
        <v/>
      </c>
      <c r="S73" s="634" t="str">
        <f t="shared" si="75"/>
        <v/>
      </c>
      <c r="T73" s="634" t="str">
        <f t="shared" si="75"/>
        <v/>
      </c>
      <c r="U73" s="634" t="str">
        <f t="shared" si="75"/>
        <v/>
      </c>
      <c r="V73" s="634" t="str">
        <f t="shared" si="75"/>
        <v/>
      </c>
      <c r="W73" s="634" t="str">
        <f t="shared" si="75"/>
        <v/>
      </c>
      <c r="X73" s="634" t="str">
        <f t="shared" si="75"/>
        <v/>
      </c>
      <c r="Y73" s="634" t="str">
        <f t="shared" si="75"/>
        <v/>
      </c>
      <c r="Z73" s="634" t="str">
        <f t="shared" si="75"/>
        <v/>
      </c>
      <c r="AA73" s="634" t="str">
        <f t="shared" si="75"/>
        <v/>
      </c>
      <c r="AB73" s="634" t="str">
        <f t="shared" si="75"/>
        <v/>
      </c>
      <c r="AC73" s="634" t="str">
        <f t="shared" si="75"/>
        <v/>
      </c>
      <c r="AD73" s="634" t="str">
        <f t="shared" si="75"/>
        <v/>
      </c>
      <c r="AE73" s="634" t="str">
        <f t="shared" si="75"/>
        <v/>
      </c>
      <c r="AF73" s="634" t="str">
        <f t="shared" si="75"/>
        <v/>
      </c>
      <c r="AG73" s="634" t="str">
        <f t="shared" si="75"/>
        <v/>
      </c>
      <c r="AH73" s="634" t="str">
        <f t="shared" si="75"/>
        <v/>
      </c>
      <c r="AI73" s="634" t="str">
        <f t="shared" si="75"/>
        <v/>
      </c>
      <c r="AJ73" s="634" t="str">
        <f t="shared" si="75"/>
        <v/>
      </c>
      <c r="AK73" s="634" t="str">
        <f t="shared" si="75"/>
        <v/>
      </c>
    </row>
    <row r="74" spans="2:93" collapsed="1">
      <c r="B74" s="633"/>
      <c r="C74" s="634"/>
      <c r="D74" s="634"/>
      <c r="E74" s="634"/>
      <c r="F74" s="634"/>
      <c r="G74" s="634"/>
      <c r="H74" s="634"/>
      <c r="I74" s="634"/>
      <c r="J74" s="634"/>
      <c r="K74" s="634"/>
      <c r="L74" s="634"/>
      <c r="M74" s="634"/>
      <c r="N74" s="634"/>
      <c r="O74" s="634"/>
      <c r="P74" s="634"/>
      <c r="Q74" s="634"/>
      <c r="R74" s="634"/>
      <c r="S74" s="634"/>
      <c r="T74" s="634"/>
      <c r="U74" s="634"/>
      <c r="V74" s="634"/>
      <c r="W74" s="634"/>
      <c r="X74" s="634"/>
      <c r="Y74" s="634"/>
      <c r="Z74" s="634"/>
      <c r="AA74" s="634"/>
      <c r="AB74" s="634"/>
      <c r="AC74" s="634"/>
      <c r="AD74" s="634"/>
      <c r="AE74" s="634"/>
      <c r="AF74" s="634"/>
      <c r="AG74" s="634"/>
      <c r="AH74" s="634"/>
      <c r="AI74" s="634"/>
      <c r="AJ74" s="634"/>
      <c r="AK74" s="634"/>
    </row>
    <row r="75" spans="2:93" ht="4.5" customHeight="1">
      <c r="B75" s="633"/>
      <c r="C75" s="634"/>
      <c r="D75" s="634"/>
      <c r="E75" s="634"/>
      <c r="F75" s="634"/>
      <c r="G75" s="634"/>
      <c r="H75" s="634"/>
      <c r="I75" s="634"/>
      <c r="J75" s="634"/>
      <c r="K75" s="634"/>
      <c r="L75" s="634"/>
      <c r="M75" s="634"/>
      <c r="N75" s="634"/>
      <c r="O75" s="634"/>
      <c r="P75" s="634"/>
      <c r="Q75" s="634"/>
      <c r="R75" s="634"/>
      <c r="S75" s="634"/>
      <c r="T75" s="634"/>
      <c r="U75" s="634"/>
      <c r="V75" s="634"/>
      <c r="W75" s="634"/>
      <c r="X75" s="634"/>
      <c r="Y75" s="634"/>
      <c r="Z75" s="634"/>
      <c r="AA75" s="634"/>
      <c r="AB75" s="634"/>
      <c r="AC75" s="634"/>
      <c r="AD75" s="634"/>
      <c r="AE75" s="634"/>
      <c r="AF75" s="634"/>
      <c r="AG75" s="634"/>
      <c r="AH75" s="634"/>
      <c r="AI75" s="634"/>
      <c r="AJ75" s="634"/>
      <c r="AK75" s="634"/>
    </row>
    <row r="76" spans="2:93" ht="12.75" customHeight="1">
      <c r="B76" s="678" t="s">
        <v>573</v>
      </c>
      <c r="C76" s="679">
        <v>1997</v>
      </c>
      <c r="D76" s="679">
        <v>1998</v>
      </c>
      <c r="E76" s="679">
        <v>1999</v>
      </c>
      <c r="F76" s="679">
        <v>2000</v>
      </c>
      <c r="G76" s="679">
        <v>2001</v>
      </c>
      <c r="H76" s="679">
        <v>2002</v>
      </c>
      <c r="I76" s="679">
        <v>2003</v>
      </c>
      <c r="J76" s="680" t="s">
        <v>0</v>
      </c>
      <c r="K76" s="680" t="s">
        <v>1</v>
      </c>
      <c r="L76" s="680" t="s">
        <v>2</v>
      </c>
      <c r="M76" s="680" t="s">
        <v>3</v>
      </c>
      <c r="N76" s="679">
        <v>2004</v>
      </c>
      <c r="O76" s="680" t="s">
        <v>4</v>
      </c>
      <c r="P76" s="680" t="s">
        <v>5</v>
      </c>
      <c r="Q76" s="680" t="s">
        <v>6</v>
      </c>
      <c r="R76" s="680" t="s">
        <v>7</v>
      </c>
      <c r="S76" s="679">
        <v>2005</v>
      </c>
      <c r="T76" s="680" t="s">
        <v>8</v>
      </c>
      <c r="U76" s="680" t="s">
        <v>9</v>
      </c>
      <c r="V76" s="680" t="s">
        <v>10</v>
      </c>
      <c r="W76" s="680" t="s">
        <v>11</v>
      </c>
      <c r="X76" s="679">
        <v>2006</v>
      </c>
      <c r="Y76" s="680" t="s">
        <v>12</v>
      </c>
      <c r="Z76" s="680" t="s">
        <v>13</v>
      </c>
      <c r="AA76" s="680" t="s">
        <v>14</v>
      </c>
      <c r="AB76" s="680" t="s">
        <v>15</v>
      </c>
      <c r="AC76" s="679">
        <v>2007</v>
      </c>
      <c r="AD76" s="680" t="s">
        <v>16</v>
      </c>
      <c r="AE76" s="680" t="s">
        <v>17</v>
      </c>
      <c r="AF76" s="680" t="s">
        <v>18</v>
      </c>
      <c r="AG76" s="680" t="s">
        <v>19</v>
      </c>
      <c r="AH76" s="679">
        <v>2008</v>
      </c>
      <c r="AI76" s="680" t="s">
        <v>20</v>
      </c>
      <c r="AJ76" s="680" t="s">
        <v>21</v>
      </c>
      <c r="AK76" s="680" t="s">
        <v>22</v>
      </c>
      <c r="AL76" s="680" t="s">
        <v>23</v>
      </c>
      <c r="AM76" s="679">
        <v>2009</v>
      </c>
      <c r="AN76" s="680" t="s">
        <v>208</v>
      </c>
      <c r="AO76" s="680" t="s">
        <v>209</v>
      </c>
      <c r="AP76" s="680" t="s">
        <v>210</v>
      </c>
      <c r="AQ76" s="680" t="s">
        <v>211</v>
      </c>
      <c r="AR76" s="679">
        <v>2010</v>
      </c>
      <c r="AS76" s="680" t="s">
        <v>212</v>
      </c>
      <c r="AT76" s="680" t="s">
        <v>213</v>
      </c>
      <c r="AU76" s="680" t="s">
        <v>214</v>
      </c>
      <c r="AV76" s="680" t="s">
        <v>215</v>
      </c>
      <c r="AW76" s="679">
        <v>2011</v>
      </c>
      <c r="AX76" s="680" t="s">
        <v>282</v>
      </c>
      <c r="AY76" s="680" t="s">
        <v>283</v>
      </c>
      <c r="AZ76" s="680" t="s">
        <v>284</v>
      </c>
      <c r="BA76" s="680" t="s">
        <v>285</v>
      </c>
      <c r="BB76" s="679">
        <v>2012</v>
      </c>
      <c r="BC76" s="680" t="s">
        <v>308</v>
      </c>
      <c r="BD76" s="680" t="s">
        <v>309</v>
      </c>
      <c r="BE76" s="680" t="s">
        <v>310</v>
      </c>
      <c r="BF76" s="680" t="s">
        <v>311</v>
      </c>
      <c r="BG76" s="679">
        <v>2013</v>
      </c>
      <c r="BH76" s="680" t="s">
        <v>312</v>
      </c>
      <c r="BI76" s="680" t="s">
        <v>313</v>
      </c>
      <c r="BJ76" s="680" t="s">
        <v>314</v>
      </c>
      <c r="BK76" s="680" t="s">
        <v>315</v>
      </c>
      <c r="BL76" s="679">
        <v>2014</v>
      </c>
      <c r="BM76" s="680" t="s">
        <v>382</v>
      </c>
      <c r="BN76" s="680" t="s">
        <v>383</v>
      </c>
      <c r="BO76" s="680" t="s">
        <v>384</v>
      </c>
      <c r="BP76" s="680" t="s">
        <v>385</v>
      </c>
      <c r="BQ76" s="679">
        <v>2015</v>
      </c>
      <c r="BR76" s="680" t="s">
        <v>386</v>
      </c>
      <c r="BS76" s="680" t="s">
        <v>387</v>
      </c>
      <c r="BT76" s="680" t="s">
        <v>388</v>
      </c>
      <c r="BU76" s="680" t="s">
        <v>389</v>
      </c>
      <c r="BV76" s="679">
        <v>2016</v>
      </c>
      <c r="BW76" s="680" t="s">
        <v>390</v>
      </c>
      <c r="BX76" s="680" t="s">
        <v>391</v>
      </c>
      <c r="BY76" s="680" t="s">
        <v>392</v>
      </c>
      <c r="BZ76" s="680" t="s">
        <v>393</v>
      </c>
      <c r="CA76" s="679">
        <v>2017</v>
      </c>
      <c r="CB76" s="680" t="s">
        <v>445</v>
      </c>
      <c r="CC76" s="680" t="s">
        <v>446</v>
      </c>
      <c r="CD76" s="680" t="s">
        <v>447</v>
      </c>
      <c r="CE76" s="680" t="s">
        <v>448</v>
      </c>
      <c r="CF76" s="679">
        <v>2018</v>
      </c>
      <c r="CG76" s="680" t="s">
        <v>459</v>
      </c>
      <c r="CH76" s="680" t="s">
        <v>460</v>
      </c>
      <c r="CI76" s="680" t="s">
        <v>461</v>
      </c>
      <c r="CJ76" s="680" t="s">
        <v>462</v>
      </c>
      <c r="CK76" s="679">
        <v>2019</v>
      </c>
    </row>
    <row r="77" spans="2:93" ht="5.0999999999999996" customHeight="1">
      <c r="B77" s="633"/>
      <c r="C77" s="634"/>
      <c r="D77" s="634"/>
      <c r="E77" s="634"/>
      <c r="F77" s="634"/>
      <c r="G77" s="634"/>
      <c r="H77" s="634"/>
      <c r="I77" s="634"/>
      <c r="J77" s="634"/>
      <c r="K77" s="634"/>
      <c r="L77" s="634"/>
      <c r="M77" s="634"/>
      <c r="N77" s="634"/>
      <c r="O77" s="634"/>
      <c r="P77" s="634"/>
      <c r="Q77" s="634"/>
      <c r="R77" s="634"/>
      <c r="S77" s="634"/>
      <c r="T77" s="634"/>
      <c r="U77" s="634"/>
      <c r="V77" s="634"/>
      <c r="W77" s="634"/>
      <c r="X77" s="634"/>
      <c r="Y77" s="634"/>
      <c r="Z77" s="634"/>
      <c r="AA77" s="634"/>
      <c r="AB77" s="634"/>
      <c r="AC77" s="634"/>
      <c r="AD77" s="634"/>
      <c r="AE77" s="634"/>
      <c r="AF77" s="634"/>
      <c r="AG77" s="634"/>
      <c r="AH77" s="634"/>
      <c r="AI77" s="634"/>
      <c r="AJ77" s="634"/>
      <c r="AK77" s="634"/>
    </row>
    <row r="78" spans="2:93">
      <c r="B78" s="681" t="s">
        <v>141</v>
      </c>
      <c r="C78" s="634"/>
      <c r="D78" s="634"/>
      <c r="E78" s="634"/>
      <c r="F78" s="634"/>
      <c r="G78" s="634"/>
      <c r="H78" s="634"/>
      <c r="I78" s="634"/>
      <c r="J78" s="634"/>
      <c r="K78" s="634"/>
      <c r="L78" s="634"/>
      <c r="M78" s="634"/>
      <c r="N78" s="634"/>
      <c r="O78" s="634"/>
      <c r="P78" s="634"/>
      <c r="Q78" s="634"/>
      <c r="R78" s="634"/>
      <c r="S78" s="634"/>
      <c r="T78" s="634"/>
      <c r="U78" s="634"/>
      <c r="V78" s="634"/>
      <c r="W78" s="634"/>
      <c r="X78" s="634"/>
      <c r="Y78" s="634"/>
      <c r="Z78" s="634"/>
      <c r="AA78" s="634"/>
      <c r="AB78" s="634"/>
      <c r="AC78" s="634"/>
      <c r="AD78" s="634"/>
      <c r="AE78" s="634"/>
      <c r="AF78" s="634"/>
      <c r="AG78" s="634"/>
      <c r="AH78" s="634"/>
      <c r="AI78" s="634"/>
      <c r="AJ78" s="634"/>
      <c r="AK78" s="634"/>
    </row>
    <row r="79" spans="2:93">
      <c r="B79" s="526" t="s">
        <v>142</v>
      </c>
      <c r="BI79" s="611"/>
      <c r="BN79" s="611"/>
      <c r="BS79" s="611"/>
      <c r="CC79" s="611"/>
      <c r="CH79" s="611"/>
      <c r="CM79" s="611"/>
    </row>
    <row r="80" spans="2:93" hidden="1" outlineLevel="1">
      <c r="B80" s="498" t="s">
        <v>61</v>
      </c>
      <c r="C80" s="498">
        <v>73.36</v>
      </c>
      <c r="D80" s="498">
        <v>50.439</v>
      </c>
      <c r="E80" s="498">
        <v>-23.3</v>
      </c>
      <c r="F80" s="498">
        <v>54.2</v>
      </c>
      <c r="G80" s="498">
        <v>-433.7</v>
      </c>
      <c r="H80" s="498">
        <v>-13.6</v>
      </c>
      <c r="I80" s="498">
        <v>-11.1</v>
      </c>
      <c r="J80" s="635">
        <v>8.1</v>
      </c>
      <c r="K80" s="498">
        <v>16.899999999999999</v>
      </c>
      <c r="L80" s="498">
        <v>21.2</v>
      </c>
      <c r="M80" s="498">
        <f t="shared" ref="M80:M118" si="76">N80</f>
        <v>28.8</v>
      </c>
      <c r="N80" s="498">
        <v>28.8</v>
      </c>
      <c r="O80" s="498">
        <v>-22.4</v>
      </c>
      <c r="P80" s="498">
        <v>3.8</v>
      </c>
      <c r="Q80" s="498">
        <v>4.9000000000000004</v>
      </c>
      <c r="R80" s="498">
        <f t="shared" ref="R80:R118" si="77">S80</f>
        <v>141.30000000000001</v>
      </c>
      <c r="S80" s="498">
        <v>141.30000000000001</v>
      </c>
      <c r="T80" s="498">
        <v>14.5</v>
      </c>
      <c r="U80" s="498">
        <v>32.1</v>
      </c>
      <c r="V80" s="498">
        <v>47.8</v>
      </c>
      <c r="W80" s="498">
        <f t="shared" ref="W80:W122" si="78">X80</f>
        <v>65.900000000000006</v>
      </c>
      <c r="X80" s="498">
        <v>65.900000000000006</v>
      </c>
      <c r="Y80" s="498">
        <v>23.5</v>
      </c>
      <c r="Z80" s="498">
        <v>32.299999999999997</v>
      </c>
      <c r="AA80" s="498">
        <v>49.5</v>
      </c>
      <c r="AB80" s="498">
        <f t="shared" ref="AB80:AB122" si="79">AC80</f>
        <v>61.3</v>
      </c>
      <c r="AC80" s="498">
        <v>61.3</v>
      </c>
      <c r="AD80" s="498">
        <v>23.2</v>
      </c>
      <c r="AE80" s="498">
        <v>49.9</v>
      </c>
      <c r="AF80" s="498">
        <v>82.9</v>
      </c>
      <c r="AG80" s="498">
        <f t="shared" ref="AG80:AG122" si="80">AH80</f>
        <v>111.2</v>
      </c>
      <c r="AH80" s="498">
        <v>111.2</v>
      </c>
      <c r="AI80" s="635">
        <v>23.4</v>
      </c>
      <c r="AJ80" s="498">
        <v>40.200000000000003</v>
      </c>
      <c r="AK80" s="498">
        <v>50.6</v>
      </c>
      <c r="AL80" s="498">
        <f>56.3</f>
        <v>56.3</v>
      </c>
      <c r="AM80" s="498">
        <f t="shared" ref="AM80:AM92" si="81">AL80</f>
        <v>56.3</v>
      </c>
      <c r="AN80" s="498">
        <v>15.8</v>
      </c>
      <c r="AO80" s="498">
        <v>38.9</v>
      </c>
      <c r="AP80" s="498">
        <v>54.5</v>
      </c>
      <c r="AQ80" s="498">
        <f t="shared" ref="AQ80:AQ85" si="82">AR80</f>
        <v>77.400000000000006</v>
      </c>
      <c r="AR80" s="498">
        <v>77.400000000000006</v>
      </c>
      <c r="AS80" s="498">
        <v>26.4</v>
      </c>
      <c r="AT80" s="498">
        <v>63.8</v>
      </c>
      <c r="AU80" s="498">
        <v>96</v>
      </c>
      <c r="AV80" s="498">
        <f t="shared" ref="AV80:AV85" si="83">AW80</f>
        <v>135.5</v>
      </c>
      <c r="AW80" s="611">
        <v>135.5</v>
      </c>
      <c r="AX80" s="498">
        <v>39.6</v>
      </c>
      <c r="AY80" s="498">
        <v>87.6</v>
      </c>
      <c r="AZ80" s="498">
        <v>127.4</v>
      </c>
      <c r="BA80" s="498">
        <f t="shared" ref="BA80:BA85" si="84">BB80</f>
        <v>164.3</v>
      </c>
      <c r="BB80" s="498">
        <v>164.3</v>
      </c>
      <c r="BC80" s="498">
        <v>43.6</v>
      </c>
      <c r="BD80" s="498">
        <v>92.1</v>
      </c>
      <c r="BE80" s="498">
        <v>140.80000000000001</v>
      </c>
      <c r="BF80" s="498">
        <f t="shared" ref="BF80:BF85" si="85">BG80</f>
        <v>187.9</v>
      </c>
      <c r="BG80" s="498">
        <v>187.9</v>
      </c>
      <c r="BH80" s="498">
        <v>50.1</v>
      </c>
      <c r="BI80" s="611">
        <v>100.7</v>
      </c>
      <c r="BJ80" s="498">
        <v>156.5</v>
      </c>
      <c r="BK80" s="498">
        <v>209.4</v>
      </c>
      <c r="BL80" s="498">
        <f t="shared" ref="BL80:BL85" si="86">BK80</f>
        <v>209.4</v>
      </c>
      <c r="BM80" s="498">
        <v>68.099999999999994</v>
      </c>
      <c r="BN80" s="611">
        <v>129.80000000000001</v>
      </c>
      <c r="BO80" s="498">
        <v>183.3</v>
      </c>
      <c r="BP80" s="498">
        <v>237.2</v>
      </c>
      <c r="BQ80" s="498">
        <f t="shared" ref="BQ80:BQ85" si="87">BP80</f>
        <v>237.2</v>
      </c>
      <c r="BR80" s="498">
        <v>56</v>
      </c>
      <c r="BS80" s="611">
        <v>122.1</v>
      </c>
      <c r="BT80" s="498">
        <v>190.3</v>
      </c>
      <c r="BU80" s="498">
        <v>249.8</v>
      </c>
      <c r="BV80" s="498">
        <f t="shared" ref="BV80:BV85" si="88">BU80</f>
        <v>249.8</v>
      </c>
      <c r="BW80" s="498">
        <v>64.599999999999994</v>
      </c>
      <c r="BX80" s="498">
        <v>126.2</v>
      </c>
      <c r="BY80" s="498">
        <v>195.9</v>
      </c>
      <c r="BZ80" s="498">
        <v>284</v>
      </c>
      <c r="CA80" s="498">
        <f t="shared" ref="CA80:CA85" si="89">BZ80</f>
        <v>284</v>
      </c>
      <c r="CB80" s="498">
        <v>61.6</v>
      </c>
      <c r="CC80" s="611">
        <v>130.4</v>
      </c>
      <c r="CD80" s="498">
        <v>210.5</v>
      </c>
      <c r="CE80" s="498">
        <v>276.60000000000002</v>
      </c>
      <c r="CF80" s="498">
        <f t="shared" ref="CF80:CF85" si="90">CE80</f>
        <v>276.60000000000002</v>
      </c>
      <c r="CG80" s="498">
        <v>72.2</v>
      </c>
      <c r="CH80" s="611">
        <v>153.1</v>
      </c>
      <c r="CI80" s="498">
        <v>233.4</v>
      </c>
      <c r="CJ80" s="498">
        <v>306.60000000000002</v>
      </c>
      <c r="CK80" s="498">
        <f t="shared" ref="CK80:CK85" si="91">CJ80</f>
        <v>306.60000000000002</v>
      </c>
      <c r="CL80" s="498">
        <v>42.4</v>
      </c>
      <c r="CM80" s="611"/>
    </row>
    <row r="81" spans="2:93" hidden="1" outlineLevel="1">
      <c r="B81" s="498" t="s">
        <v>241</v>
      </c>
      <c r="C81" s="613">
        <v>0</v>
      </c>
      <c r="D81" s="613">
        <v>0</v>
      </c>
      <c r="E81" s="613">
        <v>0</v>
      </c>
      <c r="F81" s="613">
        <v>0</v>
      </c>
      <c r="G81" s="613">
        <v>0</v>
      </c>
      <c r="H81" s="613">
        <v>0</v>
      </c>
      <c r="I81" s="613">
        <v>0</v>
      </c>
      <c r="J81" s="613">
        <v>0</v>
      </c>
      <c r="K81" s="613">
        <v>0</v>
      </c>
      <c r="L81" s="613">
        <v>0</v>
      </c>
      <c r="M81" s="613">
        <f t="shared" si="76"/>
        <v>0</v>
      </c>
      <c r="N81" s="613">
        <v>0</v>
      </c>
      <c r="O81" s="613">
        <v>0</v>
      </c>
      <c r="P81" s="613">
        <v>0</v>
      </c>
      <c r="Q81" s="613">
        <v>0</v>
      </c>
      <c r="R81" s="613">
        <f t="shared" si="77"/>
        <v>0</v>
      </c>
      <c r="S81" s="613">
        <v>0</v>
      </c>
      <c r="T81" s="613">
        <v>0</v>
      </c>
      <c r="U81" s="613">
        <v>0</v>
      </c>
      <c r="V81" s="613">
        <v>0</v>
      </c>
      <c r="W81" s="613">
        <f t="shared" si="78"/>
        <v>-1.8</v>
      </c>
      <c r="X81" s="613">
        <v>-1.8</v>
      </c>
      <c r="Y81" s="613">
        <v>-8.6999999999999993</v>
      </c>
      <c r="Z81" s="613">
        <v>0</v>
      </c>
      <c r="AA81" s="613">
        <v>0.9</v>
      </c>
      <c r="AB81" s="613">
        <f t="shared" si="79"/>
        <v>2</v>
      </c>
      <c r="AC81" s="613">
        <v>2</v>
      </c>
      <c r="AD81" s="613">
        <v>0</v>
      </c>
      <c r="AE81" s="613">
        <v>0</v>
      </c>
      <c r="AF81" s="613">
        <v>0</v>
      </c>
      <c r="AG81" s="613">
        <f t="shared" si="80"/>
        <v>0</v>
      </c>
      <c r="AH81" s="613">
        <v>0</v>
      </c>
      <c r="AI81" s="613">
        <v>0</v>
      </c>
      <c r="AJ81" s="613">
        <v>0</v>
      </c>
      <c r="AK81" s="613">
        <v>0</v>
      </c>
      <c r="AL81" s="613">
        <v>0</v>
      </c>
      <c r="AM81" s="613">
        <f t="shared" si="81"/>
        <v>0</v>
      </c>
      <c r="AN81" s="613">
        <v>0</v>
      </c>
      <c r="AO81" s="613">
        <v>0</v>
      </c>
      <c r="AP81" s="613">
        <v>0</v>
      </c>
      <c r="AQ81" s="613">
        <f t="shared" si="82"/>
        <v>0</v>
      </c>
      <c r="AR81" s="613">
        <v>0</v>
      </c>
      <c r="AS81" s="613">
        <v>0</v>
      </c>
      <c r="AT81" s="613">
        <v>0</v>
      </c>
      <c r="AU81" s="613">
        <v>0</v>
      </c>
      <c r="AV81" s="613">
        <f t="shared" si="83"/>
        <v>0</v>
      </c>
      <c r="AW81" s="615">
        <v>0</v>
      </c>
      <c r="AX81" s="613">
        <v>0</v>
      </c>
      <c r="AY81" s="613">
        <v>0</v>
      </c>
      <c r="AZ81" s="613">
        <v>0</v>
      </c>
      <c r="BA81" s="613">
        <f t="shared" si="84"/>
        <v>0</v>
      </c>
      <c r="BB81" s="613">
        <v>0</v>
      </c>
      <c r="BC81" s="613">
        <v>0</v>
      </c>
      <c r="BD81" s="498">
        <v>0</v>
      </c>
      <c r="BE81" s="498">
        <v>0</v>
      </c>
      <c r="BF81" s="498">
        <f t="shared" si="85"/>
        <v>0</v>
      </c>
      <c r="BG81" s="613">
        <v>0</v>
      </c>
      <c r="BH81" s="498">
        <v>0</v>
      </c>
      <c r="BI81" s="611">
        <v>0</v>
      </c>
      <c r="BJ81" s="611">
        <v>0</v>
      </c>
      <c r="BK81" s="498">
        <v>0</v>
      </c>
      <c r="BL81" s="498">
        <f t="shared" si="86"/>
        <v>0</v>
      </c>
      <c r="BM81" s="498">
        <v>0</v>
      </c>
      <c r="BN81" s="611">
        <v>0</v>
      </c>
      <c r="BO81" s="611">
        <v>0</v>
      </c>
      <c r="BP81" s="498">
        <v>0</v>
      </c>
      <c r="BQ81" s="498">
        <f t="shared" si="87"/>
        <v>0</v>
      </c>
      <c r="BS81" s="611"/>
      <c r="BT81" s="611"/>
      <c r="BV81" s="498">
        <f t="shared" si="88"/>
        <v>0</v>
      </c>
      <c r="BW81" s="498">
        <v>0</v>
      </c>
      <c r="BY81" s="611"/>
      <c r="CA81" s="498">
        <f t="shared" si="89"/>
        <v>0</v>
      </c>
      <c r="CC81" s="611"/>
      <c r="CD81" s="611"/>
      <c r="CF81" s="498">
        <f t="shared" si="90"/>
        <v>0</v>
      </c>
      <c r="CH81" s="611"/>
      <c r="CI81" s="611"/>
      <c r="CK81" s="498">
        <f t="shared" si="91"/>
        <v>0</v>
      </c>
      <c r="CM81" s="611"/>
      <c r="CN81" s="611"/>
    </row>
    <row r="82" spans="2:93" collapsed="1">
      <c r="B82" s="498" t="s">
        <v>62</v>
      </c>
      <c r="C82" s="498">
        <f t="shared" ref="C82:L82" si="92">SUM(C80:C81)</f>
        <v>73.36</v>
      </c>
      <c r="D82" s="498">
        <f t="shared" si="92"/>
        <v>50.439</v>
      </c>
      <c r="E82" s="498">
        <f t="shared" si="92"/>
        <v>-23.3</v>
      </c>
      <c r="F82" s="498">
        <f t="shared" si="92"/>
        <v>54.2</v>
      </c>
      <c r="G82" s="498">
        <f t="shared" si="92"/>
        <v>-433.7</v>
      </c>
      <c r="H82" s="498">
        <f t="shared" si="92"/>
        <v>-13.6</v>
      </c>
      <c r="I82" s="498">
        <f t="shared" si="92"/>
        <v>-11.1</v>
      </c>
      <c r="J82" s="498">
        <f t="shared" si="92"/>
        <v>8.1</v>
      </c>
      <c r="K82" s="498">
        <f t="shared" si="92"/>
        <v>16.899999999999999</v>
      </c>
      <c r="L82" s="498">
        <f t="shared" si="92"/>
        <v>21.2</v>
      </c>
      <c r="M82" s="498">
        <f t="shared" si="76"/>
        <v>28.8</v>
      </c>
      <c r="N82" s="498">
        <f>SUM(N80:N81)</f>
        <v>28.8</v>
      </c>
      <c r="O82" s="498">
        <f>SUM(O80:O81)</f>
        <v>-22.4</v>
      </c>
      <c r="P82" s="498">
        <f>SUM(P80:P81)</f>
        <v>3.8</v>
      </c>
      <c r="Q82" s="498">
        <f>SUM(Q80:Q81)</f>
        <v>4.9000000000000004</v>
      </c>
      <c r="R82" s="498">
        <f t="shared" si="77"/>
        <v>141.30000000000001</v>
      </c>
      <c r="S82" s="498">
        <f>SUM(S80:S81)</f>
        <v>141.30000000000001</v>
      </c>
      <c r="T82" s="498">
        <f>SUM(T80:T81)</f>
        <v>14.5</v>
      </c>
      <c r="U82" s="498">
        <f>SUM(U80:U81)</f>
        <v>32.1</v>
      </c>
      <c r="V82" s="498">
        <f>SUM(V80:V81)</f>
        <v>47.8</v>
      </c>
      <c r="W82" s="498">
        <f t="shared" si="78"/>
        <v>64.100000000000009</v>
      </c>
      <c r="X82" s="498">
        <f>SUM(X80:X81)</f>
        <v>64.100000000000009</v>
      </c>
      <c r="Y82" s="498">
        <f>SUM(Y80:Y81)</f>
        <v>14.8</v>
      </c>
      <c r="Z82" s="498">
        <v>32.299999999999997</v>
      </c>
      <c r="AA82" s="498">
        <f>SUM(AA80:AA81)</f>
        <v>50.4</v>
      </c>
      <c r="AB82" s="498">
        <f t="shared" si="79"/>
        <v>63.3</v>
      </c>
      <c r="AC82" s="498">
        <f>SUM(AC80:AC81)</f>
        <v>63.3</v>
      </c>
      <c r="AD82" s="498">
        <f>SUM(AD80:AD81)</f>
        <v>23.2</v>
      </c>
      <c r="AE82" s="498">
        <f>SUM(AE80:AE81)</f>
        <v>49.9</v>
      </c>
      <c r="AF82" s="498">
        <f>SUM(AF80:AF81)</f>
        <v>82.9</v>
      </c>
      <c r="AG82" s="498">
        <f t="shared" si="80"/>
        <v>111.2</v>
      </c>
      <c r="AH82" s="498">
        <v>111.2</v>
      </c>
      <c r="AI82" s="498">
        <f>SUM(AI80:AI81)</f>
        <v>23.4</v>
      </c>
      <c r="AJ82" s="498">
        <f>SUM(AJ80:AJ81)</f>
        <v>40.200000000000003</v>
      </c>
      <c r="AK82" s="498">
        <f>SUM(AK80:AK81)</f>
        <v>50.6</v>
      </c>
      <c r="AL82" s="498">
        <f>SUM(AL80:AL81)</f>
        <v>56.3</v>
      </c>
      <c r="AM82" s="498">
        <f t="shared" si="81"/>
        <v>56.3</v>
      </c>
      <c r="AN82" s="498">
        <f>SUM(AN80:AN81)</f>
        <v>15.8</v>
      </c>
      <c r="AO82" s="498">
        <f>SUM(AO80:AO81)</f>
        <v>38.9</v>
      </c>
      <c r="AP82" s="498">
        <f>SUM(AP80:AP81)</f>
        <v>54.5</v>
      </c>
      <c r="AQ82" s="498">
        <f t="shared" si="82"/>
        <v>77.400000000000006</v>
      </c>
      <c r="AR82" s="498">
        <f>SUM(AR80:AR81)</f>
        <v>77.400000000000006</v>
      </c>
      <c r="AS82" s="498">
        <f>SUM(AS80:AS81)</f>
        <v>26.4</v>
      </c>
      <c r="AT82" s="498">
        <f>SUM(AT80:AT81)</f>
        <v>63.8</v>
      </c>
      <c r="AU82" s="498">
        <f>SUM(AU80:AU81)</f>
        <v>96</v>
      </c>
      <c r="AV82" s="498">
        <f t="shared" si="83"/>
        <v>135.5</v>
      </c>
      <c r="AW82" s="611">
        <f>SUM(AW80:AW81)</f>
        <v>135.5</v>
      </c>
      <c r="AX82" s="498">
        <f>SUM(AX80:AX81)</f>
        <v>39.6</v>
      </c>
      <c r="AY82" s="498">
        <f>SUM(AY80:AY81)</f>
        <v>87.6</v>
      </c>
      <c r="AZ82" s="498">
        <f>SUM(AZ80:AZ81)</f>
        <v>127.4</v>
      </c>
      <c r="BA82" s="498">
        <f t="shared" si="84"/>
        <v>164.3</v>
      </c>
      <c r="BB82" s="687">
        <f>SUM(BB80:BB81)</f>
        <v>164.3</v>
      </c>
      <c r="BC82" s="687">
        <f>SUM(BC80:BC81)</f>
        <v>43.6</v>
      </c>
      <c r="BD82" s="687">
        <f>SUM(BD80:BD81)</f>
        <v>92.1</v>
      </c>
      <c r="BE82" s="687">
        <f>SUM(BE80:BE81)</f>
        <v>140.80000000000001</v>
      </c>
      <c r="BF82" s="687">
        <f t="shared" si="85"/>
        <v>187.9</v>
      </c>
      <c r="BG82" s="687">
        <f>SUM(BG80:BG81)</f>
        <v>187.9</v>
      </c>
      <c r="BH82" s="687">
        <f>SUM(BH80:BH81)</f>
        <v>50.1</v>
      </c>
      <c r="BI82" s="687">
        <f>SUM(BI80:BI81)</f>
        <v>100.7</v>
      </c>
      <c r="BJ82" s="687">
        <f>SUM(BJ80:BJ81)</f>
        <v>156.5</v>
      </c>
      <c r="BK82" s="687">
        <f>SUM(BK80:BK81)</f>
        <v>209.4</v>
      </c>
      <c r="BL82" s="687">
        <f t="shared" si="86"/>
        <v>209.4</v>
      </c>
      <c r="BM82" s="687">
        <f>SUM(BM80:BM81)</f>
        <v>68.099999999999994</v>
      </c>
      <c r="BN82" s="687">
        <f>SUM(BN80:BN81)</f>
        <v>129.80000000000001</v>
      </c>
      <c r="BO82" s="687">
        <f>SUM(BO80:BO81)</f>
        <v>183.3</v>
      </c>
      <c r="BP82" s="687">
        <f>SUM(BP80:BP81)</f>
        <v>237.2</v>
      </c>
      <c r="BQ82" s="687">
        <f t="shared" si="87"/>
        <v>237.2</v>
      </c>
      <c r="BR82" s="687">
        <f>SUM(BR80:BR81)</f>
        <v>56</v>
      </c>
      <c r="BS82" s="687">
        <f>SUM(BS80:BS81)</f>
        <v>122.1</v>
      </c>
      <c r="BT82" s="687">
        <f>SUM(BT80:BT81)</f>
        <v>190.3</v>
      </c>
      <c r="BU82" s="687">
        <f>SUM(BU80:BU81)</f>
        <v>249.8</v>
      </c>
      <c r="BV82" s="687">
        <f t="shared" si="88"/>
        <v>249.8</v>
      </c>
      <c r="BW82" s="687">
        <f>SUM(BW80:BW81)</f>
        <v>64.599999999999994</v>
      </c>
      <c r="BX82" s="687">
        <f>SUM(BX80:BX81)</f>
        <v>126.2</v>
      </c>
      <c r="BY82" s="687">
        <f>SUM(BY80:BY81)</f>
        <v>195.9</v>
      </c>
      <c r="BZ82" s="687">
        <f>SUM(BZ80:BZ81)</f>
        <v>284</v>
      </c>
      <c r="CA82" s="687">
        <f t="shared" si="89"/>
        <v>284</v>
      </c>
      <c r="CB82" s="687">
        <f>SUM(CB80:CB81)</f>
        <v>61.6</v>
      </c>
      <c r="CC82" s="687">
        <f>SUM(CC80:CC81)</f>
        <v>130.4</v>
      </c>
      <c r="CD82" s="687">
        <f>SUM(CD80:CD81)</f>
        <v>210.5</v>
      </c>
      <c r="CE82" s="687">
        <f>SUM(CE80:CE81)</f>
        <v>276.60000000000002</v>
      </c>
      <c r="CF82" s="687">
        <f t="shared" si="90"/>
        <v>276.60000000000002</v>
      </c>
      <c r="CG82" s="687">
        <f>SUM(CG80:CG81)</f>
        <v>72.2</v>
      </c>
      <c r="CH82" s="687">
        <f>SUM(CH80:CH81)</f>
        <v>153.1</v>
      </c>
      <c r="CI82" s="687">
        <f>SUM(CI80:CI81)</f>
        <v>233.4</v>
      </c>
      <c r="CJ82" s="687">
        <f>SUM(CJ80:CJ81)</f>
        <v>306.60000000000002</v>
      </c>
      <c r="CK82" s="687">
        <f t="shared" si="91"/>
        <v>306.60000000000002</v>
      </c>
      <c r="CL82" s="611">
        <f>SUM(CL80:CL81)</f>
        <v>42.4</v>
      </c>
      <c r="CM82" s="611"/>
      <c r="CN82" s="611"/>
      <c r="CO82" s="611"/>
    </row>
    <row r="83" spans="2:93">
      <c r="B83" s="636" t="s">
        <v>63</v>
      </c>
      <c r="C83" s="498">
        <v>35.796999999999997</v>
      </c>
      <c r="D83" s="498">
        <v>37.442</v>
      </c>
      <c r="E83" s="498">
        <v>47.9</v>
      </c>
      <c r="F83" s="498">
        <v>45.6</v>
      </c>
      <c r="G83" s="498">
        <v>50.7</v>
      </c>
      <c r="H83" s="498">
        <v>47.2</v>
      </c>
      <c r="I83" s="498">
        <v>52.2</v>
      </c>
      <c r="J83" s="498">
        <v>13.3</v>
      </c>
      <c r="K83" s="498">
        <v>26.5</v>
      </c>
      <c r="L83" s="498">
        <v>38.9</v>
      </c>
      <c r="M83" s="498">
        <f t="shared" si="76"/>
        <v>52</v>
      </c>
      <c r="N83" s="498">
        <v>52</v>
      </c>
      <c r="O83" s="498">
        <v>12.3</v>
      </c>
      <c r="P83" s="498">
        <v>24.1</v>
      </c>
      <c r="Q83" s="498">
        <v>35.5</v>
      </c>
      <c r="R83" s="498">
        <f t="shared" si="77"/>
        <v>47.3</v>
      </c>
      <c r="S83" s="498">
        <v>47.3</v>
      </c>
      <c r="T83" s="498">
        <v>11.6</v>
      </c>
      <c r="U83" s="498">
        <v>23.4</v>
      </c>
      <c r="V83" s="498">
        <v>33.700000000000003</v>
      </c>
      <c r="W83" s="498">
        <f t="shared" si="78"/>
        <v>43.4</v>
      </c>
      <c r="X83" s="498">
        <v>43.4</v>
      </c>
      <c r="Y83" s="498">
        <v>9.6999999999999993</v>
      </c>
      <c r="Z83" s="498">
        <v>19.600000000000001</v>
      </c>
      <c r="AA83" s="498">
        <v>29.8</v>
      </c>
      <c r="AB83" s="498">
        <f t="shared" si="79"/>
        <v>39.799999999999997</v>
      </c>
      <c r="AC83" s="498">
        <v>39.799999999999997</v>
      </c>
      <c r="AD83" s="498">
        <v>11</v>
      </c>
      <c r="AE83" s="498">
        <v>22.4</v>
      </c>
      <c r="AF83" s="498">
        <v>33.200000000000003</v>
      </c>
      <c r="AG83" s="498">
        <f t="shared" si="80"/>
        <v>43.9</v>
      </c>
      <c r="AH83" s="498">
        <v>43.9</v>
      </c>
      <c r="AI83" s="498">
        <v>10.9</v>
      </c>
      <c r="AJ83" s="498">
        <v>22.5</v>
      </c>
      <c r="AK83" s="498">
        <v>34.5</v>
      </c>
      <c r="AL83" s="498">
        <v>46.6</v>
      </c>
      <c r="AM83" s="498">
        <f t="shared" si="81"/>
        <v>46.6</v>
      </c>
      <c r="AN83" s="498">
        <v>12</v>
      </c>
      <c r="AO83" s="498">
        <v>25.6</v>
      </c>
      <c r="AP83" s="498">
        <v>39.299999999999997</v>
      </c>
      <c r="AQ83" s="498">
        <f t="shared" si="82"/>
        <v>53.2</v>
      </c>
      <c r="AR83" s="498">
        <v>53.2</v>
      </c>
      <c r="AS83" s="498">
        <v>14.1</v>
      </c>
      <c r="AT83" s="498">
        <v>27.9</v>
      </c>
      <c r="AU83" s="498">
        <v>41.6</v>
      </c>
      <c r="AV83" s="498">
        <f t="shared" si="83"/>
        <v>55.3</v>
      </c>
      <c r="AW83" s="611">
        <v>55.3</v>
      </c>
      <c r="AX83" s="498">
        <v>14</v>
      </c>
      <c r="AY83" s="498">
        <v>28.3</v>
      </c>
      <c r="AZ83" s="498">
        <v>43</v>
      </c>
      <c r="BA83" s="498">
        <f t="shared" si="84"/>
        <v>57.2</v>
      </c>
      <c r="BB83" s="692">
        <v>57.2</v>
      </c>
      <c r="BC83" s="692">
        <v>14.3</v>
      </c>
      <c r="BD83" s="692">
        <v>28.1</v>
      </c>
      <c r="BE83" s="692">
        <v>42.8</v>
      </c>
      <c r="BF83" s="692">
        <f t="shared" si="85"/>
        <v>59.3</v>
      </c>
      <c r="BG83" s="692">
        <v>59.3</v>
      </c>
      <c r="BH83" s="692">
        <v>17.100000000000001</v>
      </c>
      <c r="BI83" s="694">
        <v>34.799999999999997</v>
      </c>
      <c r="BJ83" s="692">
        <v>52.6</v>
      </c>
      <c r="BK83" s="692">
        <v>71.2</v>
      </c>
      <c r="BL83" s="692">
        <f t="shared" si="86"/>
        <v>71.2</v>
      </c>
      <c r="BM83" s="692">
        <v>18.3</v>
      </c>
      <c r="BN83" s="694">
        <v>37.200000000000003</v>
      </c>
      <c r="BO83" s="692">
        <v>56.5</v>
      </c>
      <c r="BP83" s="692">
        <v>76.400000000000006</v>
      </c>
      <c r="BQ83" s="692">
        <f t="shared" si="87"/>
        <v>76.400000000000006</v>
      </c>
      <c r="BR83" s="692">
        <v>22.2</v>
      </c>
      <c r="BS83" s="694">
        <v>45.5</v>
      </c>
      <c r="BT83" s="692">
        <v>69</v>
      </c>
      <c r="BU83" s="692">
        <v>93.3</v>
      </c>
      <c r="BV83" s="692">
        <f t="shared" si="88"/>
        <v>93.3</v>
      </c>
      <c r="BW83" s="692">
        <v>24.4</v>
      </c>
      <c r="BX83" s="692">
        <v>49.5</v>
      </c>
      <c r="BY83" s="692">
        <v>76.3</v>
      </c>
      <c r="BZ83" s="692">
        <v>104.5</v>
      </c>
      <c r="CA83" s="692">
        <f t="shared" si="89"/>
        <v>104.5</v>
      </c>
      <c r="CB83" s="692">
        <v>29.8</v>
      </c>
      <c r="CC83" s="694">
        <v>59.6</v>
      </c>
      <c r="CD83" s="692">
        <v>90.8</v>
      </c>
      <c r="CE83" s="692">
        <v>123.1</v>
      </c>
      <c r="CF83" s="692">
        <f t="shared" si="90"/>
        <v>123.1</v>
      </c>
      <c r="CG83" s="692">
        <v>38.700000000000003</v>
      </c>
      <c r="CH83" s="694">
        <v>72.7</v>
      </c>
      <c r="CI83" s="692">
        <v>107.1</v>
      </c>
      <c r="CJ83" s="692">
        <v>141.69999999999999</v>
      </c>
      <c r="CK83" s="692">
        <f t="shared" si="91"/>
        <v>141.69999999999999</v>
      </c>
      <c r="CL83" s="498">
        <v>35.5</v>
      </c>
      <c r="CM83" s="611"/>
    </row>
    <row r="84" spans="2:93">
      <c r="B84" s="636" t="s">
        <v>242</v>
      </c>
      <c r="C84" s="498">
        <v>-33.203000000000003</v>
      </c>
      <c r="D84" s="498">
        <v>10.012</v>
      </c>
      <c r="E84" s="498">
        <v>13.4</v>
      </c>
      <c r="F84" s="498">
        <v>13.1</v>
      </c>
      <c r="G84" s="498">
        <v>12.5</v>
      </c>
      <c r="H84" s="498">
        <v>0</v>
      </c>
      <c r="I84" s="498">
        <v>3.5</v>
      </c>
      <c r="J84" s="498">
        <v>0.9</v>
      </c>
      <c r="K84" s="498">
        <v>1.7</v>
      </c>
      <c r="L84" s="498">
        <v>2.6</v>
      </c>
      <c r="M84" s="498">
        <f t="shared" si="76"/>
        <v>3.3</v>
      </c>
      <c r="N84" s="498">
        <v>3.3</v>
      </c>
      <c r="O84" s="498">
        <v>0.8</v>
      </c>
      <c r="P84" s="498">
        <v>1.2</v>
      </c>
      <c r="Q84" s="498">
        <v>1.7</v>
      </c>
      <c r="R84" s="498">
        <f t="shared" si="77"/>
        <v>2</v>
      </c>
      <c r="S84" s="498">
        <v>2</v>
      </c>
      <c r="T84" s="498">
        <v>0.4</v>
      </c>
      <c r="U84" s="498">
        <v>0.9</v>
      </c>
      <c r="V84" s="498">
        <v>1.3</v>
      </c>
      <c r="W84" s="498">
        <f t="shared" si="78"/>
        <v>1.6</v>
      </c>
      <c r="X84" s="498">
        <v>1.6</v>
      </c>
      <c r="Y84" s="498">
        <v>0.4</v>
      </c>
      <c r="Z84" s="498">
        <v>0.9</v>
      </c>
      <c r="AA84" s="498">
        <v>1.4</v>
      </c>
      <c r="AB84" s="498">
        <f t="shared" si="79"/>
        <v>1.7</v>
      </c>
      <c r="AC84" s="498">
        <v>1.7</v>
      </c>
      <c r="AD84" s="498">
        <v>0.4</v>
      </c>
      <c r="AE84" s="498">
        <v>0.8</v>
      </c>
      <c r="AF84" s="498">
        <v>1.2</v>
      </c>
      <c r="AG84" s="498">
        <f t="shared" si="80"/>
        <v>1.7</v>
      </c>
      <c r="AH84" s="498">
        <v>1.7</v>
      </c>
      <c r="AI84" s="498">
        <v>0.5</v>
      </c>
      <c r="AJ84" s="498">
        <v>2.8</v>
      </c>
      <c r="AK84" s="498">
        <v>4</v>
      </c>
      <c r="AL84" s="498">
        <v>4.9000000000000004</v>
      </c>
      <c r="AM84" s="498">
        <f t="shared" si="81"/>
        <v>4.9000000000000004</v>
      </c>
      <c r="AN84" s="498">
        <v>1.5</v>
      </c>
      <c r="AO84" s="498">
        <v>2.4</v>
      </c>
      <c r="AP84" s="498">
        <v>9.8000000000000007</v>
      </c>
      <c r="AQ84" s="498">
        <f t="shared" si="82"/>
        <v>10.3</v>
      </c>
      <c r="AR84" s="498">
        <v>10.3</v>
      </c>
      <c r="AS84" s="498">
        <v>5.4</v>
      </c>
      <c r="AT84" s="498">
        <v>5.9</v>
      </c>
      <c r="AU84" s="498">
        <v>6.4</v>
      </c>
      <c r="AV84" s="498">
        <f t="shared" si="83"/>
        <v>7.1</v>
      </c>
      <c r="AW84" s="611">
        <v>7.1</v>
      </c>
      <c r="AX84" s="498">
        <v>0.5</v>
      </c>
      <c r="AY84" s="498">
        <v>2.1</v>
      </c>
      <c r="AZ84" s="498">
        <v>2.5</v>
      </c>
      <c r="BA84" s="498">
        <f t="shared" si="84"/>
        <v>3.1</v>
      </c>
      <c r="BB84" s="692">
        <v>3.1</v>
      </c>
      <c r="BC84" s="692">
        <v>0.5</v>
      </c>
      <c r="BD84" s="692">
        <v>1.5</v>
      </c>
      <c r="BE84" s="692">
        <v>1.8</v>
      </c>
      <c r="BF84" s="692">
        <f t="shared" si="85"/>
        <v>2.1</v>
      </c>
      <c r="BG84" s="692">
        <v>2.1</v>
      </c>
      <c r="BH84" s="692">
        <v>0.3</v>
      </c>
      <c r="BI84" s="694">
        <v>0.6</v>
      </c>
      <c r="BJ84" s="692">
        <v>1.3</v>
      </c>
      <c r="BK84" s="692">
        <v>1.6</v>
      </c>
      <c r="BL84" s="692">
        <f t="shared" si="86"/>
        <v>1.6</v>
      </c>
      <c r="BM84" s="692">
        <v>0.3</v>
      </c>
      <c r="BN84" s="694">
        <v>0.5</v>
      </c>
      <c r="BO84" s="692">
        <v>0.8</v>
      </c>
      <c r="BP84" s="692">
        <v>1.1000000000000001</v>
      </c>
      <c r="BQ84" s="692">
        <f t="shared" si="87"/>
        <v>1.1000000000000001</v>
      </c>
      <c r="BR84" s="692">
        <v>0.3</v>
      </c>
      <c r="BS84" s="694">
        <v>1.1000000000000001</v>
      </c>
      <c r="BT84" s="692">
        <v>1.4</v>
      </c>
      <c r="BU84" s="692">
        <v>1.7</v>
      </c>
      <c r="BV84" s="692">
        <f t="shared" si="88"/>
        <v>1.7</v>
      </c>
      <c r="BW84" s="692">
        <v>0.4</v>
      </c>
      <c r="BX84" s="692">
        <v>0.4</v>
      </c>
      <c r="BY84" s="692">
        <v>0.6</v>
      </c>
      <c r="BZ84" s="692">
        <v>0.7</v>
      </c>
      <c r="CA84" s="692">
        <f t="shared" si="89"/>
        <v>0.7</v>
      </c>
      <c r="CB84" s="692">
        <v>0.3</v>
      </c>
      <c r="CC84" s="694">
        <v>0.7</v>
      </c>
      <c r="CD84" s="692">
        <v>1.2</v>
      </c>
      <c r="CE84" s="692">
        <v>1.6</v>
      </c>
      <c r="CF84" s="692">
        <f t="shared" si="90"/>
        <v>1.6</v>
      </c>
      <c r="CG84" s="692">
        <v>0.3</v>
      </c>
      <c r="CH84" s="694">
        <v>0.9</v>
      </c>
      <c r="CI84" s="692">
        <v>1.1000000000000001</v>
      </c>
      <c r="CJ84" s="692">
        <v>0.9</v>
      </c>
      <c r="CK84" s="692">
        <f t="shared" si="91"/>
        <v>0.9</v>
      </c>
      <c r="CL84" s="498">
        <v>0.3</v>
      </c>
      <c r="CM84" s="611"/>
    </row>
    <row r="85" spans="2:93">
      <c r="B85" s="636" t="s">
        <v>64</v>
      </c>
      <c r="C85" s="498">
        <v>8</v>
      </c>
      <c r="D85" s="498">
        <v>6.85</v>
      </c>
      <c r="E85" s="498">
        <v>-15.8</v>
      </c>
      <c r="F85" s="498">
        <v>8.6</v>
      </c>
      <c r="G85" s="498">
        <v>27.6</v>
      </c>
      <c r="H85" s="498">
        <v>1.7</v>
      </c>
      <c r="I85" s="498">
        <v>4.8</v>
      </c>
      <c r="J85" s="498">
        <v>-0.2</v>
      </c>
      <c r="K85" s="498">
        <v>-0.1</v>
      </c>
      <c r="L85" s="498">
        <v>-0.5</v>
      </c>
      <c r="M85" s="498">
        <f t="shared" si="76"/>
        <v>-1.1000000000000001</v>
      </c>
      <c r="N85" s="498">
        <v>-1.1000000000000001</v>
      </c>
      <c r="P85" s="498">
        <v>0.3</v>
      </c>
      <c r="Q85" s="498">
        <v>1</v>
      </c>
      <c r="R85" s="498">
        <f t="shared" si="77"/>
        <v>-118.4</v>
      </c>
      <c r="S85" s="498">
        <v>-118.4</v>
      </c>
      <c r="T85" s="498">
        <v>5.5</v>
      </c>
      <c r="U85" s="498">
        <v>10.9</v>
      </c>
      <c r="V85" s="498">
        <v>12.2</v>
      </c>
      <c r="W85" s="498">
        <f t="shared" si="78"/>
        <v>17</v>
      </c>
      <c r="X85" s="498">
        <v>17</v>
      </c>
      <c r="Y85" s="498">
        <v>5.4</v>
      </c>
      <c r="Z85" s="498">
        <v>14.6</v>
      </c>
      <c r="AA85" s="498">
        <v>20.5</v>
      </c>
      <c r="AB85" s="498">
        <f t="shared" si="79"/>
        <v>10</v>
      </c>
      <c r="AC85" s="498">
        <v>10</v>
      </c>
      <c r="AD85" s="498">
        <v>5.6</v>
      </c>
      <c r="AE85" s="498">
        <v>-3.5</v>
      </c>
      <c r="AF85" s="498">
        <v>4.3</v>
      </c>
      <c r="AG85" s="498">
        <f t="shared" si="80"/>
        <v>-6.5</v>
      </c>
      <c r="AH85" s="498">
        <v>-6.5</v>
      </c>
      <c r="AI85" s="498">
        <v>6.8</v>
      </c>
      <c r="AJ85" s="498">
        <v>12.1</v>
      </c>
      <c r="AK85" s="498">
        <v>15.2</v>
      </c>
      <c r="AL85" s="498">
        <v>19.600000000000001</v>
      </c>
      <c r="AM85" s="498">
        <f t="shared" si="81"/>
        <v>19.600000000000001</v>
      </c>
      <c r="AN85" s="498">
        <v>-0.6</v>
      </c>
      <c r="AO85" s="498">
        <v>4.2</v>
      </c>
      <c r="AP85" s="498">
        <v>8.9</v>
      </c>
      <c r="AQ85" s="498">
        <f t="shared" si="82"/>
        <v>16.100000000000001</v>
      </c>
      <c r="AR85" s="498">
        <v>16.100000000000001</v>
      </c>
      <c r="AS85" s="498">
        <v>9.3000000000000007</v>
      </c>
      <c r="AT85" s="498">
        <v>6.7</v>
      </c>
      <c r="AU85" s="498">
        <v>27.4</v>
      </c>
      <c r="AV85" s="498">
        <f t="shared" si="83"/>
        <v>23.4</v>
      </c>
      <c r="AW85" s="611">
        <v>23.4</v>
      </c>
      <c r="AX85" s="498">
        <v>12</v>
      </c>
      <c r="AY85" s="498">
        <v>15.3</v>
      </c>
      <c r="AZ85" s="498">
        <v>21.3</v>
      </c>
      <c r="BA85" s="498">
        <f t="shared" si="84"/>
        <v>30.9</v>
      </c>
      <c r="BB85" s="692">
        <v>30.9</v>
      </c>
      <c r="BC85" s="692">
        <v>1.2</v>
      </c>
      <c r="BD85" s="692">
        <v>17.600000000000001</v>
      </c>
      <c r="BE85" s="692">
        <v>18.100000000000001</v>
      </c>
      <c r="BF85" s="692">
        <f t="shared" si="85"/>
        <v>16.399999999999999</v>
      </c>
      <c r="BG85" s="692">
        <v>16.399999999999999</v>
      </c>
      <c r="BH85" s="692">
        <v>19.3</v>
      </c>
      <c r="BI85" s="694">
        <v>20.9</v>
      </c>
      <c r="BJ85" s="692">
        <v>50.5</v>
      </c>
      <c r="BK85" s="692">
        <v>39.700000000000003</v>
      </c>
      <c r="BL85" s="692">
        <f t="shared" si="86"/>
        <v>39.700000000000003</v>
      </c>
      <c r="BM85" s="692">
        <v>11.3</v>
      </c>
      <c r="BN85" s="694">
        <v>23</v>
      </c>
      <c r="BO85" s="692">
        <v>39.299999999999997</v>
      </c>
      <c r="BP85" s="692">
        <v>53.2</v>
      </c>
      <c r="BQ85" s="692">
        <f t="shared" si="87"/>
        <v>53.2</v>
      </c>
      <c r="BR85" s="692">
        <v>13.1</v>
      </c>
      <c r="BS85" s="694">
        <v>24.6</v>
      </c>
      <c r="BT85" s="692">
        <v>50.5</v>
      </c>
      <c r="BU85" s="692">
        <v>62.8</v>
      </c>
      <c r="BV85" s="692">
        <f t="shared" si="88"/>
        <v>62.8</v>
      </c>
      <c r="BW85" s="692">
        <v>-5.0999999999999996</v>
      </c>
      <c r="BX85" s="692">
        <v>2</v>
      </c>
      <c r="BY85" s="692">
        <v>15.1</v>
      </c>
      <c r="BZ85" s="692">
        <v>3.8</v>
      </c>
      <c r="CA85" s="692">
        <f t="shared" si="89"/>
        <v>3.8</v>
      </c>
      <c r="CB85" s="692">
        <v>10.1</v>
      </c>
      <c r="CC85" s="694">
        <v>12.7</v>
      </c>
      <c r="CD85" s="692">
        <v>27.5</v>
      </c>
      <c r="CE85" s="692">
        <v>29.3</v>
      </c>
      <c r="CF85" s="692">
        <f t="shared" si="90"/>
        <v>29.3</v>
      </c>
      <c r="CG85" s="692">
        <v>4.2</v>
      </c>
      <c r="CH85" s="694">
        <v>6.8</v>
      </c>
      <c r="CI85" s="692">
        <v>9.3000000000000007</v>
      </c>
      <c r="CJ85" s="692">
        <v>16.3</v>
      </c>
      <c r="CK85" s="692">
        <f t="shared" si="91"/>
        <v>16.3</v>
      </c>
      <c r="CL85" s="498">
        <v>-0.6</v>
      </c>
      <c r="CM85" s="611"/>
    </row>
    <row r="86" spans="2:93" hidden="1" outlineLevel="1">
      <c r="B86" s="636" t="s">
        <v>65</v>
      </c>
      <c r="C86" s="498">
        <v>25.343</v>
      </c>
      <c r="D86" s="498">
        <v>12.711</v>
      </c>
      <c r="E86" s="498">
        <v>20.100000000000001</v>
      </c>
      <c r="F86" s="498">
        <v>10.9</v>
      </c>
      <c r="G86" s="498">
        <v>58.4</v>
      </c>
      <c r="H86" s="498">
        <v>0.5</v>
      </c>
      <c r="I86" s="498">
        <v>4</v>
      </c>
      <c r="J86" s="498">
        <v>0.5</v>
      </c>
      <c r="K86" s="498">
        <v>1.4</v>
      </c>
      <c r="L86" s="498">
        <v>2</v>
      </c>
      <c r="M86" s="498">
        <f t="shared" si="76"/>
        <v>2.9</v>
      </c>
      <c r="N86" s="498">
        <v>2.9</v>
      </c>
      <c r="O86" s="498">
        <v>0.4</v>
      </c>
      <c r="P86" s="498">
        <v>0.8</v>
      </c>
      <c r="Q86" s="498">
        <v>1.8</v>
      </c>
      <c r="R86" s="498">
        <f t="shared" si="77"/>
        <v>2.9</v>
      </c>
      <c r="S86" s="498">
        <v>2.9</v>
      </c>
      <c r="T86" s="498">
        <v>3</v>
      </c>
      <c r="U86" s="498">
        <v>4.0999999999999996</v>
      </c>
      <c r="V86" s="498">
        <v>5.5</v>
      </c>
      <c r="W86" s="498">
        <f t="shared" si="78"/>
        <v>14.8</v>
      </c>
      <c r="X86" s="498">
        <v>14.8</v>
      </c>
      <c r="Y86" s="498">
        <v>1.1000000000000001</v>
      </c>
      <c r="Z86" s="498">
        <v>1.6</v>
      </c>
      <c r="AA86" s="498">
        <v>4.0999999999999996</v>
      </c>
      <c r="AB86" s="498">
        <f t="shared" si="79"/>
        <v>7.3</v>
      </c>
      <c r="AC86" s="498">
        <v>7.3</v>
      </c>
      <c r="AD86" s="498">
        <v>0.6</v>
      </c>
      <c r="AE86" s="498">
        <v>1.8</v>
      </c>
      <c r="AF86" s="498">
        <v>2.5</v>
      </c>
      <c r="AG86" s="498">
        <f t="shared" si="80"/>
        <v>3.8</v>
      </c>
      <c r="AH86" s="498">
        <v>3.8</v>
      </c>
      <c r="AI86" s="498">
        <v>0</v>
      </c>
      <c r="AJ86" s="498">
        <v>0</v>
      </c>
      <c r="AK86" s="498">
        <v>0</v>
      </c>
      <c r="AL86" s="498">
        <v>0</v>
      </c>
      <c r="AM86" s="498">
        <f t="shared" si="81"/>
        <v>0</v>
      </c>
      <c r="AW86" s="611"/>
      <c r="BB86" s="704"/>
      <c r="BC86" s="704"/>
      <c r="BD86" s="704"/>
      <c r="BE86" s="704"/>
      <c r="BF86" s="704"/>
      <c r="BG86" s="704"/>
      <c r="BH86" s="704"/>
      <c r="BI86" s="706"/>
      <c r="BJ86" s="704"/>
      <c r="BK86" s="704"/>
      <c r="BL86" s="704"/>
      <c r="BM86" s="704"/>
      <c r="BN86" s="706"/>
      <c r="BO86" s="704"/>
      <c r="BP86" s="704"/>
      <c r="BQ86" s="704"/>
      <c r="BR86" s="704"/>
      <c r="BS86" s="706"/>
      <c r="BT86" s="704"/>
      <c r="BU86" s="704"/>
      <c r="BV86" s="704"/>
      <c r="BW86" s="704"/>
      <c r="BX86" s="704"/>
      <c r="BY86" s="704"/>
      <c r="BZ86" s="704"/>
      <c r="CA86" s="704"/>
      <c r="CB86" s="704"/>
      <c r="CC86" s="706"/>
      <c r="CD86" s="704"/>
      <c r="CE86" s="704"/>
      <c r="CF86" s="704"/>
      <c r="CG86" s="704"/>
      <c r="CH86" s="706"/>
      <c r="CI86" s="704"/>
      <c r="CJ86" s="704"/>
      <c r="CK86" s="704"/>
      <c r="CM86" s="611"/>
    </row>
    <row r="87" spans="2:93" hidden="1" outlineLevel="1">
      <c r="B87" s="636" t="s">
        <v>66</v>
      </c>
      <c r="C87" s="498">
        <v>-33.594999999999999</v>
      </c>
      <c r="D87" s="498">
        <v>-8.6509999999999998</v>
      </c>
      <c r="E87" s="498">
        <v>-9.5</v>
      </c>
      <c r="F87" s="498">
        <v>-11.8</v>
      </c>
      <c r="G87" s="498">
        <v>-12</v>
      </c>
      <c r="H87" s="498">
        <v>-24.3</v>
      </c>
      <c r="I87" s="498">
        <v>-9.1</v>
      </c>
      <c r="J87" s="498">
        <v>-1.5</v>
      </c>
      <c r="K87" s="498">
        <v>-2.8</v>
      </c>
      <c r="L87" s="498">
        <v>-3.8</v>
      </c>
      <c r="M87" s="498">
        <f t="shared" si="76"/>
        <v>-4.7</v>
      </c>
      <c r="N87" s="498">
        <v>-4.7</v>
      </c>
      <c r="O87" s="498">
        <v>-0.8</v>
      </c>
      <c r="P87" s="498">
        <v>-1.1000000000000001</v>
      </c>
      <c r="Q87" s="498">
        <v>-1.9</v>
      </c>
      <c r="R87" s="498">
        <f t="shared" si="77"/>
        <v>-2.7</v>
      </c>
      <c r="S87" s="498">
        <v>-2.7</v>
      </c>
      <c r="T87" s="498">
        <v>-1.1000000000000001</v>
      </c>
      <c r="U87" s="498">
        <v>-3.1</v>
      </c>
      <c r="V87" s="498">
        <v>-5.4</v>
      </c>
      <c r="W87" s="498">
        <f t="shared" si="78"/>
        <v>-8.1999999999999993</v>
      </c>
      <c r="X87" s="498">
        <v>-8.1999999999999993</v>
      </c>
      <c r="Y87" s="498">
        <v>-2.1</v>
      </c>
      <c r="Z87" s="498">
        <v>-8.6</v>
      </c>
      <c r="AA87" s="498">
        <v>-11.2</v>
      </c>
      <c r="AB87" s="498">
        <f t="shared" si="79"/>
        <v>-14.9</v>
      </c>
      <c r="AC87" s="498">
        <v>-14.9</v>
      </c>
      <c r="AD87" s="498">
        <v>-1.5</v>
      </c>
      <c r="AE87" s="498">
        <v>-3.2</v>
      </c>
      <c r="AF87" s="498">
        <v>-3.7</v>
      </c>
      <c r="AG87" s="498">
        <f t="shared" si="80"/>
        <v>-4.3</v>
      </c>
      <c r="AH87" s="498">
        <v>-4.3</v>
      </c>
      <c r="AI87" s="498">
        <v>-0.4</v>
      </c>
      <c r="AJ87" s="498">
        <v>-1.3</v>
      </c>
      <c r="AK87" s="498">
        <v>-1.5</v>
      </c>
      <c r="AL87" s="498">
        <v>-1.7</v>
      </c>
      <c r="AM87" s="498">
        <f t="shared" si="81"/>
        <v>-1.7</v>
      </c>
      <c r="AO87" s="498">
        <v>-0.4</v>
      </c>
      <c r="AP87" s="498">
        <v>-0.5</v>
      </c>
      <c r="AQ87" s="498">
        <f>AR87</f>
        <v>-0.8</v>
      </c>
      <c r="AR87" s="498">
        <v>-0.8</v>
      </c>
      <c r="AW87" s="611"/>
      <c r="BB87" s="704"/>
      <c r="BC87" s="704"/>
      <c r="BD87" s="704"/>
      <c r="BE87" s="704"/>
      <c r="BF87" s="704"/>
      <c r="BG87" s="704"/>
      <c r="BH87" s="704"/>
      <c r="BI87" s="706"/>
      <c r="BJ87" s="704"/>
      <c r="BK87" s="704"/>
      <c r="BL87" s="704"/>
      <c r="BM87" s="704"/>
      <c r="BN87" s="706"/>
      <c r="BO87" s="704"/>
      <c r="BP87" s="704"/>
      <c r="BQ87" s="704"/>
      <c r="BR87" s="704"/>
      <c r="BS87" s="706"/>
      <c r="BT87" s="704"/>
      <c r="BU87" s="704"/>
      <c r="BV87" s="704"/>
      <c r="BW87" s="704"/>
      <c r="BX87" s="704"/>
      <c r="BY87" s="704"/>
      <c r="BZ87" s="704"/>
      <c r="CA87" s="704"/>
      <c r="CB87" s="704"/>
      <c r="CC87" s="706"/>
      <c r="CD87" s="704"/>
      <c r="CE87" s="704"/>
      <c r="CF87" s="704"/>
      <c r="CG87" s="704"/>
      <c r="CH87" s="706"/>
      <c r="CI87" s="704"/>
      <c r="CJ87" s="704"/>
      <c r="CK87" s="704"/>
      <c r="CM87" s="611"/>
    </row>
    <row r="88" spans="2:93" hidden="1" outlineLevel="1">
      <c r="B88" s="636" t="s">
        <v>67</v>
      </c>
      <c r="H88" s="498">
        <v>-0.5</v>
      </c>
      <c r="I88" s="498">
        <v>0</v>
      </c>
      <c r="M88" s="498">
        <f t="shared" si="76"/>
        <v>0</v>
      </c>
      <c r="P88" s="498">
        <v>0</v>
      </c>
      <c r="R88" s="498">
        <f t="shared" si="77"/>
        <v>40.9</v>
      </c>
      <c r="S88" s="498">
        <v>40.9</v>
      </c>
      <c r="W88" s="498">
        <f t="shared" si="78"/>
        <v>0</v>
      </c>
      <c r="X88" s="498">
        <v>0</v>
      </c>
      <c r="Z88" s="498">
        <v>0.4</v>
      </c>
      <c r="AB88" s="498">
        <f t="shared" si="79"/>
        <v>1.1000000000000001</v>
      </c>
      <c r="AC88" s="498">
        <v>1.1000000000000001</v>
      </c>
      <c r="AG88" s="498">
        <f t="shared" si="80"/>
        <v>0</v>
      </c>
      <c r="AH88" s="498">
        <v>0</v>
      </c>
      <c r="AM88" s="498">
        <f t="shared" si="81"/>
        <v>0</v>
      </c>
      <c r="AW88" s="611"/>
      <c r="BB88" s="704"/>
      <c r="BC88" s="704"/>
      <c r="BD88" s="704"/>
      <c r="BE88" s="704"/>
      <c r="BF88" s="704"/>
      <c r="BG88" s="704"/>
      <c r="BH88" s="704"/>
      <c r="BI88" s="706"/>
      <c r="BJ88" s="704"/>
      <c r="BK88" s="704"/>
      <c r="BL88" s="704"/>
      <c r="BM88" s="704"/>
      <c r="BN88" s="706"/>
      <c r="BO88" s="704"/>
      <c r="BP88" s="704"/>
      <c r="BQ88" s="704"/>
      <c r="BR88" s="704"/>
      <c r="BS88" s="706"/>
      <c r="BT88" s="704"/>
      <c r="BU88" s="704"/>
      <c r="BV88" s="704"/>
      <c r="BW88" s="704"/>
      <c r="BX88" s="704"/>
      <c r="BY88" s="704"/>
      <c r="BZ88" s="704"/>
      <c r="CA88" s="704"/>
      <c r="CB88" s="704"/>
      <c r="CC88" s="706"/>
      <c r="CD88" s="704"/>
      <c r="CE88" s="704"/>
      <c r="CF88" s="704"/>
      <c r="CG88" s="704"/>
      <c r="CH88" s="706"/>
      <c r="CI88" s="704"/>
      <c r="CJ88" s="704"/>
      <c r="CK88" s="704"/>
      <c r="CM88" s="611"/>
    </row>
    <row r="89" spans="2:93" collapsed="1">
      <c r="B89" s="636" t="s">
        <v>243</v>
      </c>
      <c r="D89" s="498">
        <v>-0.51700000000000002</v>
      </c>
      <c r="E89" s="498">
        <v>20</v>
      </c>
      <c r="F89" s="498">
        <v>-5.5</v>
      </c>
      <c r="H89" s="498">
        <v>10</v>
      </c>
      <c r="I89" s="498">
        <v>1.4</v>
      </c>
      <c r="J89" s="498">
        <v>-0.3</v>
      </c>
      <c r="K89" s="498">
        <v>-0.8</v>
      </c>
      <c r="L89" s="498">
        <v>-0.8</v>
      </c>
      <c r="M89" s="498">
        <f t="shared" si="76"/>
        <v>-1.1000000000000001</v>
      </c>
      <c r="N89" s="498">
        <v>-1.1000000000000001</v>
      </c>
      <c r="O89" s="498">
        <v>-0.5</v>
      </c>
      <c r="P89" s="498">
        <v>-1.4</v>
      </c>
      <c r="Q89" s="498">
        <v>-2.6</v>
      </c>
      <c r="R89" s="498">
        <f t="shared" si="77"/>
        <v>-3.6</v>
      </c>
      <c r="S89" s="498">
        <v>-3.6</v>
      </c>
      <c r="T89" s="498">
        <v>-1.1000000000000001</v>
      </c>
      <c r="U89" s="498">
        <v>-2.2000000000000002</v>
      </c>
      <c r="V89" s="498">
        <v>-3.2</v>
      </c>
      <c r="W89" s="498">
        <f t="shared" si="78"/>
        <v>-4.0999999999999996</v>
      </c>
      <c r="X89" s="498">
        <v>-4.0999999999999996</v>
      </c>
      <c r="Y89" s="498">
        <v>-1</v>
      </c>
      <c r="Z89" s="498">
        <v>-2.4</v>
      </c>
      <c r="AA89" s="498">
        <v>-3.2</v>
      </c>
      <c r="AB89" s="498">
        <f t="shared" si="79"/>
        <v>-4.3</v>
      </c>
      <c r="AC89" s="498">
        <v>-4.3</v>
      </c>
      <c r="AD89" s="498">
        <v>-1.4</v>
      </c>
      <c r="AE89" s="498">
        <v>-2.6</v>
      </c>
      <c r="AF89" s="498">
        <v>-3.9</v>
      </c>
      <c r="AG89" s="498">
        <f t="shared" si="80"/>
        <v>-16.2</v>
      </c>
      <c r="AH89" s="498">
        <v>-16.2</v>
      </c>
      <c r="AI89" s="498">
        <v>-0.1</v>
      </c>
      <c r="AJ89" s="498">
        <v>-0.4</v>
      </c>
      <c r="AK89" s="498">
        <v>-0.6</v>
      </c>
      <c r="AL89" s="498">
        <v>-0.7</v>
      </c>
      <c r="AM89" s="498">
        <f t="shared" si="81"/>
        <v>-0.7</v>
      </c>
      <c r="AN89" s="498">
        <v>-0.1</v>
      </c>
      <c r="AO89" s="498">
        <v>-0.4</v>
      </c>
      <c r="AP89" s="498">
        <v>-0.4</v>
      </c>
      <c r="AQ89" s="498">
        <f>AR89</f>
        <v>-0.5</v>
      </c>
      <c r="AR89" s="498">
        <v>-0.5</v>
      </c>
      <c r="AS89" s="498">
        <v>-0.5</v>
      </c>
      <c r="AT89" s="498">
        <v>-0.7</v>
      </c>
      <c r="AU89" s="498">
        <v>-1.1000000000000001</v>
      </c>
      <c r="AV89" s="498">
        <f>AW89</f>
        <v>-1.6</v>
      </c>
      <c r="AW89" s="611">
        <v>-1.6</v>
      </c>
      <c r="AX89" s="498">
        <v>-0.4</v>
      </c>
      <c r="AY89" s="498">
        <v>-0.7</v>
      </c>
      <c r="AZ89" s="498">
        <v>-0.7</v>
      </c>
      <c r="BA89" s="498">
        <f>BB89</f>
        <v>-0.7</v>
      </c>
      <c r="BB89" s="692">
        <v>-0.7</v>
      </c>
      <c r="BC89" s="692">
        <v>-0.2</v>
      </c>
      <c r="BD89" s="692">
        <v>-0.5</v>
      </c>
      <c r="BE89" s="692">
        <v>-0.8</v>
      </c>
      <c r="BF89" s="692">
        <f>BG89</f>
        <v>-1.3</v>
      </c>
      <c r="BG89" s="692">
        <v>-1.3</v>
      </c>
      <c r="BH89" s="692">
        <v>-0.1</v>
      </c>
      <c r="BI89" s="694">
        <v>-0.5</v>
      </c>
      <c r="BJ89" s="692">
        <v>-1.1000000000000001</v>
      </c>
      <c r="BK89" s="692">
        <v>-1.4</v>
      </c>
      <c r="BL89" s="692">
        <f>BK89</f>
        <v>-1.4</v>
      </c>
      <c r="BM89" s="692">
        <v>-0.3</v>
      </c>
      <c r="BN89" s="694">
        <v>-0.9</v>
      </c>
      <c r="BO89" s="692">
        <v>-1.7</v>
      </c>
      <c r="BP89" s="692">
        <v>-2</v>
      </c>
      <c r="BQ89" s="692">
        <f>BP89</f>
        <v>-2</v>
      </c>
      <c r="BR89" s="692">
        <v>-0.4</v>
      </c>
      <c r="BS89" s="694">
        <v>-1.2</v>
      </c>
      <c r="BT89" s="692">
        <v>-1.9</v>
      </c>
      <c r="BU89" s="692">
        <v>-2.5</v>
      </c>
      <c r="BV89" s="692">
        <f>BU89</f>
        <v>-2.5</v>
      </c>
      <c r="BW89" s="692">
        <v>-0.9</v>
      </c>
      <c r="BX89" s="692">
        <v>-1.6</v>
      </c>
      <c r="BY89" s="692">
        <v>-2.8</v>
      </c>
      <c r="BZ89" s="692">
        <v>-3.3</v>
      </c>
      <c r="CA89" s="692">
        <f>BZ89</f>
        <v>-3.3</v>
      </c>
      <c r="CB89" s="692">
        <v>-1.3</v>
      </c>
      <c r="CC89" s="694">
        <v>-2.2999999999999998</v>
      </c>
      <c r="CD89" s="692">
        <v>-4.3</v>
      </c>
      <c r="CE89" s="692">
        <v>-5.6</v>
      </c>
      <c r="CF89" s="692">
        <f>CE89</f>
        <v>-5.6</v>
      </c>
      <c r="CG89" s="692">
        <v>-2</v>
      </c>
      <c r="CH89" s="694">
        <v>-3.3</v>
      </c>
      <c r="CI89" s="692">
        <v>-2.9</v>
      </c>
      <c r="CJ89" s="692">
        <v>-3.7</v>
      </c>
      <c r="CK89" s="692">
        <f>CJ89</f>
        <v>-3.7</v>
      </c>
      <c r="CL89" s="498">
        <v>-0.5</v>
      </c>
      <c r="CM89" s="611"/>
    </row>
    <row r="90" spans="2:93" hidden="1" outlineLevel="1">
      <c r="B90" s="636" t="s">
        <v>68</v>
      </c>
      <c r="M90" s="498">
        <f t="shared" si="76"/>
        <v>0</v>
      </c>
      <c r="R90" s="498">
        <f t="shared" si="77"/>
        <v>0</v>
      </c>
      <c r="U90" s="498">
        <v>1.3</v>
      </c>
      <c r="V90" s="498">
        <v>1.3</v>
      </c>
      <c r="W90" s="498">
        <f t="shared" si="78"/>
        <v>1.3</v>
      </c>
      <c r="X90" s="498">
        <v>1.3</v>
      </c>
      <c r="AB90" s="498">
        <f t="shared" si="79"/>
        <v>0</v>
      </c>
      <c r="AC90" s="498">
        <v>0</v>
      </c>
      <c r="AG90" s="498">
        <f t="shared" si="80"/>
        <v>0</v>
      </c>
      <c r="AH90" s="498">
        <v>0</v>
      </c>
      <c r="AM90" s="498">
        <f t="shared" si="81"/>
        <v>0</v>
      </c>
      <c r="AW90" s="611"/>
      <c r="BB90" s="704"/>
      <c r="BC90" s="704"/>
      <c r="BD90" s="704"/>
      <c r="BE90" s="704"/>
      <c r="BF90" s="704"/>
      <c r="BG90" s="704"/>
      <c r="BH90" s="704"/>
      <c r="BI90" s="706"/>
      <c r="BJ90" s="704"/>
      <c r="BK90" s="704"/>
      <c r="BL90" s="704"/>
      <c r="BM90" s="704"/>
      <c r="BN90" s="706"/>
      <c r="BO90" s="704"/>
      <c r="BP90" s="704"/>
      <c r="BQ90" s="704"/>
      <c r="BR90" s="704"/>
      <c r="BS90" s="706"/>
      <c r="BT90" s="704"/>
      <c r="BU90" s="704"/>
      <c r="BV90" s="704"/>
      <c r="BW90" s="704"/>
      <c r="BX90" s="704"/>
      <c r="BY90" s="704"/>
      <c r="BZ90" s="704"/>
      <c r="CA90" s="704"/>
      <c r="CB90" s="704"/>
      <c r="CC90" s="706"/>
      <c r="CD90" s="704"/>
      <c r="CE90" s="704"/>
      <c r="CF90" s="704"/>
      <c r="CG90" s="704"/>
      <c r="CH90" s="706"/>
      <c r="CI90" s="704"/>
      <c r="CJ90" s="704"/>
      <c r="CK90" s="704"/>
      <c r="CM90" s="611"/>
    </row>
    <row r="91" spans="2:93" collapsed="1">
      <c r="B91" s="636" t="s">
        <v>69</v>
      </c>
      <c r="M91" s="498">
        <f t="shared" si="76"/>
        <v>0</v>
      </c>
      <c r="R91" s="498">
        <f t="shared" si="77"/>
        <v>0</v>
      </c>
      <c r="T91" s="498">
        <v>3.4</v>
      </c>
      <c r="U91" s="498">
        <v>5.9</v>
      </c>
      <c r="V91" s="498">
        <v>7.6</v>
      </c>
      <c r="W91" s="498">
        <f t="shared" si="78"/>
        <v>9.1999999999999993</v>
      </c>
      <c r="X91" s="498">
        <v>9.1999999999999993</v>
      </c>
      <c r="Y91" s="498">
        <v>4.9000000000000004</v>
      </c>
      <c r="Z91" s="498">
        <v>6.7</v>
      </c>
      <c r="AA91" s="498">
        <v>8.1</v>
      </c>
      <c r="AB91" s="498">
        <f t="shared" si="79"/>
        <v>10.4</v>
      </c>
      <c r="AC91" s="498">
        <v>10.4</v>
      </c>
      <c r="AD91" s="498">
        <v>5.2</v>
      </c>
      <c r="AE91" s="498">
        <v>6.9</v>
      </c>
      <c r="AF91" s="498">
        <v>8.6999999999999993</v>
      </c>
      <c r="AG91" s="498">
        <f t="shared" si="80"/>
        <v>9.4</v>
      </c>
      <c r="AH91" s="498">
        <v>9.4</v>
      </c>
      <c r="AI91" s="498">
        <v>4.7</v>
      </c>
      <c r="AJ91" s="498">
        <v>5.5</v>
      </c>
      <c r="AK91" s="498">
        <v>6.7</v>
      </c>
      <c r="AL91" s="498">
        <v>8.3000000000000007</v>
      </c>
      <c r="AM91" s="498">
        <f t="shared" si="81"/>
        <v>8.3000000000000007</v>
      </c>
      <c r="AN91" s="498">
        <v>5.7</v>
      </c>
      <c r="AO91" s="498">
        <v>8.3000000000000007</v>
      </c>
      <c r="AP91" s="498">
        <v>10.5</v>
      </c>
      <c r="AQ91" s="498">
        <f t="shared" ref="AQ91:AQ100" si="93">AR91</f>
        <v>12.4</v>
      </c>
      <c r="AR91" s="498">
        <v>12.4</v>
      </c>
      <c r="AS91" s="498">
        <v>6.4</v>
      </c>
      <c r="AT91" s="498">
        <v>8.8000000000000007</v>
      </c>
      <c r="AU91" s="498">
        <v>11.3</v>
      </c>
      <c r="AV91" s="498">
        <f t="shared" ref="AV91:AV100" si="94">AW91</f>
        <v>13.9</v>
      </c>
      <c r="AW91" s="611">
        <v>13.9</v>
      </c>
      <c r="AX91" s="498">
        <v>7.5</v>
      </c>
      <c r="AY91" s="498">
        <v>10.5</v>
      </c>
      <c r="AZ91" s="498">
        <v>13.1</v>
      </c>
      <c r="BA91" s="498">
        <f t="shared" ref="BA91:BA100" si="95">BB91</f>
        <v>15.8</v>
      </c>
      <c r="BB91" s="692">
        <v>15.8</v>
      </c>
      <c r="BC91" s="692">
        <v>8.6999999999999993</v>
      </c>
      <c r="BD91" s="692">
        <v>12</v>
      </c>
      <c r="BE91" s="692">
        <v>14.7</v>
      </c>
      <c r="BF91" s="692">
        <f>BG91</f>
        <v>18.899999999999999</v>
      </c>
      <c r="BG91" s="692">
        <v>18.899999999999999</v>
      </c>
      <c r="BH91" s="692">
        <v>8.8000000000000007</v>
      </c>
      <c r="BI91" s="694">
        <v>11.5</v>
      </c>
      <c r="BJ91" s="692">
        <v>14</v>
      </c>
      <c r="BK91" s="692">
        <v>17.2</v>
      </c>
      <c r="BL91" s="692">
        <f t="shared" ref="BL91:BL100" si="96">BK91</f>
        <v>17.2</v>
      </c>
      <c r="BM91" s="692">
        <v>12</v>
      </c>
      <c r="BN91" s="694">
        <v>14.4</v>
      </c>
      <c r="BO91" s="692">
        <v>15.2</v>
      </c>
      <c r="BP91" s="692">
        <v>17.899999999999999</v>
      </c>
      <c r="BQ91" s="692">
        <f t="shared" ref="BQ91:BQ100" si="97">BP91</f>
        <v>17.899999999999999</v>
      </c>
      <c r="BR91" s="692">
        <v>10.5</v>
      </c>
      <c r="BS91" s="694">
        <v>12.8</v>
      </c>
      <c r="BT91" s="692">
        <v>13.6</v>
      </c>
      <c r="BU91" s="692">
        <v>16.100000000000001</v>
      </c>
      <c r="BV91" s="692">
        <f t="shared" ref="BV91:BV100" si="98">BU91</f>
        <v>16.100000000000001</v>
      </c>
      <c r="BW91" s="692">
        <v>10.9</v>
      </c>
      <c r="BX91" s="692">
        <v>13.3</v>
      </c>
      <c r="BY91" s="692">
        <v>15.5</v>
      </c>
      <c r="BZ91" s="692">
        <v>17.600000000000001</v>
      </c>
      <c r="CA91" s="692">
        <f t="shared" ref="CA91:CA100" si="99">BZ91</f>
        <v>17.600000000000001</v>
      </c>
      <c r="CB91" s="692">
        <v>9.9</v>
      </c>
      <c r="CC91" s="694">
        <v>12</v>
      </c>
      <c r="CD91" s="692">
        <v>14</v>
      </c>
      <c r="CE91" s="692">
        <v>16.2</v>
      </c>
      <c r="CF91" s="692">
        <f t="shared" ref="CF91:CF100" si="100">CE91</f>
        <v>16.2</v>
      </c>
      <c r="CG91" s="692">
        <v>11.1</v>
      </c>
      <c r="CH91" s="694">
        <v>13.5</v>
      </c>
      <c r="CI91" s="692">
        <v>15.9</v>
      </c>
      <c r="CJ91" s="692">
        <v>18.3</v>
      </c>
      <c r="CK91" s="692">
        <f t="shared" ref="CK91:CK100" si="101">CJ91</f>
        <v>18.3</v>
      </c>
      <c r="CL91" s="498">
        <v>14.4</v>
      </c>
      <c r="CM91" s="611"/>
    </row>
    <row r="92" spans="2:93">
      <c r="B92" s="636" t="s">
        <v>244</v>
      </c>
      <c r="F92" s="498">
        <f>-68.3-5.1</f>
        <v>-73.399999999999991</v>
      </c>
      <c r="G92" s="498">
        <f>309.1+9.5+0.7</f>
        <v>319.3</v>
      </c>
      <c r="M92" s="498">
        <f t="shared" si="76"/>
        <v>0</v>
      </c>
      <c r="R92" s="498">
        <f t="shared" si="77"/>
        <v>0</v>
      </c>
      <c r="W92" s="498">
        <f t="shared" si="78"/>
        <v>-15.7</v>
      </c>
      <c r="X92" s="498">
        <v>-15.7</v>
      </c>
      <c r="Y92" s="498">
        <f>-1.6+0.4</f>
        <v>-1.2000000000000002</v>
      </c>
      <c r="Z92" s="498">
        <v>-3.1</v>
      </c>
      <c r="AA92" s="498">
        <f>-6.3+1</f>
        <v>-5.3</v>
      </c>
      <c r="AB92" s="498">
        <f t="shared" si="79"/>
        <v>-7.1</v>
      </c>
      <c r="AC92" s="498">
        <v>-7.1</v>
      </c>
      <c r="AD92" s="498">
        <v>-0.4</v>
      </c>
      <c r="AE92" s="498">
        <v>-1</v>
      </c>
      <c r="AF92" s="498">
        <f>1.7-11.7</f>
        <v>-10</v>
      </c>
      <c r="AG92" s="498">
        <f t="shared" si="80"/>
        <v>2</v>
      </c>
      <c r="AH92" s="498">
        <v>2</v>
      </c>
      <c r="AI92" s="498">
        <v>0.6</v>
      </c>
      <c r="AJ92" s="498">
        <v>0.4</v>
      </c>
      <c r="AK92" s="498">
        <f>0.5</f>
        <v>0.5</v>
      </c>
      <c r="AL92" s="498">
        <v>-0.7</v>
      </c>
      <c r="AM92" s="498">
        <f t="shared" si="81"/>
        <v>-0.7</v>
      </c>
      <c r="AN92" s="498">
        <v>-0.4</v>
      </c>
      <c r="AO92" s="498">
        <v>-0.7</v>
      </c>
      <c r="AP92" s="498">
        <v>-0.8</v>
      </c>
      <c r="AQ92" s="498">
        <f t="shared" si="93"/>
        <v>-2.2999999999999998</v>
      </c>
      <c r="AR92" s="498">
        <v>-2.2999999999999998</v>
      </c>
      <c r="AS92" s="498">
        <f>-2-5.7</f>
        <v>-7.7</v>
      </c>
      <c r="AT92" s="498">
        <f>-5.7-3.6</f>
        <v>-9.3000000000000007</v>
      </c>
      <c r="AU92" s="498">
        <f>+-3.7+-5.7</f>
        <v>-9.4</v>
      </c>
      <c r="AV92" s="498">
        <f t="shared" si="94"/>
        <v>-14.2</v>
      </c>
      <c r="AW92" s="611">
        <f>+-5.7-8.5</f>
        <v>-14.2</v>
      </c>
      <c r="AX92" s="498">
        <v>-4.7</v>
      </c>
      <c r="AY92" s="498">
        <f>-5.4+-4.9</f>
        <v>-10.3</v>
      </c>
      <c r="AZ92" s="498">
        <f>+-4.9+-5.8</f>
        <v>-10.7</v>
      </c>
      <c r="BA92" s="498">
        <f t="shared" si="95"/>
        <v>-6.8</v>
      </c>
      <c r="BB92" s="692">
        <v>-6.8</v>
      </c>
      <c r="BC92" s="692">
        <v>-3.7</v>
      </c>
      <c r="BD92" s="692">
        <v>-4</v>
      </c>
      <c r="BE92" s="692">
        <v>-5</v>
      </c>
      <c r="BF92" s="692">
        <f>BG92</f>
        <v>-5.3</v>
      </c>
      <c r="BG92" s="692">
        <v>-5.3</v>
      </c>
      <c r="BH92" s="692">
        <v>-3.5</v>
      </c>
      <c r="BI92" s="694">
        <v>-5.2</v>
      </c>
      <c r="BJ92" s="692">
        <v>-5.5</v>
      </c>
      <c r="BK92" s="692">
        <v>-5.8</v>
      </c>
      <c r="BL92" s="692">
        <f t="shared" si="96"/>
        <v>-5.8</v>
      </c>
      <c r="BM92" s="692">
        <v>-8.5</v>
      </c>
      <c r="BN92" s="694">
        <v>-8.6</v>
      </c>
      <c r="BO92" s="692">
        <v>-9.1999999999999993</v>
      </c>
      <c r="BP92" s="692">
        <v>-9.1999999999999993</v>
      </c>
      <c r="BQ92" s="692">
        <f t="shared" si="97"/>
        <v>-9.1999999999999993</v>
      </c>
      <c r="BR92" s="692">
        <v>0</v>
      </c>
      <c r="BS92" s="694">
        <v>0</v>
      </c>
      <c r="BT92" s="692">
        <v>0</v>
      </c>
      <c r="BU92" s="692">
        <v>0</v>
      </c>
      <c r="BV92" s="692">
        <f t="shared" si="98"/>
        <v>0</v>
      </c>
      <c r="BW92" s="704"/>
      <c r="BX92" s="704"/>
      <c r="BY92" s="704"/>
      <c r="BZ92" s="704"/>
      <c r="CA92" s="692">
        <f t="shared" si="99"/>
        <v>0</v>
      </c>
      <c r="CB92" s="704"/>
      <c r="CC92" s="706"/>
      <c r="CD92" s="704"/>
      <c r="CE92" s="704"/>
      <c r="CF92" s="692">
        <f t="shared" si="100"/>
        <v>0</v>
      </c>
      <c r="CG92" s="704"/>
      <c r="CH92" s="706"/>
      <c r="CI92" s="704"/>
      <c r="CJ92" s="704"/>
      <c r="CK92" s="692">
        <f t="shared" si="101"/>
        <v>0</v>
      </c>
      <c r="CM92" s="611"/>
    </row>
    <row r="93" spans="2:93">
      <c r="B93" s="498" t="s">
        <v>70</v>
      </c>
      <c r="C93" s="613">
        <f t="shared" ref="C93:I93" si="102">SUM(C94:C98)</f>
        <v>-49.997999999999998</v>
      </c>
      <c r="D93" s="613">
        <f t="shared" si="102"/>
        <v>-14.506000000000004</v>
      </c>
      <c r="E93" s="613">
        <f t="shared" si="102"/>
        <v>80.900000000000006</v>
      </c>
      <c r="F93" s="613">
        <f t="shared" si="102"/>
        <v>-8.6999999999999993</v>
      </c>
      <c r="G93" s="613">
        <f t="shared" si="102"/>
        <v>12.200000000000005</v>
      </c>
      <c r="H93" s="613">
        <f t="shared" si="102"/>
        <v>44.9</v>
      </c>
      <c r="I93" s="613">
        <f t="shared" si="102"/>
        <v>1.2000000000000015</v>
      </c>
      <c r="J93" s="613">
        <v>-18.100000000000001</v>
      </c>
      <c r="K93" s="613">
        <v>-21.9</v>
      </c>
      <c r="L93" s="613">
        <v>-14.1</v>
      </c>
      <c r="M93" s="613">
        <f t="shared" si="76"/>
        <v>5.8000000000000025</v>
      </c>
      <c r="N93" s="613">
        <f>SUM(N94:N98)</f>
        <v>5.8000000000000025</v>
      </c>
      <c r="O93" s="613">
        <v>-16.100000000000001</v>
      </c>
      <c r="P93" s="613">
        <v>-31.2</v>
      </c>
      <c r="Q93" s="613">
        <v>-11.6</v>
      </c>
      <c r="R93" s="613">
        <f t="shared" si="77"/>
        <v>-37.200000000000003</v>
      </c>
      <c r="S93" s="613">
        <f>SUM(S94:S98)</f>
        <v>-37.200000000000003</v>
      </c>
      <c r="T93" s="613">
        <f>SUM(T94:T98)</f>
        <v>-45.8</v>
      </c>
      <c r="U93" s="613">
        <f>SUM(U94:U98)</f>
        <v>-51.9</v>
      </c>
      <c r="V93" s="613">
        <f>SUM(V94:V98)</f>
        <v>-48.4</v>
      </c>
      <c r="W93" s="613">
        <f t="shared" si="78"/>
        <v>-22.8</v>
      </c>
      <c r="X93" s="613">
        <f>SUM(X94:X98)</f>
        <v>-22.8</v>
      </c>
      <c r="Y93" s="613">
        <f>SUM(Y94:Y98)</f>
        <v>-42.399999999999991</v>
      </c>
      <c r="Z93" s="613">
        <f>SUM(Z94:Z98)</f>
        <v>-35</v>
      </c>
      <c r="AA93" s="613">
        <f>SUM(AA94:AA98)</f>
        <v>-37.1</v>
      </c>
      <c r="AB93" s="613">
        <f t="shared" si="79"/>
        <v>-1.0000000000000009</v>
      </c>
      <c r="AC93" s="613">
        <f>SUM(AC94:AC98)</f>
        <v>-1.0000000000000009</v>
      </c>
      <c r="AD93" s="613">
        <f>SUM(AD94:AD98)</f>
        <v>-57.399999999999991</v>
      </c>
      <c r="AE93" s="613">
        <f>SUM(AE94:AE98)</f>
        <v>-77</v>
      </c>
      <c r="AF93" s="613">
        <f>SUM(AF94:AF98)</f>
        <v>-71.8</v>
      </c>
      <c r="AG93" s="613">
        <f t="shared" si="80"/>
        <v>-46.100000000000009</v>
      </c>
      <c r="AH93" s="613">
        <f t="shared" ref="AH93:AP93" si="103">SUM(AH94:AH98)</f>
        <v>-46.100000000000009</v>
      </c>
      <c r="AI93" s="613">
        <f t="shared" si="103"/>
        <v>-43.3</v>
      </c>
      <c r="AJ93" s="613">
        <f t="shared" si="103"/>
        <v>-11.899999999999991</v>
      </c>
      <c r="AK93" s="613">
        <f t="shared" si="103"/>
        <v>30.6</v>
      </c>
      <c r="AL93" s="613">
        <f t="shared" si="103"/>
        <v>40.200000000000003</v>
      </c>
      <c r="AM93" s="613">
        <f t="shared" si="103"/>
        <v>40.200000000000003</v>
      </c>
      <c r="AN93" s="613">
        <f t="shared" si="103"/>
        <v>-30.999999999999996</v>
      </c>
      <c r="AO93" s="613">
        <f t="shared" si="103"/>
        <v>-46.199999999999982</v>
      </c>
      <c r="AP93" s="613">
        <f t="shared" si="103"/>
        <v>-52.5</v>
      </c>
      <c r="AQ93" s="613">
        <f t="shared" si="93"/>
        <v>-39.300000000000004</v>
      </c>
      <c r="AR93" s="613">
        <f>SUM(AR94:AR98)</f>
        <v>-39.300000000000004</v>
      </c>
      <c r="AS93" s="613">
        <f>SUM(AS94:AS98)</f>
        <v>-36.500000000000007</v>
      </c>
      <c r="AT93" s="613">
        <f>SUM(AT94:AT98)</f>
        <v>-25.8</v>
      </c>
      <c r="AU93" s="613">
        <f>SUM(AU94:AU98)</f>
        <v>-61.199999999999996</v>
      </c>
      <c r="AV93" s="613">
        <f t="shared" si="94"/>
        <v>-48.899999999999991</v>
      </c>
      <c r="AW93" s="615">
        <f>SUM(AW94:AW98)</f>
        <v>-48.899999999999991</v>
      </c>
      <c r="AX93" s="613">
        <f>SUM(AX94:AX98)</f>
        <v>-46.3</v>
      </c>
      <c r="AY93" s="613">
        <f>SUM(AY94:AY98)</f>
        <v>-58.999999999999993</v>
      </c>
      <c r="AZ93" s="613">
        <f>SUM(AZ94:AZ98)</f>
        <v>-45.400000000000006</v>
      </c>
      <c r="BA93" s="613">
        <f t="shared" si="95"/>
        <v>-31.399999999999995</v>
      </c>
      <c r="BB93" s="692">
        <f t="shared" ref="BB93:BK93" si="104">SUM(BB94:BB98)</f>
        <v>-31.399999999999995</v>
      </c>
      <c r="BC93" s="692">
        <f t="shared" si="104"/>
        <v>-31.200000000000006</v>
      </c>
      <c r="BD93" s="692">
        <f t="shared" si="104"/>
        <v>-38.599999999999994</v>
      </c>
      <c r="BE93" s="692">
        <f t="shared" si="104"/>
        <v>-16.5</v>
      </c>
      <c r="BF93" s="692">
        <f t="shared" si="104"/>
        <v>-5.1000000000000014</v>
      </c>
      <c r="BG93" s="692">
        <f t="shared" si="104"/>
        <v>-5.1000000000000014</v>
      </c>
      <c r="BH93" s="692">
        <f t="shared" si="104"/>
        <v>-58.6</v>
      </c>
      <c r="BI93" s="694">
        <f t="shared" si="104"/>
        <v>-52.500000000000007</v>
      </c>
      <c r="BJ93" s="694">
        <f t="shared" si="104"/>
        <v>-76.499999999999986</v>
      </c>
      <c r="BK93" s="694">
        <f t="shared" si="104"/>
        <v>-13.899999999999993</v>
      </c>
      <c r="BL93" s="692">
        <f t="shared" si="96"/>
        <v>-13.899999999999993</v>
      </c>
      <c r="BM93" s="694">
        <f>SUM(BM94:BM98)</f>
        <v>-115.79999999999998</v>
      </c>
      <c r="BN93" s="694">
        <f>SUM(BN94:BN98)</f>
        <v>-145.20000000000002</v>
      </c>
      <c r="BO93" s="694">
        <f>SUM(BO94:BO98)</f>
        <v>-119.89999999999999</v>
      </c>
      <c r="BP93" s="694">
        <f>SUM(BP94:BP98)</f>
        <v>-73.599999999999994</v>
      </c>
      <c r="BQ93" s="692">
        <f t="shared" si="97"/>
        <v>-73.599999999999994</v>
      </c>
      <c r="BR93" s="694">
        <f>SUM(BR94:BR98)</f>
        <v>-91.4</v>
      </c>
      <c r="BS93" s="694">
        <f>SUM(BS94:BS98)</f>
        <v>-70</v>
      </c>
      <c r="BT93" s="694">
        <f>SUM(BT94:BT98)</f>
        <v>-36.1</v>
      </c>
      <c r="BU93" s="694">
        <f>SUM(BU94:BU98)</f>
        <v>-19.799999999999997</v>
      </c>
      <c r="BV93" s="692">
        <f t="shared" si="98"/>
        <v>-19.799999999999997</v>
      </c>
      <c r="BW93" s="694">
        <f>SUM(BW94:BW98)</f>
        <v>-40.199999999999996</v>
      </c>
      <c r="BX93" s="694">
        <f>SUM(BX94:BX98)</f>
        <v>-7.3999999999999995</v>
      </c>
      <c r="BY93" s="694">
        <f>SUM(BY94:BY98)</f>
        <v>7.8999999999999995</v>
      </c>
      <c r="BZ93" s="694">
        <f>SUM(BZ94:BZ98)</f>
        <v>21.4</v>
      </c>
      <c r="CA93" s="692">
        <f t="shared" si="99"/>
        <v>21.4</v>
      </c>
      <c r="CB93" s="694">
        <f>SUM(CB94:CB98)</f>
        <v>-47.800000000000004</v>
      </c>
      <c r="CC93" s="694">
        <f>SUM(CC94:CC98)</f>
        <v>-55.900000000000006</v>
      </c>
      <c r="CD93" s="694">
        <f>SUM(CD94:CD98)</f>
        <v>-61.3</v>
      </c>
      <c r="CE93" s="694">
        <f>SUM(CE94:CE98)</f>
        <v>-19.799999999999997</v>
      </c>
      <c r="CF93" s="692">
        <f t="shared" si="100"/>
        <v>-19.799999999999997</v>
      </c>
      <c r="CG93" s="694">
        <f>SUM(CG94:CG98)</f>
        <v>-78.59999999999998</v>
      </c>
      <c r="CH93" s="694">
        <f>SUM(CH94:CH98)</f>
        <v>-86.499999999999986</v>
      </c>
      <c r="CI93" s="694">
        <f>SUM(CI94:CI98)</f>
        <v>-86.600000000000009</v>
      </c>
      <c r="CJ93" s="694">
        <f>SUM(CJ94:CJ98)</f>
        <v>11</v>
      </c>
      <c r="CK93" s="692">
        <f t="shared" si="101"/>
        <v>11</v>
      </c>
      <c r="CL93" s="615">
        <f>SUM(CL94:CL98)</f>
        <v>-82.899999999999991</v>
      </c>
      <c r="CM93" s="615"/>
      <c r="CN93" s="615"/>
      <c r="CO93" s="615"/>
    </row>
    <row r="94" spans="2:93">
      <c r="B94" s="637" t="s">
        <v>258</v>
      </c>
      <c r="C94" s="498">
        <v>-37.557000000000002</v>
      </c>
      <c r="D94" s="498">
        <v>18.213999999999999</v>
      </c>
      <c r="E94" s="498">
        <v>16.100000000000001</v>
      </c>
      <c r="F94" s="498">
        <v>-7.7</v>
      </c>
      <c r="G94" s="498">
        <v>4.5999999999999996</v>
      </c>
      <c r="H94" s="498">
        <v>35.6</v>
      </c>
      <c r="I94" s="498">
        <v>5.9</v>
      </c>
      <c r="M94" s="498">
        <f t="shared" si="76"/>
        <v>-19.3</v>
      </c>
      <c r="N94" s="498">
        <v>-19.3</v>
      </c>
      <c r="Q94" s="498">
        <v>0</v>
      </c>
      <c r="R94" s="498">
        <f t="shared" si="77"/>
        <v>-16.899999999999999</v>
      </c>
      <c r="S94" s="498">
        <v>-16.899999999999999</v>
      </c>
      <c r="T94" s="498">
        <v>-36.6</v>
      </c>
      <c r="U94" s="498">
        <v>-33.6</v>
      </c>
      <c r="V94" s="498">
        <v>-23.6</v>
      </c>
      <c r="W94" s="498">
        <f t="shared" si="78"/>
        <v>-14.4</v>
      </c>
      <c r="X94" s="498">
        <v>-14.4</v>
      </c>
      <c r="Y94" s="498">
        <v>-17.2</v>
      </c>
      <c r="Z94" s="498">
        <v>-19.600000000000001</v>
      </c>
      <c r="AA94" s="498">
        <v>-7.2</v>
      </c>
      <c r="AB94" s="498">
        <f t="shared" si="79"/>
        <v>-10</v>
      </c>
      <c r="AC94" s="498">
        <v>-10</v>
      </c>
      <c r="AD94" s="498">
        <v>-35.299999999999997</v>
      </c>
      <c r="AE94" s="498">
        <v>-42.9</v>
      </c>
      <c r="AF94" s="498">
        <v>-19.2</v>
      </c>
      <c r="AG94" s="498">
        <f t="shared" si="80"/>
        <v>-3.1</v>
      </c>
      <c r="AH94" s="498">
        <v>-3.1</v>
      </c>
      <c r="AI94" s="498">
        <v>-35.5</v>
      </c>
      <c r="AJ94" s="498">
        <v>14.8</v>
      </c>
      <c r="AK94" s="498">
        <v>38.200000000000003</v>
      </c>
      <c r="AL94" s="498">
        <v>31.8</v>
      </c>
      <c r="AM94" s="498">
        <f>AL94</f>
        <v>31.8</v>
      </c>
      <c r="AN94" s="498">
        <v>-15.7</v>
      </c>
      <c r="AO94" s="498">
        <v>-52.3</v>
      </c>
      <c r="AP94" s="498">
        <v>-28.7</v>
      </c>
      <c r="AQ94" s="498">
        <f t="shared" si="93"/>
        <v>-22.5</v>
      </c>
      <c r="AR94" s="498">
        <v>-22.5</v>
      </c>
      <c r="AS94" s="498">
        <v>-30.1</v>
      </c>
      <c r="AT94" s="498">
        <v>-25.4</v>
      </c>
      <c r="AU94" s="498">
        <v>-31.8</v>
      </c>
      <c r="AV94" s="498">
        <f t="shared" si="94"/>
        <v>-28.2</v>
      </c>
      <c r="AW94" s="611">
        <v>-28.2</v>
      </c>
      <c r="AX94" s="498">
        <v>-48.3</v>
      </c>
      <c r="AY94" s="498">
        <v>-54.4</v>
      </c>
      <c r="AZ94" s="498">
        <v>-45</v>
      </c>
      <c r="BA94" s="498">
        <f t="shared" si="95"/>
        <v>-28.1</v>
      </c>
      <c r="BB94" s="692">
        <v>-28.1</v>
      </c>
      <c r="BC94" s="692">
        <v>-40.200000000000003</v>
      </c>
      <c r="BD94" s="692">
        <v>-14.6</v>
      </c>
      <c r="BE94" s="692">
        <v>-0.1</v>
      </c>
      <c r="BF94" s="692">
        <f>BG94</f>
        <v>6.4</v>
      </c>
      <c r="BG94" s="692">
        <v>6.4</v>
      </c>
      <c r="BH94" s="692">
        <v>-48.3</v>
      </c>
      <c r="BI94" s="694">
        <v>-49.9</v>
      </c>
      <c r="BJ94" s="692">
        <v>-30.4</v>
      </c>
      <c r="BK94" s="692">
        <v>-15.4</v>
      </c>
      <c r="BL94" s="692">
        <f t="shared" si="96"/>
        <v>-15.4</v>
      </c>
      <c r="BM94" s="692">
        <v>-70.3</v>
      </c>
      <c r="BN94" s="694">
        <v>-65.5</v>
      </c>
      <c r="BO94" s="692">
        <v>-38.9</v>
      </c>
      <c r="BP94" s="692">
        <v>-18.399999999999999</v>
      </c>
      <c r="BQ94" s="692">
        <f t="shared" si="97"/>
        <v>-18.399999999999999</v>
      </c>
      <c r="BR94" s="692">
        <v>-68.8</v>
      </c>
      <c r="BS94" s="694">
        <v>-53.4</v>
      </c>
      <c r="BT94" s="692">
        <v>-16.8</v>
      </c>
      <c r="BU94" s="692">
        <v>-17.399999999999999</v>
      </c>
      <c r="BV94" s="692">
        <f t="shared" si="98"/>
        <v>-17.399999999999999</v>
      </c>
      <c r="BW94" s="692">
        <v>-19.5</v>
      </c>
      <c r="BX94" s="692">
        <v>2.4</v>
      </c>
      <c r="BY94" s="692">
        <v>19.7</v>
      </c>
      <c r="BZ94" s="692">
        <v>20.2</v>
      </c>
      <c r="CA94" s="692">
        <f t="shared" si="99"/>
        <v>20.2</v>
      </c>
      <c r="CB94" s="692">
        <v>-41.2</v>
      </c>
      <c r="CC94" s="694">
        <v>-43.4</v>
      </c>
      <c r="CD94" s="692">
        <v>-27.7</v>
      </c>
      <c r="CE94" s="692">
        <v>-20.7</v>
      </c>
      <c r="CF94" s="692">
        <f t="shared" si="100"/>
        <v>-20.7</v>
      </c>
      <c r="CG94" s="692">
        <v>-59.4</v>
      </c>
      <c r="CH94" s="694">
        <v>-48</v>
      </c>
      <c r="CI94" s="692">
        <v>-29.5</v>
      </c>
      <c r="CJ94" s="692">
        <v>36.5</v>
      </c>
      <c r="CK94" s="692">
        <f t="shared" si="101"/>
        <v>36.5</v>
      </c>
      <c r="CL94" s="498">
        <v>-42</v>
      </c>
      <c r="CM94" s="611"/>
    </row>
    <row r="95" spans="2:93">
      <c r="B95" s="637" t="s">
        <v>259</v>
      </c>
      <c r="C95" s="498">
        <v>-23.797000000000001</v>
      </c>
      <c r="D95" s="498">
        <v>-9.3160000000000007</v>
      </c>
      <c r="E95" s="498">
        <v>49</v>
      </c>
      <c r="F95" s="498">
        <v>-17</v>
      </c>
      <c r="G95" s="498">
        <v>20.6</v>
      </c>
      <c r="H95" s="498">
        <v>25.8</v>
      </c>
      <c r="I95" s="498">
        <v>2.7</v>
      </c>
      <c r="M95" s="498">
        <f t="shared" si="76"/>
        <v>-17.5</v>
      </c>
      <c r="N95" s="498">
        <v>-17.5</v>
      </c>
      <c r="R95" s="498">
        <f t="shared" si="77"/>
        <v>-16.8</v>
      </c>
      <c r="S95" s="498">
        <v>-16.8</v>
      </c>
      <c r="T95" s="498">
        <v>-4.5999999999999996</v>
      </c>
      <c r="U95" s="498">
        <v>-5.9</v>
      </c>
      <c r="V95" s="498">
        <v>-11</v>
      </c>
      <c r="W95" s="498">
        <f t="shared" si="78"/>
        <v>-16.100000000000001</v>
      </c>
      <c r="X95" s="498">
        <v>-16.100000000000001</v>
      </c>
      <c r="Y95" s="498">
        <v>-14.1</v>
      </c>
      <c r="Z95" s="498">
        <v>-14.2</v>
      </c>
      <c r="AA95" s="498">
        <v>-22.3</v>
      </c>
      <c r="AB95" s="498">
        <f t="shared" si="79"/>
        <v>-19.100000000000001</v>
      </c>
      <c r="AC95" s="498">
        <v>-19.100000000000001</v>
      </c>
      <c r="AD95" s="498">
        <v>-15.4</v>
      </c>
      <c r="AE95" s="498">
        <v>-20.9</v>
      </c>
      <c r="AF95" s="498">
        <v>-22.9</v>
      </c>
      <c r="AG95" s="498">
        <f t="shared" si="80"/>
        <v>-20.100000000000001</v>
      </c>
      <c r="AH95" s="498">
        <v>-20.100000000000001</v>
      </c>
      <c r="AI95" s="498">
        <v>4.5999999999999996</v>
      </c>
      <c r="AJ95" s="498">
        <v>22.6</v>
      </c>
      <c r="AK95" s="498">
        <v>38.799999999999997</v>
      </c>
      <c r="AL95" s="498">
        <v>38.4</v>
      </c>
      <c r="AM95" s="498">
        <f>AL95</f>
        <v>38.4</v>
      </c>
      <c r="AN95" s="498">
        <v>-13.6</v>
      </c>
      <c r="AO95" s="498">
        <v>-28.9</v>
      </c>
      <c r="AP95" s="498">
        <v>-42.5</v>
      </c>
      <c r="AQ95" s="498">
        <f t="shared" si="93"/>
        <v>-16.7</v>
      </c>
      <c r="AR95" s="498">
        <v>-16.7</v>
      </c>
      <c r="AS95" s="498">
        <v>-24.3</v>
      </c>
      <c r="AT95" s="498">
        <v>-31.5</v>
      </c>
      <c r="AU95" s="498">
        <v>-41.8</v>
      </c>
      <c r="AV95" s="498">
        <f t="shared" si="94"/>
        <v>-48.8</v>
      </c>
      <c r="AW95" s="611">
        <v>-48.8</v>
      </c>
      <c r="AX95" s="498">
        <v>-13.5</v>
      </c>
      <c r="AY95" s="498">
        <v>-28.7</v>
      </c>
      <c r="AZ95" s="498">
        <v>-20.7</v>
      </c>
      <c r="BA95" s="498">
        <f t="shared" si="95"/>
        <v>-15.2</v>
      </c>
      <c r="BB95" s="692">
        <v>-15.2</v>
      </c>
      <c r="BC95" s="692">
        <v>-16.2</v>
      </c>
      <c r="BD95" s="692">
        <v>-20.3</v>
      </c>
      <c r="BE95" s="692">
        <v>-25.2</v>
      </c>
      <c r="BF95" s="692">
        <f>BG95</f>
        <v>-28.4</v>
      </c>
      <c r="BG95" s="692">
        <v>-28.4</v>
      </c>
      <c r="BH95" s="692">
        <v>-18.3</v>
      </c>
      <c r="BI95" s="694">
        <v>-23.6</v>
      </c>
      <c r="BJ95" s="692">
        <v>-44.6</v>
      </c>
      <c r="BK95" s="692">
        <v>-38.799999999999997</v>
      </c>
      <c r="BL95" s="692">
        <f t="shared" si="96"/>
        <v>-38.799999999999997</v>
      </c>
      <c r="BM95" s="692">
        <v>-37.9</v>
      </c>
      <c r="BN95" s="694">
        <v>-48.5</v>
      </c>
      <c r="BO95" s="692">
        <v>-46.2</v>
      </c>
      <c r="BP95" s="692">
        <v>-25</v>
      </c>
      <c r="BQ95" s="692">
        <f t="shared" si="97"/>
        <v>-25</v>
      </c>
      <c r="BR95" s="692">
        <v>-20.7</v>
      </c>
      <c r="BS95" s="694">
        <v>-22.6</v>
      </c>
      <c r="BT95" s="692">
        <v>-5</v>
      </c>
      <c r="BU95" s="692">
        <v>10.8</v>
      </c>
      <c r="BV95" s="692">
        <f t="shared" si="98"/>
        <v>10.8</v>
      </c>
      <c r="BW95" s="692">
        <v>-10.9</v>
      </c>
      <c r="BX95" s="692">
        <v>-11.6</v>
      </c>
      <c r="BY95" s="692">
        <v>-6.7</v>
      </c>
      <c r="BZ95" s="692">
        <v>2.2999999999999998</v>
      </c>
      <c r="CA95" s="692">
        <f t="shared" si="99"/>
        <v>2.2999999999999998</v>
      </c>
      <c r="CB95" s="692">
        <v>-14.6</v>
      </c>
      <c r="CC95" s="694">
        <v>-28.6</v>
      </c>
      <c r="CD95" s="692">
        <v>-32.1</v>
      </c>
      <c r="CE95" s="692">
        <v>-25.2</v>
      </c>
      <c r="CF95" s="692">
        <f t="shared" si="100"/>
        <v>-25.2</v>
      </c>
      <c r="CG95" s="692">
        <v>-32.299999999999997</v>
      </c>
      <c r="CH95" s="694">
        <v>-36.299999999999997</v>
      </c>
      <c r="CI95" s="692">
        <v>-56.8</v>
      </c>
      <c r="CJ95" s="692">
        <v>-30.4</v>
      </c>
      <c r="CK95" s="692">
        <f t="shared" si="101"/>
        <v>-30.4</v>
      </c>
      <c r="CL95" s="498">
        <v>-26.4</v>
      </c>
      <c r="CM95" s="611"/>
    </row>
    <row r="96" spans="2:93">
      <c r="B96" s="637" t="s">
        <v>256</v>
      </c>
      <c r="C96" s="498">
        <v>1.667</v>
      </c>
      <c r="D96" s="498">
        <v>-2.8580000000000001</v>
      </c>
      <c r="E96" s="498">
        <v>1.5</v>
      </c>
      <c r="F96" s="498">
        <v>-0.4</v>
      </c>
      <c r="G96" s="498">
        <v>1.1000000000000001</v>
      </c>
      <c r="H96" s="498">
        <v>-1.7</v>
      </c>
      <c r="I96" s="498">
        <v>0.9</v>
      </c>
      <c r="M96" s="498">
        <f t="shared" si="76"/>
        <v>-7.4</v>
      </c>
      <c r="N96" s="498">
        <v>-7.4</v>
      </c>
      <c r="R96" s="498">
        <f t="shared" si="77"/>
        <v>4.4000000000000004</v>
      </c>
      <c r="S96" s="498">
        <v>4.4000000000000004</v>
      </c>
      <c r="T96" s="498">
        <v>0.6</v>
      </c>
      <c r="U96" s="498">
        <v>0.3</v>
      </c>
      <c r="V96" s="498">
        <v>-0.8</v>
      </c>
      <c r="W96" s="498">
        <f t="shared" si="78"/>
        <v>-0.6</v>
      </c>
      <c r="X96" s="498">
        <v>-0.6</v>
      </c>
      <c r="Y96" s="498">
        <v>1.6</v>
      </c>
      <c r="Z96" s="498">
        <v>0.3</v>
      </c>
      <c r="AA96" s="498">
        <v>-1.3</v>
      </c>
      <c r="AB96" s="498">
        <f t="shared" si="79"/>
        <v>0.3</v>
      </c>
      <c r="AC96" s="498">
        <v>0.3</v>
      </c>
      <c r="AD96" s="498">
        <v>4.5999999999999996</v>
      </c>
      <c r="AE96" s="498">
        <v>1.9</v>
      </c>
      <c r="AF96" s="498">
        <v>2.1</v>
      </c>
      <c r="AG96" s="498">
        <f t="shared" si="80"/>
        <v>3</v>
      </c>
      <c r="AH96" s="498">
        <v>3</v>
      </c>
      <c r="AI96" s="498">
        <v>2</v>
      </c>
      <c r="AJ96" s="498">
        <v>-3.5</v>
      </c>
      <c r="AK96" s="498">
        <v>-11</v>
      </c>
      <c r="AL96" s="498">
        <v>-7.3</v>
      </c>
      <c r="AM96" s="498">
        <f>AL96</f>
        <v>-7.3</v>
      </c>
      <c r="AN96" s="498">
        <v>-1.2</v>
      </c>
      <c r="AO96" s="498">
        <v>0.4</v>
      </c>
      <c r="AP96" s="498">
        <v>-0.3</v>
      </c>
      <c r="AQ96" s="498">
        <f t="shared" si="93"/>
        <v>-0.2</v>
      </c>
      <c r="AR96" s="498">
        <v>-0.2</v>
      </c>
      <c r="AS96" s="498">
        <v>-1</v>
      </c>
      <c r="AT96" s="498">
        <v>-3.1</v>
      </c>
      <c r="AU96" s="498">
        <v>-2</v>
      </c>
      <c r="AV96" s="498">
        <f t="shared" si="94"/>
        <v>-1.1000000000000001</v>
      </c>
      <c r="AW96" s="611">
        <v>-1.1000000000000001</v>
      </c>
      <c r="AX96" s="498">
        <v>2.6</v>
      </c>
      <c r="AY96" s="498">
        <v>1.5</v>
      </c>
      <c r="AZ96" s="498">
        <v>1.5</v>
      </c>
      <c r="BA96" s="498">
        <f t="shared" si="95"/>
        <v>0.7</v>
      </c>
      <c r="BB96" s="692">
        <v>0.7</v>
      </c>
      <c r="BC96" s="692">
        <v>2.7</v>
      </c>
      <c r="BD96" s="692">
        <v>-9</v>
      </c>
      <c r="BE96" s="692">
        <v>-2</v>
      </c>
      <c r="BF96" s="692">
        <f>BG96</f>
        <v>-3.3</v>
      </c>
      <c r="BG96" s="692">
        <v>-3.3</v>
      </c>
      <c r="BH96" s="692">
        <v>-6.4</v>
      </c>
      <c r="BI96" s="694">
        <v>1.1000000000000001</v>
      </c>
      <c r="BJ96" s="692">
        <v>-11.6</v>
      </c>
      <c r="BK96" s="692">
        <v>4.0999999999999996</v>
      </c>
      <c r="BL96" s="692">
        <f t="shared" si="96"/>
        <v>4.0999999999999996</v>
      </c>
      <c r="BM96" s="692">
        <v>0.9</v>
      </c>
      <c r="BN96" s="694">
        <v>-5.2</v>
      </c>
      <c r="BO96" s="692">
        <v>-6</v>
      </c>
      <c r="BP96" s="692">
        <v>-2.9</v>
      </c>
      <c r="BQ96" s="692">
        <f t="shared" si="97"/>
        <v>-2.9</v>
      </c>
      <c r="BR96" s="692">
        <v>-2</v>
      </c>
      <c r="BS96" s="694">
        <v>-5.6</v>
      </c>
      <c r="BT96" s="692">
        <v>-7.3</v>
      </c>
      <c r="BU96" s="692">
        <v>-4.0999999999999996</v>
      </c>
      <c r="BV96" s="692">
        <f t="shared" si="98"/>
        <v>-4.0999999999999996</v>
      </c>
      <c r="BW96" s="692">
        <v>-8.4</v>
      </c>
      <c r="BX96" s="692">
        <v>-2.9</v>
      </c>
      <c r="BY96" s="692">
        <v>1.4</v>
      </c>
      <c r="BZ96" s="692">
        <v>-0.1</v>
      </c>
      <c r="CA96" s="692">
        <f t="shared" si="99"/>
        <v>-0.1</v>
      </c>
      <c r="CB96" s="692">
        <v>2.6</v>
      </c>
      <c r="CC96" s="694">
        <v>-12.9</v>
      </c>
      <c r="CD96" s="692">
        <v>-5</v>
      </c>
      <c r="CE96" s="692">
        <v>-8.6</v>
      </c>
      <c r="CF96" s="692">
        <f t="shared" si="100"/>
        <v>-8.6</v>
      </c>
      <c r="CG96" s="692">
        <v>-5.8</v>
      </c>
      <c r="CH96" s="694">
        <v>-15.8</v>
      </c>
      <c r="CI96" s="692">
        <v>-12.5</v>
      </c>
      <c r="CJ96" s="692">
        <v>-5.8</v>
      </c>
      <c r="CK96" s="692">
        <f t="shared" si="101"/>
        <v>-5.8</v>
      </c>
      <c r="CL96" s="498">
        <v>-7.6</v>
      </c>
      <c r="CM96" s="611"/>
    </row>
    <row r="97" spans="1:99">
      <c r="B97" s="637" t="s">
        <v>257</v>
      </c>
      <c r="C97" s="498">
        <v>23.567</v>
      </c>
      <c r="D97" s="498">
        <v>-17.067</v>
      </c>
      <c r="E97" s="498">
        <v>11.9</v>
      </c>
      <c r="F97" s="498">
        <v>10.7</v>
      </c>
      <c r="G97" s="498">
        <v>-19.2</v>
      </c>
      <c r="H97" s="498">
        <v>-15.7</v>
      </c>
      <c r="I97" s="498">
        <v>-7.9</v>
      </c>
      <c r="M97" s="498">
        <f t="shared" si="76"/>
        <v>45.9</v>
      </c>
      <c r="N97" s="498">
        <v>45.9</v>
      </c>
      <c r="R97" s="498">
        <f t="shared" si="77"/>
        <v>-11.6</v>
      </c>
      <c r="S97" s="498">
        <v>-11.6</v>
      </c>
      <c r="T97" s="498">
        <v>-0.4</v>
      </c>
      <c r="U97" s="498">
        <v>-5.3</v>
      </c>
      <c r="V97" s="498">
        <v>-5.6</v>
      </c>
      <c r="W97" s="498">
        <f t="shared" si="78"/>
        <v>11.6</v>
      </c>
      <c r="X97" s="498">
        <v>11.6</v>
      </c>
      <c r="Y97" s="498">
        <v>-15.2</v>
      </c>
      <c r="Z97" s="498">
        <v>8.8000000000000007</v>
      </c>
      <c r="AA97" s="498">
        <v>-8.4</v>
      </c>
      <c r="AB97" s="498">
        <f t="shared" si="79"/>
        <v>21</v>
      </c>
      <c r="AC97" s="498">
        <v>21</v>
      </c>
      <c r="AD97" s="498">
        <v>-13.3</v>
      </c>
      <c r="AE97" s="498">
        <v>-21.9</v>
      </c>
      <c r="AF97" s="498">
        <v>-40.6</v>
      </c>
      <c r="AG97" s="498">
        <f t="shared" si="80"/>
        <v>-25.7</v>
      </c>
      <c r="AH97" s="498">
        <v>-25.7</v>
      </c>
      <c r="AI97" s="498">
        <v>-17.100000000000001</v>
      </c>
      <c r="AJ97" s="498">
        <v>-48.8</v>
      </c>
      <c r="AK97" s="498">
        <v>-37.4</v>
      </c>
      <c r="AL97" s="498">
        <v>-28.1</v>
      </c>
      <c r="AM97" s="498">
        <f>AL97</f>
        <v>-28.1</v>
      </c>
      <c r="AN97" s="498">
        <v>1.5</v>
      </c>
      <c r="AO97" s="498">
        <v>36.9</v>
      </c>
      <c r="AP97" s="498">
        <v>27.2</v>
      </c>
      <c r="AQ97" s="498">
        <f t="shared" si="93"/>
        <v>4.5</v>
      </c>
      <c r="AR97" s="498">
        <v>4.5</v>
      </c>
      <c r="AS97" s="498">
        <v>24.7</v>
      </c>
      <c r="AT97" s="498">
        <v>36</v>
      </c>
      <c r="AU97" s="498">
        <v>18.399999999999999</v>
      </c>
      <c r="AV97" s="498">
        <f t="shared" si="94"/>
        <v>34.1</v>
      </c>
      <c r="AW97" s="611">
        <v>34.1</v>
      </c>
      <c r="AX97" s="498">
        <v>17.7</v>
      </c>
      <c r="AY97" s="498">
        <v>28</v>
      </c>
      <c r="AZ97" s="498">
        <v>26.9</v>
      </c>
      <c r="BA97" s="498">
        <f t="shared" si="95"/>
        <v>20.3</v>
      </c>
      <c r="BB97" s="692">
        <v>20.3</v>
      </c>
      <c r="BC97" s="692">
        <v>20.8</v>
      </c>
      <c r="BD97" s="692">
        <v>4.7</v>
      </c>
      <c r="BE97" s="692">
        <v>12.9</v>
      </c>
      <c r="BF97" s="692">
        <f>BG97</f>
        <v>19.2</v>
      </c>
      <c r="BG97" s="692">
        <v>19.2</v>
      </c>
      <c r="BH97" s="692">
        <v>11.9</v>
      </c>
      <c r="BI97" s="694">
        <v>17.5</v>
      </c>
      <c r="BJ97" s="692">
        <v>10.7</v>
      </c>
      <c r="BK97" s="692">
        <v>40.1</v>
      </c>
      <c r="BL97" s="692">
        <f t="shared" si="96"/>
        <v>40.1</v>
      </c>
      <c r="BM97" s="692">
        <v>-5.3</v>
      </c>
      <c r="BN97" s="694">
        <v>-15.7</v>
      </c>
      <c r="BO97" s="692">
        <v>-26</v>
      </c>
      <c r="BP97" s="692">
        <v>-11.6</v>
      </c>
      <c r="BQ97" s="692">
        <f t="shared" si="97"/>
        <v>-11.6</v>
      </c>
      <c r="BR97" s="692">
        <v>0.8</v>
      </c>
      <c r="BS97" s="694">
        <v>9.3000000000000007</v>
      </c>
      <c r="BT97" s="692">
        <v>-9.1</v>
      </c>
      <c r="BU97" s="692">
        <v>-7.9</v>
      </c>
      <c r="BV97" s="692">
        <f t="shared" si="98"/>
        <v>-7.9</v>
      </c>
      <c r="BW97" s="692">
        <v>-0.9</v>
      </c>
      <c r="BX97" s="692">
        <v>5</v>
      </c>
      <c r="BY97" s="692">
        <v>-9.8000000000000007</v>
      </c>
      <c r="BZ97" s="692">
        <v>-2.1</v>
      </c>
      <c r="CA97" s="692">
        <f t="shared" si="99"/>
        <v>-2.1</v>
      </c>
      <c r="CB97" s="692">
        <v>7</v>
      </c>
      <c r="CC97" s="694">
        <v>24.7</v>
      </c>
      <c r="CD97" s="692">
        <v>0.2</v>
      </c>
      <c r="CE97" s="692">
        <v>23.3</v>
      </c>
      <c r="CF97" s="692">
        <f t="shared" si="100"/>
        <v>23.3</v>
      </c>
      <c r="CG97" s="692">
        <v>19.100000000000001</v>
      </c>
      <c r="CH97" s="694">
        <v>17.399999999999999</v>
      </c>
      <c r="CI97" s="692">
        <v>15.1</v>
      </c>
      <c r="CJ97" s="692">
        <v>12.5</v>
      </c>
      <c r="CK97" s="692">
        <f t="shared" si="101"/>
        <v>12.5</v>
      </c>
      <c r="CL97" s="498">
        <v>-18.8</v>
      </c>
      <c r="CM97" s="611"/>
    </row>
    <row r="98" spans="1:99" ht="15" thickBot="1">
      <c r="B98" s="637" t="s">
        <v>73</v>
      </c>
      <c r="C98" s="613">
        <v>-13.878</v>
      </c>
      <c r="D98" s="613">
        <v>-3.4790000000000001</v>
      </c>
      <c r="E98" s="613">
        <v>2.4</v>
      </c>
      <c r="F98" s="613">
        <v>5.7</v>
      </c>
      <c r="G98" s="613">
        <v>5.0999999999999996</v>
      </c>
      <c r="H98" s="613">
        <v>0.9</v>
      </c>
      <c r="I98" s="613">
        <v>-0.4</v>
      </c>
      <c r="J98" s="613"/>
      <c r="K98" s="613"/>
      <c r="L98" s="613"/>
      <c r="M98" s="613">
        <f t="shared" si="76"/>
        <v>4.0999999999999996</v>
      </c>
      <c r="N98" s="613">
        <v>4.0999999999999996</v>
      </c>
      <c r="O98" s="613"/>
      <c r="P98" s="613"/>
      <c r="Q98" s="613"/>
      <c r="R98" s="613">
        <f t="shared" si="77"/>
        <v>3.7</v>
      </c>
      <c r="S98" s="613">
        <v>3.7</v>
      </c>
      <c r="T98" s="613">
        <v>-4.8</v>
      </c>
      <c r="U98" s="613">
        <v>-7.4</v>
      </c>
      <c r="V98" s="613">
        <v>-7.4</v>
      </c>
      <c r="W98" s="613">
        <f t="shared" si="78"/>
        <v>-3.3</v>
      </c>
      <c r="X98" s="613">
        <v>-3.3</v>
      </c>
      <c r="Y98" s="613">
        <v>2.5</v>
      </c>
      <c r="Z98" s="613">
        <v>-10.3</v>
      </c>
      <c r="AA98" s="613">
        <v>2.1</v>
      </c>
      <c r="AB98" s="613">
        <f t="shared" si="79"/>
        <v>6.8</v>
      </c>
      <c r="AC98" s="613">
        <v>6.8</v>
      </c>
      <c r="AD98" s="613">
        <v>2</v>
      </c>
      <c r="AE98" s="613">
        <v>6.8</v>
      </c>
      <c r="AF98" s="613">
        <v>8.8000000000000007</v>
      </c>
      <c r="AG98" s="613">
        <f t="shared" si="80"/>
        <v>-0.2</v>
      </c>
      <c r="AH98" s="613">
        <v>-0.2</v>
      </c>
      <c r="AI98" s="613">
        <v>2.7</v>
      </c>
      <c r="AJ98" s="613">
        <v>3</v>
      </c>
      <c r="AK98" s="613">
        <v>2</v>
      </c>
      <c r="AL98" s="613">
        <v>5.4</v>
      </c>
      <c r="AM98" s="613">
        <f>AL98</f>
        <v>5.4</v>
      </c>
      <c r="AN98" s="613">
        <v>-2</v>
      </c>
      <c r="AO98" s="613">
        <v>-2.2999999999999998</v>
      </c>
      <c r="AP98" s="613">
        <v>-8.1999999999999993</v>
      </c>
      <c r="AQ98" s="613">
        <f t="shared" si="93"/>
        <v>-4.4000000000000004</v>
      </c>
      <c r="AR98" s="613">
        <v>-4.4000000000000004</v>
      </c>
      <c r="AS98" s="613">
        <v>-5.8</v>
      </c>
      <c r="AT98" s="613">
        <v>-1.8</v>
      </c>
      <c r="AU98" s="613">
        <v>-4</v>
      </c>
      <c r="AV98" s="613">
        <f t="shared" si="94"/>
        <v>-4.9000000000000004</v>
      </c>
      <c r="AW98" s="615">
        <v>-4.9000000000000004</v>
      </c>
      <c r="AX98" s="613">
        <v>-4.8</v>
      </c>
      <c r="AY98" s="613">
        <v>-5.4</v>
      </c>
      <c r="AZ98" s="613">
        <v>-8.1</v>
      </c>
      <c r="BA98" s="613">
        <f t="shared" si="95"/>
        <v>-9.1000000000000014</v>
      </c>
      <c r="BB98" s="692">
        <f>-4.2-4.9</f>
        <v>-9.1000000000000014</v>
      </c>
      <c r="BC98" s="692">
        <v>1.7</v>
      </c>
      <c r="BD98" s="692">
        <v>0.6</v>
      </c>
      <c r="BE98" s="692">
        <v>-2.1</v>
      </c>
      <c r="BF98" s="692">
        <f>BG98</f>
        <v>1</v>
      </c>
      <c r="BG98" s="692">
        <v>1</v>
      </c>
      <c r="BH98" s="692">
        <v>2.5</v>
      </c>
      <c r="BI98" s="694">
        <v>2.4</v>
      </c>
      <c r="BJ98" s="692">
        <v>-0.6</v>
      </c>
      <c r="BK98" s="692">
        <v>-3.9</v>
      </c>
      <c r="BL98" s="692">
        <f t="shared" si="96"/>
        <v>-3.9</v>
      </c>
      <c r="BM98" s="692">
        <v>-3.2</v>
      </c>
      <c r="BN98" s="694">
        <v>-10.3</v>
      </c>
      <c r="BO98" s="692">
        <v>-2.8</v>
      </c>
      <c r="BP98" s="692">
        <f>-5.3-10.4</f>
        <v>-15.7</v>
      </c>
      <c r="BQ98" s="692">
        <f t="shared" si="97"/>
        <v>-15.7</v>
      </c>
      <c r="BR98" s="692">
        <v>-0.7</v>
      </c>
      <c r="BS98" s="694">
        <v>2.2999999999999998</v>
      </c>
      <c r="BT98" s="692">
        <v>2.1</v>
      </c>
      <c r="BU98" s="692">
        <f>-13.7+8.1+4.4</f>
        <v>-1.1999999999999993</v>
      </c>
      <c r="BV98" s="692">
        <f t="shared" si="98"/>
        <v>-1.1999999999999993</v>
      </c>
      <c r="BW98" s="692">
        <v>-0.5</v>
      </c>
      <c r="BX98" s="692">
        <v>-0.3</v>
      </c>
      <c r="BY98" s="692">
        <v>3.3</v>
      </c>
      <c r="BZ98" s="692">
        <v>1.1000000000000001</v>
      </c>
      <c r="CA98" s="692">
        <f t="shared" si="99"/>
        <v>1.1000000000000001</v>
      </c>
      <c r="CB98" s="692">
        <v>-1.6</v>
      </c>
      <c r="CC98" s="694">
        <v>4.3</v>
      </c>
      <c r="CD98" s="692">
        <v>3.3</v>
      </c>
      <c r="CE98" s="692">
        <f>7.7+3.7</f>
        <v>11.4</v>
      </c>
      <c r="CF98" s="692">
        <f t="shared" si="100"/>
        <v>11.4</v>
      </c>
      <c r="CG98" s="692">
        <v>-0.2</v>
      </c>
      <c r="CH98" s="694">
        <v>-3.8</v>
      </c>
      <c r="CI98" s="692">
        <v>-2.9</v>
      </c>
      <c r="CJ98" s="692">
        <f>-2.5+0.7</f>
        <v>-1.8</v>
      </c>
      <c r="CK98" s="692">
        <f t="shared" si="101"/>
        <v>-1.8</v>
      </c>
      <c r="CL98" s="498">
        <f>14.7-2.1-0.7</f>
        <v>11.9</v>
      </c>
      <c r="CM98" s="611"/>
    </row>
    <row r="99" spans="1:99">
      <c r="B99" s="526" t="s">
        <v>252</v>
      </c>
      <c r="C99" s="526">
        <f t="shared" ref="C99:L99" si="105">SUM(C82:C93)</f>
        <v>25.704000000000001</v>
      </c>
      <c r="D99" s="526">
        <f t="shared" si="105"/>
        <v>93.78</v>
      </c>
      <c r="E99" s="526">
        <f t="shared" si="105"/>
        <v>133.69999999999999</v>
      </c>
      <c r="F99" s="526">
        <f t="shared" si="105"/>
        <v>33.000000000000014</v>
      </c>
      <c r="G99" s="526">
        <f t="shared" si="105"/>
        <v>35.000000000000014</v>
      </c>
      <c r="H99" s="526">
        <f t="shared" si="105"/>
        <v>65.900000000000006</v>
      </c>
      <c r="I99" s="526">
        <f t="shared" si="105"/>
        <v>46.9</v>
      </c>
      <c r="J99" s="526">
        <f t="shared" si="105"/>
        <v>2.6999999999999957</v>
      </c>
      <c r="K99" s="526">
        <f t="shared" si="105"/>
        <v>20.900000000000006</v>
      </c>
      <c r="L99" s="526">
        <f t="shared" si="105"/>
        <v>45.499999999999993</v>
      </c>
      <c r="M99" s="526">
        <f t="shared" si="76"/>
        <v>85.9</v>
      </c>
      <c r="N99" s="526">
        <f>SUM(N82:N93)</f>
        <v>85.9</v>
      </c>
      <c r="O99" s="526">
        <f>SUM(O82:O93)</f>
        <v>-26.299999999999997</v>
      </c>
      <c r="P99" s="526">
        <f>SUM(P82:P93)</f>
        <v>-3.4999999999999964</v>
      </c>
      <c r="Q99" s="526">
        <f>SUM(Q82:Q93)</f>
        <v>28.799999999999997</v>
      </c>
      <c r="R99" s="526">
        <f t="shared" si="77"/>
        <v>72.500000000000014</v>
      </c>
      <c r="S99" s="526">
        <f>SUM(S82:S93)</f>
        <v>72.500000000000014</v>
      </c>
      <c r="T99" s="526">
        <f>SUM(T82:T93)</f>
        <v>-9.6000000000000014</v>
      </c>
      <c r="U99" s="526">
        <f>SUM(U82:U93)</f>
        <v>21.4</v>
      </c>
      <c r="V99" s="526">
        <f>SUM(V82:V93)</f>
        <v>52.399999999999984</v>
      </c>
      <c r="W99" s="526">
        <f t="shared" si="78"/>
        <v>100.60000000000002</v>
      </c>
      <c r="X99" s="526">
        <f>SUM(X82:X93)</f>
        <v>100.60000000000002</v>
      </c>
      <c r="Y99" s="526">
        <f>SUM(Y82:Y93)</f>
        <v>-10.399999999999995</v>
      </c>
      <c r="Z99" s="526">
        <f>SUM(Z82:Z93)</f>
        <v>26.999999999999979</v>
      </c>
      <c r="AA99" s="526">
        <f>SUM(AA82:AA93)</f>
        <v>57.499999999999993</v>
      </c>
      <c r="AB99" s="526">
        <f t="shared" si="79"/>
        <v>106.3</v>
      </c>
      <c r="AC99" s="526">
        <f>SUM(AC82:AC93)</f>
        <v>106.3</v>
      </c>
      <c r="AD99" s="526">
        <f>SUM(AD82:AD93)</f>
        <v>-14.699999999999982</v>
      </c>
      <c r="AE99" s="526">
        <f>SUM(AE82:AE93)</f>
        <v>-5.5</v>
      </c>
      <c r="AF99" s="526">
        <f>SUM(AF82:AF93)</f>
        <v>43.400000000000006</v>
      </c>
      <c r="AG99" s="526">
        <f t="shared" si="80"/>
        <v>98.899999999999991</v>
      </c>
      <c r="AH99" s="526">
        <f t="shared" ref="AH99:AP99" si="106">SUM(AH82:AH93)</f>
        <v>98.899999999999991</v>
      </c>
      <c r="AI99" s="526">
        <f t="shared" si="106"/>
        <v>3.1000000000000014</v>
      </c>
      <c r="AJ99" s="526">
        <f t="shared" si="106"/>
        <v>69.900000000000006</v>
      </c>
      <c r="AK99" s="526">
        <f t="shared" si="106"/>
        <v>140</v>
      </c>
      <c r="AL99" s="526">
        <f t="shared" si="106"/>
        <v>172.8</v>
      </c>
      <c r="AM99" s="526">
        <f t="shared" si="106"/>
        <v>172.8</v>
      </c>
      <c r="AN99" s="526">
        <f t="shared" si="106"/>
        <v>2.9000000000000021</v>
      </c>
      <c r="AO99" s="526">
        <f t="shared" si="106"/>
        <v>31.70000000000001</v>
      </c>
      <c r="AP99" s="526">
        <f t="shared" si="106"/>
        <v>68.8</v>
      </c>
      <c r="AQ99" s="526">
        <f t="shared" si="93"/>
        <v>126.5</v>
      </c>
      <c r="AR99" s="526">
        <f>SUM(AR82:AR93)</f>
        <v>126.5</v>
      </c>
      <c r="AS99" s="526">
        <f>SUM(AS82:AS93)</f>
        <v>16.899999999999991</v>
      </c>
      <c r="AT99" s="526">
        <f>SUM(AT82:AT93)</f>
        <v>77.3</v>
      </c>
      <c r="AU99" s="526">
        <f>SUM(AU82:AU93)</f>
        <v>111.00000000000003</v>
      </c>
      <c r="AV99" s="526">
        <f t="shared" si="94"/>
        <v>170.50000000000006</v>
      </c>
      <c r="AW99" s="616">
        <f>SUM(AW82:AW93)</f>
        <v>170.50000000000006</v>
      </c>
      <c r="AX99" s="526">
        <f>SUM(AX82:AX93)</f>
        <v>22.199999999999989</v>
      </c>
      <c r="AY99" s="617">
        <f>SUM(AY82:AY93)</f>
        <v>73.799999999999983</v>
      </c>
      <c r="AZ99" s="617">
        <f>SUM(AZ82:AZ93)</f>
        <v>150.50000000000003</v>
      </c>
      <c r="BA99" s="526">
        <f t="shared" si="95"/>
        <v>232.4</v>
      </c>
      <c r="BB99" s="713">
        <f t="shared" ref="BB99:BK99" si="107">SUM(BB82:BB93)</f>
        <v>232.4</v>
      </c>
      <c r="BC99" s="713">
        <f t="shared" si="107"/>
        <v>33.200000000000003</v>
      </c>
      <c r="BD99" s="713">
        <f t="shared" si="107"/>
        <v>108.19999999999999</v>
      </c>
      <c r="BE99" s="713">
        <f t="shared" si="107"/>
        <v>195.9</v>
      </c>
      <c r="BF99" s="713">
        <f t="shared" si="107"/>
        <v>272.89999999999992</v>
      </c>
      <c r="BG99" s="713">
        <f t="shared" si="107"/>
        <v>272.89999999999992</v>
      </c>
      <c r="BH99" s="713">
        <f t="shared" si="107"/>
        <v>33.4</v>
      </c>
      <c r="BI99" s="713">
        <f t="shared" si="107"/>
        <v>110.30000000000001</v>
      </c>
      <c r="BJ99" s="713">
        <f t="shared" si="107"/>
        <v>191.79999999999995</v>
      </c>
      <c r="BK99" s="713">
        <f t="shared" si="107"/>
        <v>318.00000000000006</v>
      </c>
      <c r="BL99" s="713">
        <f t="shared" si="96"/>
        <v>318.00000000000006</v>
      </c>
      <c r="BM99" s="713">
        <f>SUM(BM82:BM93)</f>
        <v>-14.599999999999994</v>
      </c>
      <c r="BN99" s="713">
        <f>SUM(BN82:BN93)</f>
        <v>50.199999999999989</v>
      </c>
      <c r="BO99" s="713">
        <f>SUM(BO82:BO93)</f>
        <v>164.30000000000007</v>
      </c>
      <c r="BP99" s="713">
        <f>SUM(BP82:BP93)</f>
        <v>301</v>
      </c>
      <c r="BQ99" s="713">
        <f t="shared" si="97"/>
        <v>301</v>
      </c>
      <c r="BR99" s="713">
        <f>SUM(BR82:BR93)</f>
        <v>10.299999999999983</v>
      </c>
      <c r="BS99" s="713">
        <f>SUM(BS82:BS93)</f>
        <v>134.9</v>
      </c>
      <c r="BT99" s="713">
        <f>SUM(BT82:BT93)</f>
        <v>286.8</v>
      </c>
      <c r="BU99" s="713">
        <f>SUM(BU82:BU93)</f>
        <v>401.40000000000003</v>
      </c>
      <c r="BV99" s="713">
        <f t="shared" si="98"/>
        <v>401.40000000000003</v>
      </c>
      <c r="BW99" s="713">
        <f>SUM(BW82:BW93)</f>
        <v>54.100000000000016</v>
      </c>
      <c r="BX99" s="713">
        <f>SUM(BX82:BX93)</f>
        <v>182.4</v>
      </c>
      <c r="BY99" s="713">
        <f>SUM(BY82:BY93)</f>
        <v>308.5</v>
      </c>
      <c r="BZ99" s="713">
        <f>SUM(BZ82:BZ93)</f>
        <v>428.7</v>
      </c>
      <c r="CA99" s="713">
        <f t="shared" si="99"/>
        <v>428.7</v>
      </c>
      <c r="CB99" s="713">
        <f>SUM(CB82:CB93)</f>
        <v>62.6</v>
      </c>
      <c r="CC99" s="713">
        <f>SUM(CC82:CC93)</f>
        <v>157.19999999999996</v>
      </c>
      <c r="CD99" s="713">
        <f>SUM(CD82:CD93)</f>
        <v>278.39999999999998</v>
      </c>
      <c r="CE99" s="713">
        <f>SUM(CE82:CE93)</f>
        <v>421.40000000000003</v>
      </c>
      <c r="CF99" s="713">
        <f t="shared" si="100"/>
        <v>421.40000000000003</v>
      </c>
      <c r="CG99" s="713">
        <f>SUM(CG82:CG93)</f>
        <v>45.90000000000002</v>
      </c>
      <c r="CH99" s="713">
        <f>SUM(CH82:CH93)</f>
        <v>157.20000000000005</v>
      </c>
      <c r="CI99" s="713">
        <f>SUM(CI82:CI93)</f>
        <v>277.3</v>
      </c>
      <c r="CJ99" s="713">
        <f>SUM(CJ82:CJ93)</f>
        <v>491.1</v>
      </c>
      <c r="CK99" s="713">
        <f t="shared" si="101"/>
        <v>491.1</v>
      </c>
      <c r="CL99" s="619">
        <f>SUM(CL82:CL93)</f>
        <v>8.6000000000000227</v>
      </c>
      <c r="CM99" s="616"/>
      <c r="CN99" s="616"/>
      <c r="CO99" s="616"/>
    </row>
    <row r="100" spans="1:99">
      <c r="B100" s="498" t="s">
        <v>247</v>
      </c>
      <c r="C100" s="498">
        <v>-57.369</v>
      </c>
      <c r="D100" s="498">
        <v>-66.53</v>
      </c>
      <c r="E100" s="498">
        <v>-35.6</v>
      </c>
      <c r="F100" s="498">
        <v>-39.6</v>
      </c>
      <c r="G100" s="498">
        <v>-38.799999999999997</v>
      </c>
      <c r="H100" s="498">
        <v>-14.9</v>
      </c>
      <c r="I100" s="498">
        <v>-21.6</v>
      </c>
      <c r="J100" s="498">
        <v>-4.5</v>
      </c>
      <c r="K100" s="635">
        <v>-11.8</v>
      </c>
      <c r="L100" s="498">
        <v>-20.3</v>
      </c>
      <c r="M100" s="498">
        <f t="shared" si="76"/>
        <v>-38.1</v>
      </c>
      <c r="N100" s="498">
        <v>-38.1</v>
      </c>
      <c r="O100" s="498">
        <v>-7.5</v>
      </c>
      <c r="P100" s="498">
        <v>-16.600000000000001</v>
      </c>
      <c r="Q100" s="498">
        <v>-32.4</v>
      </c>
      <c r="R100" s="498">
        <f t="shared" si="77"/>
        <v>-62.7</v>
      </c>
      <c r="S100" s="498">
        <v>-62.7</v>
      </c>
      <c r="T100" s="498">
        <f>-22.4-1.8</f>
        <v>-24.2</v>
      </c>
      <c r="U100" s="498">
        <f>-48.7-1.9</f>
        <v>-50.6</v>
      </c>
      <c r="V100" s="498">
        <f>-81.2-1.1</f>
        <v>-82.3</v>
      </c>
      <c r="W100" s="498">
        <f t="shared" si="78"/>
        <v>-120.2</v>
      </c>
      <c r="X100" s="498">
        <v>-120.2</v>
      </c>
      <c r="Y100" s="498">
        <v>-15.6</v>
      </c>
      <c r="Z100" s="498">
        <v>-46</v>
      </c>
      <c r="AA100" s="498">
        <v>-71.5</v>
      </c>
      <c r="AB100" s="498">
        <f t="shared" si="79"/>
        <v>-120.6</v>
      </c>
      <c r="AC100" s="498">
        <v>-120.6</v>
      </c>
      <c r="AD100" s="498">
        <v>-43.9</v>
      </c>
      <c r="AE100" s="498">
        <v>-86.2</v>
      </c>
      <c r="AF100" s="498">
        <f>-118.6-7.2</f>
        <v>-125.8</v>
      </c>
      <c r="AG100" s="498">
        <f t="shared" si="80"/>
        <v>-177.3</v>
      </c>
      <c r="AH100" s="498">
        <v>-177.3</v>
      </c>
      <c r="AI100" s="498">
        <v>-28.1</v>
      </c>
      <c r="AJ100" s="498">
        <v>-47.9</v>
      </c>
      <c r="AK100" s="498">
        <v>-82.1</v>
      </c>
      <c r="AL100" s="498">
        <v>-98.4</v>
      </c>
      <c r="AM100" s="498">
        <f t="shared" ref="AM100:AM107" si="108">AL100</f>
        <v>-98.4</v>
      </c>
      <c r="AN100" s="498">
        <v>-12.6</v>
      </c>
      <c r="AO100" s="498">
        <v>-20.100000000000001</v>
      </c>
      <c r="AP100" s="498">
        <v>-31.2</v>
      </c>
      <c r="AQ100" s="498">
        <f t="shared" si="93"/>
        <v>-48.8</v>
      </c>
      <c r="AR100" s="498">
        <v>-48.8</v>
      </c>
      <c r="AS100" s="498">
        <v>-35.9</v>
      </c>
      <c r="AT100" s="498">
        <v>-67.8</v>
      </c>
      <c r="AU100" s="498">
        <v>-99.5</v>
      </c>
      <c r="AV100" s="498">
        <f t="shared" si="94"/>
        <v>-158</v>
      </c>
      <c r="AW100" s="611">
        <v>-158</v>
      </c>
      <c r="AX100" s="498">
        <v>-82.9</v>
      </c>
      <c r="AY100" s="498">
        <v>-144.4</v>
      </c>
      <c r="AZ100" s="498">
        <v>-208.9</v>
      </c>
      <c r="BA100" s="498">
        <f t="shared" si="95"/>
        <v>-263.7</v>
      </c>
      <c r="BB100" s="692">
        <v>-263.7</v>
      </c>
      <c r="BC100" s="692">
        <v>-48.1</v>
      </c>
      <c r="BD100" s="692">
        <v>-92</v>
      </c>
      <c r="BE100" s="692">
        <v>-133.1</v>
      </c>
      <c r="BF100" s="692">
        <f>BG100</f>
        <v>-194.9</v>
      </c>
      <c r="BG100" s="692">
        <v>-194.9</v>
      </c>
      <c r="BH100" s="692">
        <v>-55</v>
      </c>
      <c r="BI100" s="692">
        <v>-119.2</v>
      </c>
      <c r="BJ100" s="692">
        <v>-194.4</v>
      </c>
      <c r="BK100" s="692">
        <v>-260.10000000000002</v>
      </c>
      <c r="BL100" s="692">
        <f t="shared" si="96"/>
        <v>-260.10000000000002</v>
      </c>
      <c r="BM100" s="692">
        <v>-95</v>
      </c>
      <c r="BN100" s="692">
        <v>-166.3</v>
      </c>
      <c r="BO100" s="692">
        <v>-249.3</v>
      </c>
      <c r="BP100" s="692">
        <v>-305.3</v>
      </c>
      <c r="BQ100" s="692">
        <f t="shared" si="97"/>
        <v>-305.3</v>
      </c>
      <c r="BR100" s="692">
        <v>-85.4</v>
      </c>
      <c r="BS100" s="692">
        <v>-156</v>
      </c>
      <c r="BT100" s="692">
        <v>-231.8</v>
      </c>
      <c r="BU100" s="692">
        <v>-327.9</v>
      </c>
      <c r="BV100" s="692">
        <f t="shared" si="98"/>
        <v>-327.9</v>
      </c>
      <c r="BW100" s="692">
        <v>-85.5</v>
      </c>
      <c r="BX100" s="692">
        <v>-169.2</v>
      </c>
      <c r="BY100" s="692">
        <v>-221.3</v>
      </c>
      <c r="BZ100" s="692">
        <v>-278.10000000000002</v>
      </c>
      <c r="CA100" s="692">
        <f t="shared" si="99"/>
        <v>-278.10000000000002</v>
      </c>
      <c r="CB100" s="692">
        <v>-59.5</v>
      </c>
      <c r="CC100" s="692">
        <v>-101.9</v>
      </c>
      <c r="CD100" s="692">
        <v>-150.19999999999999</v>
      </c>
      <c r="CE100" s="692">
        <v>-184.1</v>
      </c>
      <c r="CF100" s="692">
        <f t="shared" si="100"/>
        <v>-184.1</v>
      </c>
      <c r="CG100" s="692">
        <v>-61.1</v>
      </c>
      <c r="CH100" s="692">
        <v>-99.3</v>
      </c>
      <c r="CI100" s="692">
        <v>-162.69999999999999</v>
      </c>
      <c r="CJ100" s="692">
        <v>-204.1</v>
      </c>
      <c r="CK100" s="692">
        <f t="shared" si="101"/>
        <v>-204.1</v>
      </c>
      <c r="CL100" s="498">
        <v>-27.2</v>
      </c>
      <c r="CM100" s="611"/>
    </row>
    <row r="101" spans="1:99" hidden="1" outlineLevel="1">
      <c r="B101" s="498" t="s">
        <v>74</v>
      </c>
      <c r="M101" s="498">
        <f t="shared" si="76"/>
        <v>0</v>
      </c>
      <c r="N101" s="498">
        <v>0</v>
      </c>
      <c r="R101" s="498">
        <f t="shared" si="77"/>
        <v>0</v>
      </c>
      <c r="S101" s="498">
        <v>0</v>
      </c>
      <c r="W101" s="498">
        <f t="shared" si="78"/>
        <v>0</v>
      </c>
      <c r="AB101" s="498">
        <f t="shared" si="79"/>
        <v>1.2</v>
      </c>
      <c r="AC101" s="498">
        <v>1.2</v>
      </c>
      <c r="AF101" s="498">
        <v>0</v>
      </c>
      <c r="AG101" s="498">
        <f t="shared" si="80"/>
        <v>0</v>
      </c>
      <c r="AM101" s="498">
        <f t="shared" si="108"/>
        <v>0</v>
      </c>
      <c r="AW101" s="611"/>
      <c r="BB101" s="692"/>
      <c r="BC101" s="692"/>
      <c r="BD101" s="692"/>
      <c r="BE101" s="692"/>
      <c r="BF101" s="692"/>
      <c r="BG101" s="692"/>
      <c r="BH101" s="692"/>
      <c r="BI101" s="692"/>
      <c r="BJ101" s="692"/>
      <c r="BK101" s="692"/>
      <c r="BL101" s="692"/>
      <c r="BM101" s="692"/>
      <c r="BN101" s="692"/>
      <c r="BO101" s="692"/>
      <c r="BP101" s="692"/>
      <c r="BQ101" s="692"/>
      <c r="BR101" s="692"/>
      <c r="BS101" s="692"/>
      <c r="BT101" s="692"/>
      <c r="BU101" s="692"/>
      <c r="BV101" s="692"/>
      <c r="BW101" s="692"/>
      <c r="BX101" s="692"/>
      <c r="BY101" s="692"/>
      <c r="BZ101" s="692"/>
      <c r="CA101" s="692"/>
      <c r="CB101" s="692"/>
      <c r="CC101" s="692"/>
      <c r="CD101" s="692"/>
      <c r="CE101" s="692"/>
      <c r="CF101" s="692"/>
      <c r="CG101" s="692"/>
      <c r="CH101" s="692"/>
      <c r="CI101" s="692"/>
      <c r="CJ101" s="692"/>
      <c r="CK101" s="692"/>
      <c r="CM101" s="611"/>
      <c r="CU101" s="612"/>
    </row>
    <row r="102" spans="1:99" hidden="1" outlineLevel="1">
      <c r="B102" s="498" t="s">
        <v>248</v>
      </c>
      <c r="C102" s="498">
        <v>13.5</v>
      </c>
      <c r="H102" s="498">
        <v>10</v>
      </c>
      <c r="I102" s="498">
        <v>23</v>
      </c>
      <c r="M102" s="498">
        <f t="shared" si="76"/>
        <v>0</v>
      </c>
      <c r="R102" s="498">
        <f t="shared" si="77"/>
        <v>0</v>
      </c>
      <c r="S102" s="498">
        <v>0</v>
      </c>
      <c r="W102" s="498">
        <f t="shared" si="78"/>
        <v>22</v>
      </c>
      <c r="X102" s="498">
        <v>22</v>
      </c>
      <c r="AB102" s="498">
        <f t="shared" si="79"/>
        <v>0</v>
      </c>
      <c r="AC102" s="498">
        <v>0</v>
      </c>
      <c r="AF102" s="498">
        <v>22.3</v>
      </c>
      <c r="AG102" s="498">
        <f t="shared" si="80"/>
        <v>22.3</v>
      </c>
      <c r="AH102" s="498">
        <v>22.3</v>
      </c>
      <c r="AM102" s="498">
        <f t="shared" si="108"/>
        <v>0</v>
      </c>
      <c r="AW102" s="611"/>
      <c r="BB102" s="692"/>
      <c r="BC102" s="692"/>
      <c r="BD102" s="692"/>
      <c r="BE102" s="692"/>
      <c r="BF102" s="692"/>
      <c r="BG102" s="692"/>
      <c r="BH102" s="692"/>
      <c r="BI102" s="692"/>
      <c r="BJ102" s="692"/>
      <c r="BK102" s="692"/>
      <c r="BL102" s="692"/>
      <c r="BM102" s="692"/>
      <c r="BN102" s="692"/>
      <c r="BO102" s="692"/>
      <c r="BP102" s="692"/>
      <c r="BQ102" s="692"/>
      <c r="BR102" s="692"/>
      <c r="BS102" s="692"/>
      <c r="BT102" s="692"/>
      <c r="BU102" s="692"/>
      <c r="BV102" s="692"/>
      <c r="BW102" s="692"/>
      <c r="BX102" s="692"/>
      <c r="BY102" s="692"/>
      <c r="BZ102" s="692"/>
      <c r="CA102" s="692"/>
      <c r="CB102" s="692"/>
      <c r="CC102" s="692"/>
      <c r="CD102" s="692"/>
      <c r="CE102" s="692"/>
      <c r="CF102" s="692"/>
      <c r="CG102" s="692"/>
      <c r="CH102" s="692"/>
      <c r="CI102" s="692"/>
      <c r="CJ102" s="692"/>
      <c r="CK102" s="692"/>
      <c r="CM102" s="611"/>
    </row>
    <row r="103" spans="1:99" hidden="1" outlineLevel="1">
      <c r="B103" s="498" t="s">
        <v>106</v>
      </c>
      <c r="F103" s="498">
        <f>3.4</f>
        <v>3.4</v>
      </c>
      <c r="G103" s="498">
        <v>0.8</v>
      </c>
      <c r="H103" s="498">
        <v>1.5</v>
      </c>
      <c r="I103" s="498">
        <v>5.7</v>
      </c>
      <c r="K103" s="498">
        <v>6.5</v>
      </c>
      <c r="L103" s="498">
        <v>6.5</v>
      </c>
      <c r="M103" s="498">
        <f t="shared" si="76"/>
        <v>6.5</v>
      </c>
      <c r="N103" s="498">
        <v>6.5</v>
      </c>
      <c r="P103" s="498">
        <v>1.4</v>
      </c>
      <c r="Q103" s="498">
        <v>1.4</v>
      </c>
      <c r="R103" s="498">
        <f t="shared" si="77"/>
        <v>1.4</v>
      </c>
      <c r="S103" s="498">
        <v>1.4</v>
      </c>
      <c r="W103" s="498">
        <f t="shared" si="78"/>
        <v>0</v>
      </c>
      <c r="AB103" s="498">
        <f t="shared" si="79"/>
        <v>0</v>
      </c>
      <c r="AG103" s="498">
        <f t="shared" si="80"/>
        <v>0</v>
      </c>
      <c r="AM103" s="498">
        <f t="shared" si="108"/>
        <v>0</v>
      </c>
      <c r="AW103" s="611"/>
      <c r="BB103" s="692"/>
      <c r="BC103" s="692"/>
      <c r="BD103" s="692"/>
      <c r="BE103" s="692"/>
      <c r="BF103" s="692"/>
      <c r="BG103" s="692"/>
      <c r="BH103" s="692"/>
      <c r="BI103" s="692"/>
      <c r="BJ103" s="692"/>
      <c r="BK103" s="692"/>
      <c r="BL103" s="692"/>
      <c r="BM103" s="692"/>
      <c r="BN103" s="692"/>
      <c r="BO103" s="692"/>
      <c r="BP103" s="692"/>
      <c r="BQ103" s="692"/>
      <c r="BR103" s="692"/>
      <c r="BS103" s="692"/>
      <c r="BT103" s="692"/>
      <c r="BU103" s="692"/>
      <c r="BV103" s="692"/>
      <c r="BW103" s="692"/>
      <c r="BX103" s="692"/>
      <c r="BY103" s="692"/>
      <c r="BZ103" s="692"/>
      <c r="CA103" s="692"/>
      <c r="CB103" s="692"/>
      <c r="CC103" s="692"/>
      <c r="CD103" s="692"/>
      <c r="CE103" s="692"/>
      <c r="CF103" s="692"/>
      <c r="CG103" s="692"/>
      <c r="CH103" s="692"/>
      <c r="CI103" s="692"/>
      <c r="CJ103" s="692"/>
      <c r="CK103" s="692"/>
      <c r="CM103" s="611"/>
    </row>
    <row r="104" spans="1:99" hidden="1" outlineLevel="1">
      <c r="B104" s="498" t="s">
        <v>75</v>
      </c>
      <c r="F104" s="498">
        <v>113.3</v>
      </c>
      <c r="M104" s="498">
        <f t="shared" si="76"/>
        <v>0</v>
      </c>
      <c r="N104" s="498">
        <v>0</v>
      </c>
      <c r="R104" s="498">
        <f t="shared" si="77"/>
        <v>0</v>
      </c>
      <c r="S104" s="498">
        <v>0</v>
      </c>
      <c r="W104" s="498">
        <f t="shared" si="78"/>
        <v>0</v>
      </c>
      <c r="Y104" s="498">
        <v>25</v>
      </c>
      <c r="Z104" s="498">
        <v>25</v>
      </c>
      <c r="AA104" s="498">
        <v>84</v>
      </c>
      <c r="AB104" s="498">
        <f t="shared" si="79"/>
        <v>84</v>
      </c>
      <c r="AC104" s="498">
        <v>84</v>
      </c>
      <c r="AG104" s="498">
        <f t="shared" si="80"/>
        <v>0</v>
      </c>
      <c r="AM104" s="498">
        <f t="shared" si="108"/>
        <v>0</v>
      </c>
      <c r="AW104" s="611"/>
      <c r="BB104" s="692"/>
      <c r="BC104" s="692"/>
      <c r="BD104" s="692"/>
      <c r="BE104" s="692"/>
      <c r="BF104" s="692"/>
      <c r="BG104" s="692"/>
      <c r="BH104" s="692"/>
      <c r="BI104" s="692"/>
      <c r="BJ104" s="692"/>
      <c r="BK104" s="692"/>
      <c r="BL104" s="692"/>
      <c r="BM104" s="692"/>
      <c r="BN104" s="692"/>
      <c r="BO104" s="692"/>
      <c r="BP104" s="692"/>
      <c r="BQ104" s="692"/>
      <c r="BR104" s="692"/>
      <c r="BS104" s="692"/>
      <c r="BT104" s="692"/>
      <c r="BU104" s="692"/>
      <c r="BV104" s="692"/>
      <c r="BW104" s="692"/>
      <c r="BX104" s="692"/>
      <c r="BY104" s="692"/>
      <c r="BZ104" s="692"/>
      <c r="CA104" s="692"/>
      <c r="CB104" s="692"/>
      <c r="CC104" s="692"/>
      <c r="CD104" s="692"/>
      <c r="CE104" s="692"/>
      <c r="CF104" s="692"/>
      <c r="CG104" s="692"/>
      <c r="CH104" s="692"/>
      <c r="CI104" s="692"/>
      <c r="CJ104" s="692"/>
      <c r="CK104" s="692"/>
      <c r="CM104" s="611"/>
    </row>
    <row r="105" spans="1:99" collapsed="1">
      <c r="B105" s="498" t="s">
        <v>180</v>
      </c>
      <c r="C105" s="498">
        <v>-37</v>
      </c>
      <c r="D105" s="498">
        <v>-472.77</v>
      </c>
      <c r="M105" s="498">
        <f t="shared" si="76"/>
        <v>0</v>
      </c>
      <c r="R105" s="498">
        <f t="shared" si="77"/>
        <v>0</v>
      </c>
      <c r="W105" s="498">
        <f t="shared" si="78"/>
        <v>0</v>
      </c>
      <c r="AB105" s="498">
        <f t="shared" si="79"/>
        <v>0</v>
      </c>
      <c r="AG105" s="498">
        <f t="shared" si="80"/>
        <v>0</v>
      </c>
      <c r="AM105" s="498">
        <f t="shared" si="108"/>
        <v>0</v>
      </c>
      <c r="AW105" s="611"/>
      <c r="BB105" s="692">
        <v>0</v>
      </c>
      <c r="BC105" s="692">
        <v>0</v>
      </c>
      <c r="BD105" s="692">
        <v>0</v>
      </c>
      <c r="BE105" s="692">
        <v>0</v>
      </c>
      <c r="BF105" s="692">
        <v>0</v>
      </c>
      <c r="BG105" s="692">
        <v>0</v>
      </c>
      <c r="BH105" s="692">
        <v>0</v>
      </c>
      <c r="BI105" s="692">
        <v>0</v>
      </c>
      <c r="BJ105" s="692">
        <v>0</v>
      </c>
      <c r="BK105" s="692">
        <v>0</v>
      </c>
      <c r="BL105" s="692">
        <v>0</v>
      </c>
      <c r="BM105" s="692">
        <v>0</v>
      </c>
      <c r="BN105" s="692">
        <v>0</v>
      </c>
      <c r="BO105" s="692">
        <v>0</v>
      </c>
      <c r="BP105" s="692">
        <v>0</v>
      </c>
      <c r="BQ105" s="692">
        <v>0</v>
      </c>
      <c r="BR105" s="692">
        <v>-8.6</v>
      </c>
      <c r="BS105" s="692">
        <v>-33.6</v>
      </c>
      <c r="BT105" s="692">
        <v>-33.6</v>
      </c>
      <c r="BU105" s="692">
        <v>-8.6</v>
      </c>
      <c r="BV105" s="692">
        <f>BU105</f>
        <v>-8.6</v>
      </c>
      <c r="BW105" s="692">
        <v>-10</v>
      </c>
      <c r="BX105" s="692">
        <v>-10</v>
      </c>
      <c r="BY105" s="692">
        <v>-12</v>
      </c>
      <c r="BZ105" s="692">
        <v>-76</v>
      </c>
      <c r="CA105" s="692">
        <f>BZ105</f>
        <v>-76</v>
      </c>
      <c r="CB105" s="692">
        <v>0</v>
      </c>
      <c r="CC105" s="692">
        <v>0</v>
      </c>
      <c r="CD105" s="692">
        <v>-0.7</v>
      </c>
      <c r="CE105" s="692">
        <v>-3.4</v>
      </c>
      <c r="CF105" s="692">
        <f>CE105</f>
        <v>-3.4</v>
      </c>
      <c r="CG105" s="692">
        <v>-158.4</v>
      </c>
      <c r="CH105" s="692">
        <v>-163.19999999999999</v>
      </c>
      <c r="CI105" s="692">
        <v>-163.19999999999999</v>
      </c>
      <c r="CJ105" s="692">
        <v>-163.19999999999999</v>
      </c>
      <c r="CK105" s="692">
        <f>CJ105</f>
        <v>-163.19999999999999</v>
      </c>
      <c r="CL105" s="498">
        <v>0</v>
      </c>
      <c r="CM105" s="611"/>
    </row>
    <row r="106" spans="1:99">
      <c r="B106" s="498" t="s">
        <v>107</v>
      </c>
      <c r="D106" s="498">
        <f>1.399-1.25</f>
        <v>0.14900000000000002</v>
      </c>
      <c r="E106" s="498">
        <v>-4.7</v>
      </c>
      <c r="F106" s="498">
        <v>-8.3000000000000007</v>
      </c>
      <c r="H106" s="498">
        <v>1.6</v>
      </c>
      <c r="K106" s="498">
        <v>1.5</v>
      </c>
      <c r="L106" s="498">
        <v>1.5</v>
      </c>
      <c r="M106" s="498">
        <f t="shared" si="76"/>
        <v>3</v>
      </c>
      <c r="N106" s="498">
        <v>3</v>
      </c>
      <c r="O106" s="498">
        <v>-7.5</v>
      </c>
      <c r="P106" s="498">
        <f>1.1-7.5</f>
        <v>-6.4</v>
      </c>
      <c r="Q106" s="498">
        <f>2.1-7.5</f>
        <v>-5.4</v>
      </c>
      <c r="R106" s="498">
        <f t="shared" si="77"/>
        <v>-4.4000000000000004</v>
      </c>
      <c r="S106" s="498">
        <f>3.1-7.5</f>
        <v>-4.4000000000000004</v>
      </c>
      <c r="T106" s="498">
        <v>0.8</v>
      </c>
      <c r="W106" s="498">
        <f t="shared" si="78"/>
        <v>0</v>
      </c>
      <c r="Y106" s="498">
        <v>-2</v>
      </c>
      <c r="Z106" s="498">
        <v>-2.1</v>
      </c>
      <c r="AA106" s="498">
        <v>-2</v>
      </c>
      <c r="AB106" s="498">
        <f t="shared" si="79"/>
        <v>-2</v>
      </c>
      <c r="AC106" s="498">
        <v>-2</v>
      </c>
      <c r="AG106" s="498">
        <f t="shared" si="80"/>
        <v>0</v>
      </c>
      <c r="AK106" s="498">
        <v>-6</v>
      </c>
      <c r="AL106" s="498">
        <v>-6</v>
      </c>
      <c r="AM106" s="498">
        <f t="shared" si="108"/>
        <v>-6</v>
      </c>
      <c r="AW106" s="611"/>
      <c r="BB106" s="692">
        <v>0</v>
      </c>
      <c r="BC106" s="692">
        <v>0</v>
      </c>
      <c r="BD106" s="692">
        <v>0</v>
      </c>
      <c r="BE106" s="692">
        <v>0</v>
      </c>
      <c r="BF106" s="692">
        <v>0</v>
      </c>
      <c r="BG106" s="692">
        <v>0</v>
      </c>
      <c r="BH106" s="692">
        <v>0</v>
      </c>
      <c r="BI106" s="692">
        <v>0</v>
      </c>
      <c r="BJ106" s="692">
        <v>0</v>
      </c>
      <c r="BK106" s="692">
        <v>0</v>
      </c>
      <c r="BL106" s="692">
        <v>0</v>
      </c>
      <c r="BM106" s="692">
        <v>0</v>
      </c>
      <c r="BN106" s="692">
        <v>0</v>
      </c>
      <c r="BO106" s="692">
        <v>0</v>
      </c>
      <c r="BP106" s="692">
        <v>0</v>
      </c>
      <c r="BQ106" s="692">
        <v>0</v>
      </c>
      <c r="BR106" s="692"/>
      <c r="BS106" s="692"/>
      <c r="BT106" s="692"/>
      <c r="BU106" s="692">
        <v>-30</v>
      </c>
      <c r="BV106" s="692">
        <f>BU106</f>
        <v>-30</v>
      </c>
      <c r="BW106" s="692"/>
      <c r="BX106" s="692"/>
      <c r="BY106" s="692"/>
      <c r="BZ106" s="692"/>
      <c r="CA106" s="692">
        <f>BZ106</f>
        <v>0</v>
      </c>
      <c r="CB106" s="692"/>
      <c r="CC106" s="692"/>
      <c r="CD106" s="692"/>
      <c r="CE106" s="692"/>
      <c r="CF106" s="692">
        <f>CE106</f>
        <v>0</v>
      </c>
      <c r="CG106" s="692"/>
      <c r="CH106" s="692"/>
      <c r="CI106" s="692"/>
      <c r="CJ106" s="692"/>
      <c r="CK106" s="692">
        <f>CJ106</f>
        <v>0</v>
      </c>
      <c r="CM106" s="611"/>
    </row>
    <row r="107" spans="1:99" ht="15" thickBot="1">
      <c r="B107" s="498" t="s">
        <v>108</v>
      </c>
      <c r="C107" s="613">
        <v>-2</v>
      </c>
      <c r="D107" s="613"/>
      <c r="E107" s="613"/>
      <c r="F107" s="613"/>
      <c r="G107" s="613">
        <v>-0.3</v>
      </c>
      <c r="H107" s="613">
        <v>-0.5</v>
      </c>
      <c r="I107" s="613">
        <v>2</v>
      </c>
      <c r="J107" s="613"/>
      <c r="K107" s="613"/>
      <c r="L107" s="613"/>
      <c r="M107" s="613">
        <f t="shared" si="76"/>
        <v>0</v>
      </c>
      <c r="N107" s="613">
        <v>0</v>
      </c>
      <c r="O107" s="613"/>
      <c r="P107" s="613"/>
      <c r="Q107" s="613"/>
      <c r="R107" s="613">
        <f t="shared" si="77"/>
        <v>-4.2</v>
      </c>
      <c r="S107" s="613">
        <v>-4.2</v>
      </c>
      <c r="T107" s="613"/>
      <c r="U107" s="613"/>
      <c r="V107" s="613"/>
      <c r="W107" s="613">
        <f t="shared" si="78"/>
        <v>0</v>
      </c>
      <c r="X107" s="613"/>
      <c r="Y107" s="613"/>
      <c r="Z107" s="613"/>
      <c r="AA107" s="613"/>
      <c r="AB107" s="613">
        <f t="shared" si="79"/>
        <v>0</v>
      </c>
      <c r="AC107" s="613"/>
      <c r="AD107" s="613"/>
      <c r="AE107" s="613"/>
      <c r="AF107" s="613"/>
      <c r="AG107" s="613">
        <f t="shared" si="80"/>
        <v>0</v>
      </c>
      <c r="AH107" s="613"/>
      <c r="AI107" s="613"/>
      <c r="AJ107" s="613"/>
      <c r="AK107" s="613"/>
      <c r="AM107" s="613">
        <f t="shared" si="108"/>
        <v>0</v>
      </c>
      <c r="AQ107" s="613">
        <f t="shared" ref="AQ107:AQ113" si="109">AR107</f>
        <v>0</v>
      </c>
      <c r="AR107" s="613"/>
      <c r="AU107" s="498">
        <v>-5.2</v>
      </c>
      <c r="AV107" s="613">
        <f t="shared" ref="AV107:AV112" si="110">AW107</f>
        <v>-5.2</v>
      </c>
      <c r="AW107" s="611">
        <v>-5.2</v>
      </c>
      <c r="AX107" s="498">
        <v>0</v>
      </c>
      <c r="AY107" s="498">
        <v>5.3</v>
      </c>
      <c r="AZ107" s="498">
        <v>5.3</v>
      </c>
      <c r="BA107" s="498">
        <f t="shared" ref="BA107:BA114" si="111">BB107</f>
        <v>5.3</v>
      </c>
      <c r="BB107" s="692">
        <v>5.3</v>
      </c>
      <c r="BC107" s="692">
        <v>0</v>
      </c>
      <c r="BD107" s="692">
        <v>0</v>
      </c>
      <c r="BE107" s="692">
        <v>0</v>
      </c>
      <c r="BF107" s="692">
        <f>BG107</f>
        <v>0</v>
      </c>
      <c r="BG107" s="692">
        <v>0</v>
      </c>
      <c r="BH107" s="692">
        <v>0</v>
      </c>
      <c r="BI107" s="692">
        <v>0</v>
      </c>
      <c r="BJ107" s="692">
        <v>0</v>
      </c>
      <c r="BK107" s="692">
        <v>-10.3</v>
      </c>
      <c r="BL107" s="692">
        <f>BK107</f>
        <v>-10.3</v>
      </c>
      <c r="BM107" s="692">
        <v>0</v>
      </c>
      <c r="BN107" s="692">
        <v>0</v>
      </c>
      <c r="BO107" s="692">
        <v>0</v>
      </c>
      <c r="BP107" s="692">
        <v>0</v>
      </c>
      <c r="BQ107" s="692">
        <f>BP107</f>
        <v>0</v>
      </c>
      <c r="BR107" s="692"/>
      <c r="BS107" s="692"/>
      <c r="BT107" s="692"/>
      <c r="BU107" s="692"/>
      <c r="BV107" s="692">
        <f>BU107</f>
        <v>0</v>
      </c>
      <c r="BW107" s="692"/>
      <c r="BX107" s="692"/>
      <c r="BY107" s="692"/>
      <c r="BZ107" s="692"/>
      <c r="CA107" s="692">
        <f>BZ107</f>
        <v>0</v>
      </c>
      <c r="CB107" s="692"/>
      <c r="CC107" s="692"/>
      <c r="CD107" s="692"/>
      <c r="CE107" s="692"/>
      <c r="CF107" s="692">
        <f>CE107</f>
        <v>0</v>
      </c>
      <c r="CG107" s="692"/>
      <c r="CH107" s="692"/>
      <c r="CI107" s="692"/>
      <c r="CJ107" s="692"/>
      <c r="CK107" s="692">
        <f>CJ107</f>
        <v>0</v>
      </c>
      <c r="CM107" s="611"/>
      <c r="CN107" s="611"/>
    </row>
    <row r="108" spans="1:99">
      <c r="B108" s="526" t="s">
        <v>253</v>
      </c>
      <c r="C108" s="526">
        <f t="shared" ref="C108:L108" si="112">SUM(C100:C107)</f>
        <v>-82.869</v>
      </c>
      <c r="D108" s="526">
        <f t="shared" si="112"/>
        <v>-539.15099999999995</v>
      </c>
      <c r="E108" s="526">
        <f t="shared" si="112"/>
        <v>-40.300000000000004</v>
      </c>
      <c r="F108" s="526">
        <f t="shared" si="112"/>
        <v>68.8</v>
      </c>
      <c r="G108" s="526">
        <f t="shared" si="112"/>
        <v>-38.299999999999997</v>
      </c>
      <c r="H108" s="526">
        <f t="shared" si="112"/>
        <v>-2.3000000000000003</v>
      </c>
      <c r="I108" s="526">
        <f t="shared" si="112"/>
        <v>9.0999999999999979</v>
      </c>
      <c r="J108" s="526">
        <f t="shared" si="112"/>
        <v>-4.5</v>
      </c>
      <c r="K108" s="526">
        <f t="shared" si="112"/>
        <v>-3.8000000000000007</v>
      </c>
      <c r="L108" s="526">
        <f t="shared" si="112"/>
        <v>-12.3</v>
      </c>
      <c r="M108" s="526">
        <f t="shared" si="76"/>
        <v>-28.6</v>
      </c>
      <c r="N108" s="526">
        <f>SUM(N100:N107)</f>
        <v>-28.6</v>
      </c>
      <c r="O108" s="526">
        <f>SUM(O100:O107)</f>
        <v>-15</v>
      </c>
      <c r="P108" s="526">
        <f>SUM(P100:P107)</f>
        <v>-21.6</v>
      </c>
      <c r="Q108" s="526">
        <f>SUM(Q100:Q107)</f>
        <v>-36.4</v>
      </c>
      <c r="R108" s="526">
        <f t="shared" si="77"/>
        <v>-69.900000000000006</v>
      </c>
      <c r="S108" s="526">
        <f>SUM(S100:S107)</f>
        <v>-69.900000000000006</v>
      </c>
      <c r="T108" s="526">
        <f>SUM(T100:T107)</f>
        <v>-23.4</v>
      </c>
      <c r="U108" s="526">
        <f>SUM(U100:U107)</f>
        <v>-50.6</v>
      </c>
      <c r="V108" s="526">
        <f>SUM(V100:V107)</f>
        <v>-82.3</v>
      </c>
      <c r="W108" s="526">
        <f t="shared" si="78"/>
        <v>-98.2</v>
      </c>
      <c r="X108" s="526">
        <f>SUM(X100:X106)</f>
        <v>-98.2</v>
      </c>
      <c r="Y108" s="526">
        <f>SUM(Y100:Y106)</f>
        <v>7.4</v>
      </c>
      <c r="Z108" s="526">
        <f>SUM(Z100:Z106)</f>
        <v>-23.1</v>
      </c>
      <c r="AA108" s="526">
        <f>SUM(AA100:AA106)</f>
        <v>10.5</v>
      </c>
      <c r="AB108" s="526">
        <f t="shared" si="79"/>
        <v>-37.399999999999991</v>
      </c>
      <c r="AC108" s="526">
        <f>SUM(AC100:AC106)</f>
        <v>-37.399999999999991</v>
      </c>
      <c r="AD108" s="526">
        <f>SUM(AD100:AD106)</f>
        <v>-43.9</v>
      </c>
      <c r="AE108" s="526">
        <f>SUM(AE100:AE106)</f>
        <v>-86.2</v>
      </c>
      <c r="AF108" s="526">
        <f>SUM(AF100:AF106)</f>
        <v>-103.5</v>
      </c>
      <c r="AG108" s="526">
        <f t="shared" si="80"/>
        <v>-155</v>
      </c>
      <c r="AH108" s="526">
        <f t="shared" ref="AH108:AP108" si="113">SUM(AH100:AH106)</f>
        <v>-155</v>
      </c>
      <c r="AI108" s="526">
        <f t="shared" si="113"/>
        <v>-28.1</v>
      </c>
      <c r="AJ108" s="526">
        <f t="shared" si="113"/>
        <v>-47.9</v>
      </c>
      <c r="AK108" s="526">
        <f t="shared" si="113"/>
        <v>-88.1</v>
      </c>
      <c r="AL108" s="526">
        <f t="shared" si="113"/>
        <v>-104.4</v>
      </c>
      <c r="AM108" s="526">
        <f t="shared" si="113"/>
        <v>-104.4</v>
      </c>
      <c r="AN108" s="526">
        <f t="shared" si="113"/>
        <v>-12.6</v>
      </c>
      <c r="AO108" s="526">
        <f t="shared" si="113"/>
        <v>-20.100000000000001</v>
      </c>
      <c r="AP108" s="526">
        <f t="shared" si="113"/>
        <v>-31.2</v>
      </c>
      <c r="AQ108" s="526">
        <f t="shared" si="109"/>
        <v>-48.8</v>
      </c>
      <c r="AR108" s="526">
        <f>SUM(AR100:AR106)</f>
        <v>-48.8</v>
      </c>
      <c r="AS108" s="526">
        <f>SUM(AS100:AS107)</f>
        <v>-35.9</v>
      </c>
      <c r="AT108" s="526">
        <f>SUM(AT100:AT107)</f>
        <v>-67.8</v>
      </c>
      <c r="AU108" s="526">
        <f>SUM(AU100:AU107)</f>
        <v>-104.7</v>
      </c>
      <c r="AV108" s="526">
        <f t="shared" si="110"/>
        <v>-163.19999999999999</v>
      </c>
      <c r="AW108" s="616">
        <f>SUM(AW100:AW107)</f>
        <v>-163.19999999999999</v>
      </c>
      <c r="AX108" s="526">
        <f>SUM(AX100:AX107)</f>
        <v>-82.9</v>
      </c>
      <c r="AY108" s="526">
        <f>SUM(AY100:AY107)</f>
        <v>-139.1</v>
      </c>
      <c r="AZ108" s="526">
        <f>SUM(AZ100:AZ107)</f>
        <v>-203.6</v>
      </c>
      <c r="BA108" s="526">
        <f t="shared" si="111"/>
        <v>-258.39999999999998</v>
      </c>
      <c r="BB108" s="713">
        <f t="shared" ref="BB108:BK108" si="114">SUM(BB100:BB107)</f>
        <v>-258.39999999999998</v>
      </c>
      <c r="BC108" s="713">
        <f t="shared" si="114"/>
        <v>-48.1</v>
      </c>
      <c r="BD108" s="713">
        <f t="shared" si="114"/>
        <v>-92</v>
      </c>
      <c r="BE108" s="713">
        <f t="shared" si="114"/>
        <v>-133.1</v>
      </c>
      <c r="BF108" s="713">
        <f t="shared" si="114"/>
        <v>-194.9</v>
      </c>
      <c r="BG108" s="713">
        <f t="shared" si="114"/>
        <v>-194.9</v>
      </c>
      <c r="BH108" s="713">
        <f t="shared" si="114"/>
        <v>-55</v>
      </c>
      <c r="BI108" s="713">
        <f t="shared" si="114"/>
        <v>-119.2</v>
      </c>
      <c r="BJ108" s="713">
        <f t="shared" si="114"/>
        <v>-194.4</v>
      </c>
      <c r="BK108" s="713">
        <f t="shared" si="114"/>
        <v>-270.40000000000003</v>
      </c>
      <c r="BL108" s="713">
        <f>BK108</f>
        <v>-270.40000000000003</v>
      </c>
      <c r="BM108" s="713">
        <f>SUM(BM100:BM107)</f>
        <v>-95</v>
      </c>
      <c r="BN108" s="713">
        <f>SUM(BN100:BN107)</f>
        <v>-166.3</v>
      </c>
      <c r="BO108" s="713">
        <f>SUM(BO100:BO107)</f>
        <v>-249.3</v>
      </c>
      <c r="BP108" s="713">
        <f>SUM(BP100:BP107)</f>
        <v>-305.3</v>
      </c>
      <c r="BQ108" s="713">
        <f>BP108</f>
        <v>-305.3</v>
      </c>
      <c r="BR108" s="713">
        <f>SUM(BR100:BR107)</f>
        <v>-94</v>
      </c>
      <c r="BS108" s="713">
        <f>SUM(BS100:BS107)</f>
        <v>-189.6</v>
      </c>
      <c r="BT108" s="713">
        <f>SUM(BT100:BT107)</f>
        <v>-265.40000000000003</v>
      </c>
      <c r="BU108" s="713">
        <f>SUM(BU100:BU107)</f>
        <v>-366.5</v>
      </c>
      <c r="BV108" s="713">
        <f>BU108</f>
        <v>-366.5</v>
      </c>
      <c r="BW108" s="713">
        <f>SUM(BW100:BW107)</f>
        <v>-95.5</v>
      </c>
      <c r="BX108" s="713">
        <f>SUM(BX100:BX107)</f>
        <v>-179.2</v>
      </c>
      <c r="BY108" s="713">
        <f>SUM(BY100:BY107)</f>
        <v>-233.3</v>
      </c>
      <c r="BZ108" s="713">
        <f>SUM(BZ100:BZ107)</f>
        <v>-354.1</v>
      </c>
      <c r="CA108" s="713">
        <f>BZ108</f>
        <v>-354.1</v>
      </c>
      <c r="CB108" s="713">
        <f>SUM(CB100:CB107)</f>
        <v>-59.5</v>
      </c>
      <c r="CC108" s="713">
        <f>SUM(CC100:CC107)</f>
        <v>-101.9</v>
      </c>
      <c r="CD108" s="713">
        <f>SUM(CD100:CD107)</f>
        <v>-150.89999999999998</v>
      </c>
      <c r="CE108" s="713">
        <f>SUM(CE100:CE107)</f>
        <v>-187.5</v>
      </c>
      <c r="CF108" s="713">
        <f>CE108</f>
        <v>-187.5</v>
      </c>
      <c r="CG108" s="713">
        <f>SUM(CG100:CG107)</f>
        <v>-219.5</v>
      </c>
      <c r="CH108" s="713">
        <f>SUM(CH100:CH107)</f>
        <v>-262.5</v>
      </c>
      <c r="CI108" s="713">
        <f>SUM(CI100:CI107)</f>
        <v>-325.89999999999998</v>
      </c>
      <c r="CJ108" s="713">
        <f>SUM(CJ100:CJ107)</f>
        <v>-367.29999999999995</v>
      </c>
      <c r="CK108" s="713">
        <f>CJ108</f>
        <v>-367.29999999999995</v>
      </c>
      <c r="CL108" s="619">
        <f>SUM(CL100:CL107)</f>
        <v>-27.2</v>
      </c>
      <c r="CM108" s="616"/>
      <c r="CN108" s="616"/>
      <c r="CO108" s="616"/>
    </row>
    <row r="109" spans="1:99">
      <c r="A109" s="632"/>
      <c r="B109" s="498" t="s">
        <v>98</v>
      </c>
      <c r="C109" s="498">
        <v>3.1989999999999998</v>
      </c>
      <c r="D109" s="498">
        <v>0.27600000000000002</v>
      </c>
      <c r="E109" s="498">
        <v>240</v>
      </c>
      <c r="G109" s="498">
        <v>98.6</v>
      </c>
      <c r="M109" s="498">
        <f t="shared" si="76"/>
        <v>0</v>
      </c>
      <c r="O109" s="498">
        <v>225</v>
      </c>
      <c r="P109" s="498">
        <v>225</v>
      </c>
      <c r="Q109" s="498">
        <v>225</v>
      </c>
      <c r="R109" s="498">
        <f t="shared" si="77"/>
        <v>225</v>
      </c>
      <c r="S109" s="498">
        <v>225</v>
      </c>
      <c r="W109" s="498">
        <f t="shared" si="78"/>
        <v>0</v>
      </c>
      <c r="X109" s="498">
        <v>0</v>
      </c>
      <c r="AB109" s="498">
        <f t="shared" si="79"/>
        <v>0</v>
      </c>
      <c r="AC109" s="498">
        <v>0</v>
      </c>
      <c r="AG109" s="498">
        <f t="shared" si="80"/>
        <v>0</v>
      </c>
      <c r="AI109" s="635"/>
      <c r="AM109" s="498">
        <f t="shared" ref="AM109:AM117" si="115">AL109</f>
        <v>0</v>
      </c>
      <c r="AN109" s="498">
        <v>0.8</v>
      </c>
      <c r="AO109" s="498">
        <v>1.7</v>
      </c>
      <c r="AP109" s="498">
        <v>1.9</v>
      </c>
      <c r="AQ109" s="498">
        <f t="shared" si="109"/>
        <v>0</v>
      </c>
      <c r="AS109" s="498">
        <v>135</v>
      </c>
      <c r="AT109" s="498">
        <v>135</v>
      </c>
      <c r="AU109" s="498">
        <v>135</v>
      </c>
      <c r="AV109" s="498">
        <f t="shared" si="110"/>
        <v>135</v>
      </c>
      <c r="AW109" s="611">
        <v>135</v>
      </c>
      <c r="AX109" s="498">
        <v>59</v>
      </c>
      <c r="AY109" s="498">
        <v>121</v>
      </c>
      <c r="AZ109" s="498">
        <v>122</v>
      </c>
      <c r="BA109" s="498">
        <f t="shared" si="111"/>
        <v>87</v>
      </c>
      <c r="BB109" s="692">
        <v>87</v>
      </c>
      <c r="BC109" s="692">
        <v>21</v>
      </c>
      <c r="BD109" s="692">
        <v>309</v>
      </c>
      <c r="BE109" s="692">
        <v>309</v>
      </c>
      <c r="BF109" s="692">
        <f>BG109</f>
        <v>309</v>
      </c>
      <c r="BG109" s="692">
        <v>309</v>
      </c>
      <c r="BH109" s="692">
        <v>60</v>
      </c>
      <c r="BI109" s="692">
        <v>103</v>
      </c>
      <c r="BJ109" s="692">
        <f>481+189</f>
        <v>670</v>
      </c>
      <c r="BK109" s="692">
        <f>481+189</f>
        <v>670</v>
      </c>
      <c r="BL109" s="692">
        <f>BK109</f>
        <v>670</v>
      </c>
      <c r="BM109" s="692">
        <v>0</v>
      </c>
      <c r="BN109" s="692">
        <v>0</v>
      </c>
      <c r="BO109" s="692">
        <v>300</v>
      </c>
      <c r="BP109" s="692">
        <v>300</v>
      </c>
      <c r="BQ109" s="692">
        <f>BP109</f>
        <v>300</v>
      </c>
      <c r="BR109" s="692">
        <v>111</v>
      </c>
      <c r="BS109" s="692">
        <v>123.1</v>
      </c>
      <c r="BT109" s="692">
        <f>63+27.4</f>
        <v>90.4</v>
      </c>
      <c r="BU109" s="692">
        <f>78+26.4</f>
        <v>104.4</v>
      </c>
      <c r="BV109" s="692">
        <f>BU109</f>
        <v>104.4</v>
      </c>
      <c r="BW109" s="692">
        <f>398.3+37.4</f>
        <v>435.7</v>
      </c>
      <c r="BX109" s="692">
        <f>398.3+37.4</f>
        <v>435.7</v>
      </c>
      <c r="BY109" s="692">
        <f>398.3+37.4</f>
        <v>435.7</v>
      </c>
      <c r="BZ109" s="692">
        <f>398.3+37.4</f>
        <v>435.7</v>
      </c>
      <c r="CA109" s="692">
        <f>BZ109</f>
        <v>435.7</v>
      </c>
      <c r="CB109" s="692">
        <v>0</v>
      </c>
      <c r="CC109" s="692">
        <v>0</v>
      </c>
      <c r="CD109" s="692">
        <v>0</v>
      </c>
      <c r="CE109" s="692">
        <v>0</v>
      </c>
      <c r="CF109" s="692">
        <f>CE109</f>
        <v>0</v>
      </c>
      <c r="CG109" s="692"/>
      <c r="CH109" s="692"/>
      <c r="CI109" s="692"/>
      <c r="CJ109" s="692"/>
      <c r="CK109" s="692">
        <f>CJ109</f>
        <v>0</v>
      </c>
      <c r="CM109" s="611"/>
    </row>
    <row r="110" spans="1:99">
      <c r="A110" s="632"/>
      <c r="B110" s="498" t="s">
        <v>76</v>
      </c>
      <c r="C110" s="498">
        <v>-9.6790000000000003</v>
      </c>
      <c r="D110" s="498">
        <v>-1.8049999999999999</v>
      </c>
      <c r="E110" s="498">
        <v>-18</v>
      </c>
      <c r="F110" s="498">
        <v>-126</v>
      </c>
      <c r="G110" s="498">
        <v>-110.6</v>
      </c>
      <c r="H110" s="498">
        <v>-9.9</v>
      </c>
      <c r="I110" s="498">
        <f>-46.9+123.7</f>
        <v>76.800000000000011</v>
      </c>
      <c r="J110" s="498">
        <f>-10.5-1.8</f>
        <v>-12.3</v>
      </c>
      <c r="K110" s="498">
        <v>-22.9</v>
      </c>
      <c r="L110" s="498">
        <v>-22.9</v>
      </c>
      <c r="M110" s="498">
        <f t="shared" si="76"/>
        <v>-48.7</v>
      </c>
      <c r="N110" s="498">
        <f>-1.7-47</f>
        <v>-48.7</v>
      </c>
      <c r="O110" s="498">
        <f>-285.3-19.2</f>
        <v>-304.5</v>
      </c>
      <c r="P110" s="498">
        <f>-285.3-19.2</f>
        <v>-304.5</v>
      </c>
      <c r="Q110" s="498">
        <f>-285.3-19.2</f>
        <v>-304.5</v>
      </c>
      <c r="R110" s="498">
        <f t="shared" si="77"/>
        <v>-304.5</v>
      </c>
      <c r="S110" s="498">
        <f>-19.2-285.3</f>
        <v>-304.5</v>
      </c>
      <c r="W110" s="498">
        <f t="shared" si="78"/>
        <v>-1.4</v>
      </c>
      <c r="X110" s="498">
        <v>-1.4</v>
      </c>
      <c r="AB110" s="498">
        <f t="shared" si="79"/>
        <v>0</v>
      </c>
      <c r="AG110" s="498">
        <f t="shared" si="80"/>
        <v>0</v>
      </c>
      <c r="AM110" s="498">
        <f t="shared" si="115"/>
        <v>0</v>
      </c>
      <c r="AQ110" s="498">
        <f t="shared" si="109"/>
        <v>0</v>
      </c>
      <c r="AS110" s="498">
        <v>-35</v>
      </c>
      <c r="AT110" s="498">
        <v>-150</v>
      </c>
      <c r="AU110" s="498">
        <v>-150</v>
      </c>
      <c r="AV110" s="498">
        <f t="shared" si="110"/>
        <v>-151.5</v>
      </c>
      <c r="AW110" s="611">
        <v>-151.5</v>
      </c>
      <c r="AY110" s="498">
        <f>+-73.5-0.8</f>
        <v>-74.3</v>
      </c>
      <c r="AZ110" s="498">
        <v>-73.5</v>
      </c>
      <c r="BA110" s="498">
        <f t="shared" si="111"/>
        <v>-73.5</v>
      </c>
      <c r="BB110" s="692">
        <v>-73.5</v>
      </c>
      <c r="BC110" s="692"/>
      <c r="BD110" s="692"/>
      <c r="BE110" s="692"/>
      <c r="BF110" s="692"/>
      <c r="BG110" s="692">
        <v>0</v>
      </c>
      <c r="BH110" s="692">
        <v>0</v>
      </c>
      <c r="BI110" s="692">
        <v>0</v>
      </c>
      <c r="BJ110" s="692">
        <v>0</v>
      </c>
      <c r="BK110" s="692">
        <v>0</v>
      </c>
      <c r="BL110" s="692">
        <v>0</v>
      </c>
      <c r="BM110" s="692">
        <v>0</v>
      </c>
      <c r="BN110" s="692">
        <v>0</v>
      </c>
      <c r="BO110" s="692">
        <v>0</v>
      </c>
      <c r="BP110" s="692">
        <v>0</v>
      </c>
      <c r="BQ110" s="692">
        <v>0</v>
      </c>
      <c r="BR110" s="692">
        <v>0</v>
      </c>
      <c r="BS110" s="692">
        <v>0</v>
      </c>
      <c r="BT110" s="692">
        <v>0</v>
      </c>
      <c r="BU110" s="692">
        <v>0</v>
      </c>
      <c r="BV110" s="692">
        <v>0</v>
      </c>
      <c r="BW110" s="692">
        <v>0</v>
      </c>
      <c r="BX110" s="692">
        <v>0</v>
      </c>
      <c r="BY110" s="692">
        <v>0</v>
      </c>
      <c r="BZ110" s="692">
        <v>0</v>
      </c>
      <c r="CA110" s="692">
        <v>0</v>
      </c>
      <c r="CB110" s="692">
        <v>0</v>
      </c>
      <c r="CC110" s="692">
        <v>0</v>
      </c>
      <c r="CD110" s="692">
        <v>0</v>
      </c>
      <c r="CE110" s="692">
        <v>0</v>
      </c>
      <c r="CF110" s="692">
        <v>0</v>
      </c>
      <c r="CG110" s="692">
        <v>0</v>
      </c>
      <c r="CH110" s="692">
        <v>0</v>
      </c>
      <c r="CI110" s="692">
        <v>0</v>
      </c>
      <c r="CJ110" s="692">
        <v>0</v>
      </c>
      <c r="CK110" s="692">
        <v>0</v>
      </c>
      <c r="CM110" s="611"/>
    </row>
    <row r="111" spans="1:99">
      <c r="A111" s="632"/>
      <c r="B111" s="498" t="s">
        <v>474</v>
      </c>
      <c r="C111" s="498">
        <v>57.186</v>
      </c>
      <c r="D111" s="498">
        <f>726.044-266.339</f>
        <v>459.70499999999998</v>
      </c>
      <c r="E111" s="498">
        <f>37.7-349.6</f>
        <v>-311.90000000000003</v>
      </c>
      <c r="F111" s="498">
        <f>96.2-66.7</f>
        <v>29.5</v>
      </c>
      <c r="G111" s="498">
        <v>24.6</v>
      </c>
      <c r="H111" s="498">
        <v>-57.4</v>
      </c>
      <c r="I111" s="498">
        <f>4-179.7</f>
        <v>-175.7</v>
      </c>
      <c r="J111" s="498">
        <v>-3.4</v>
      </c>
      <c r="K111" s="498">
        <v>7.8</v>
      </c>
      <c r="L111" s="498">
        <v>-4.0999999999999996</v>
      </c>
      <c r="M111" s="498">
        <f t="shared" si="76"/>
        <v>-4.0999999999999996</v>
      </c>
      <c r="N111" s="498">
        <v>-4.0999999999999996</v>
      </c>
      <c r="O111" s="498">
        <f>252-125</f>
        <v>127</v>
      </c>
      <c r="P111" s="498">
        <f>220-125</f>
        <v>95</v>
      </c>
      <c r="Q111" s="498">
        <f>195-125</f>
        <v>70</v>
      </c>
      <c r="R111" s="498">
        <f t="shared" si="77"/>
        <v>65</v>
      </c>
      <c r="S111" s="498">
        <f>190-125</f>
        <v>65</v>
      </c>
      <c r="T111" s="498">
        <v>30</v>
      </c>
      <c r="U111" s="498">
        <f>6.6-0.5</f>
        <v>6.1</v>
      </c>
      <c r="V111" s="498">
        <f>11.5-0.9</f>
        <v>10.6</v>
      </c>
      <c r="W111" s="498">
        <f t="shared" si="78"/>
        <v>-5</v>
      </c>
      <c r="X111" s="498">
        <v>-5</v>
      </c>
      <c r="Y111" s="498">
        <f>45-35.8</f>
        <v>9.2000000000000028</v>
      </c>
      <c r="Z111" s="498">
        <f>28-36.2</f>
        <v>-8.2000000000000028</v>
      </c>
      <c r="AA111" s="498">
        <v>-87.9</v>
      </c>
      <c r="AB111" s="498">
        <f t="shared" si="79"/>
        <v>-96.2</v>
      </c>
      <c r="AC111" s="498">
        <v>-96.2</v>
      </c>
      <c r="AD111" s="498">
        <v>55.7</v>
      </c>
      <c r="AE111" s="498">
        <v>79.599999999999994</v>
      </c>
      <c r="AF111" s="498">
        <v>79.400000000000006</v>
      </c>
      <c r="AG111" s="498">
        <f t="shared" si="80"/>
        <v>79.3</v>
      </c>
      <c r="AH111" s="498">
        <v>79.3</v>
      </c>
      <c r="AI111" s="498">
        <v>4.2</v>
      </c>
      <c r="AJ111" s="498">
        <f>171.5-167+3.9</f>
        <v>8.4</v>
      </c>
      <c r="AK111" s="498">
        <f>3+171.5-167-10.9</f>
        <v>-3.4000000000000004</v>
      </c>
      <c r="AL111" s="498">
        <f>3+171.5-167-10.9</f>
        <v>-3.4000000000000004</v>
      </c>
      <c r="AM111" s="498">
        <f t="shared" si="115"/>
        <v>-3.4000000000000004</v>
      </c>
      <c r="AN111" s="498">
        <v>-30</v>
      </c>
      <c r="AO111" s="498">
        <v>-30</v>
      </c>
      <c r="AP111" s="498">
        <f>100+-164.1+-1.3</f>
        <v>-65.399999999999991</v>
      </c>
      <c r="AQ111" s="498">
        <f t="shared" si="109"/>
        <v>-62.699999999999989</v>
      </c>
      <c r="AR111" s="498">
        <f>3.9+100+-164.1+-2.5</f>
        <v>-62.699999999999989</v>
      </c>
      <c r="AS111" s="498">
        <v>-150</v>
      </c>
      <c r="AT111" s="498">
        <v>-60</v>
      </c>
      <c r="AU111" s="498">
        <v>-61</v>
      </c>
      <c r="AV111" s="498">
        <f t="shared" si="110"/>
        <v>-57</v>
      </c>
      <c r="AW111" s="611">
        <v>-57</v>
      </c>
      <c r="AX111" s="612">
        <f>0.7-1.2</f>
        <v>-0.5</v>
      </c>
      <c r="AY111" s="612">
        <v>-2.5</v>
      </c>
      <c r="AZ111" s="612">
        <v>-5</v>
      </c>
      <c r="BA111" s="612">
        <f t="shared" si="111"/>
        <v>-7.5</v>
      </c>
      <c r="BB111" s="692">
        <f>-7.5</f>
        <v>-7.5</v>
      </c>
      <c r="BC111" s="692">
        <v>-2.5</v>
      </c>
      <c r="BD111" s="692">
        <f>-85-165</f>
        <v>-250</v>
      </c>
      <c r="BE111" s="692">
        <f>-85-165-47</f>
        <v>-297</v>
      </c>
      <c r="BF111" s="692">
        <f>BG111</f>
        <v>-267</v>
      </c>
      <c r="BG111" s="692">
        <f>-(165+85+17)</f>
        <v>-267</v>
      </c>
      <c r="BH111" s="692">
        <v>0</v>
      </c>
      <c r="BI111" s="692">
        <v>0</v>
      </c>
      <c r="BJ111" s="692">
        <f>-481-51</f>
        <v>-532</v>
      </c>
      <c r="BK111" s="692">
        <f>-481-66</f>
        <v>-547</v>
      </c>
      <c r="BL111" s="692">
        <f>BK111</f>
        <v>-547</v>
      </c>
      <c r="BM111" s="692">
        <f>65</f>
        <v>65</v>
      </c>
      <c r="BN111" s="692">
        <f>92.8</f>
        <v>92.8</v>
      </c>
      <c r="BO111" s="692">
        <v>-115</v>
      </c>
      <c r="BP111" s="692">
        <v>-135</v>
      </c>
      <c r="BQ111" s="692">
        <f>BP111</f>
        <v>-135</v>
      </c>
      <c r="BR111" s="692">
        <v>0</v>
      </c>
      <c r="BS111" s="692"/>
      <c r="BT111" s="692"/>
      <c r="BU111" s="692"/>
      <c r="BV111" s="692">
        <f>BU111</f>
        <v>0</v>
      </c>
      <c r="BW111" s="692">
        <v>-280</v>
      </c>
      <c r="BX111" s="692">
        <v>-300</v>
      </c>
      <c r="BY111" s="692">
        <v>-290</v>
      </c>
      <c r="BZ111" s="692">
        <v>-315</v>
      </c>
      <c r="CA111" s="692">
        <f>BZ111</f>
        <v>-315</v>
      </c>
      <c r="CB111" s="692">
        <f>-105+133</f>
        <v>28</v>
      </c>
      <c r="CC111" s="692">
        <f>379-244</f>
        <v>135</v>
      </c>
      <c r="CD111" s="692">
        <f>662-477</f>
        <v>185</v>
      </c>
      <c r="CE111" s="692">
        <f>752-600</f>
        <v>152</v>
      </c>
      <c r="CF111" s="692">
        <f>CE111</f>
        <v>152</v>
      </c>
      <c r="CG111" s="692">
        <f>289-77</f>
        <v>212</v>
      </c>
      <c r="CH111" s="692">
        <f>408-30+345-547</f>
        <v>176</v>
      </c>
      <c r="CI111" s="692">
        <v>177</v>
      </c>
      <c r="CJ111" s="692">
        <v>111</v>
      </c>
      <c r="CK111" s="692">
        <f>CJ111</f>
        <v>111</v>
      </c>
      <c r="CL111" s="498">
        <v>380</v>
      </c>
      <c r="CM111" s="611"/>
    </row>
    <row r="112" spans="1:99">
      <c r="A112" s="632"/>
      <c r="B112" s="498" t="s">
        <v>249</v>
      </c>
      <c r="I112" s="498">
        <v>-39.200000000000003</v>
      </c>
      <c r="K112" s="498">
        <v>-1.2</v>
      </c>
      <c r="L112" s="498">
        <v>-0.3</v>
      </c>
      <c r="M112" s="498">
        <f t="shared" si="76"/>
        <v>-1.6</v>
      </c>
      <c r="N112" s="498">
        <v>-1.6</v>
      </c>
      <c r="O112" s="498">
        <v>1.4</v>
      </c>
      <c r="P112" s="498">
        <v>4.0999999999999996</v>
      </c>
      <c r="Q112" s="498">
        <v>2</v>
      </c>
      <c r="R112" s="498">
        <f t="shared" si="77"/>
        <v>0.7</v>
      </c>
      <c r="S112" s="498">
        <v>0.7</v>
      </c>
      <c r="T112" s="498">
        <v>2.9</v>
      </c>
      <c r="U112" s="498">
        <v>1.3</v>
      </c>
      <c r="V112" s="498">
        <v>1</v>
      </c>
      <c r="W112" s="498">
        <f t="shared" si="78"/>
        <v>-1.6</v>
      </c>
      <c r="X112" s="498">
        <v>-1.6</v>
      </c>
      <c r="Z112" s="498">
        <v>-0.2</v>
      </c>
      <c r="AA112" s="498">
        <v>-0.1</v>
      </c>
      <c r="AB112" s="498">
        <f t="shared" si="79"/>
        <v>-0.6</v>
      </c>
      <c r="AC112" s="498">
        <v>-0.6</v>
      </c>
      <c r="AD112" s="498">
        <v>-0.1</v>
      </c>
      <c r="AE112" s="498">
        <v>-0.2</v>
      </c>
      <c r="AF112" s="498">
        <v>-0.3</v>
      </c>
      <c r="AG112" s="498">
        <f t="shared" si="80"/>
        <v>-0.4</v>
      </c>
      <c r="AH112" s="498">
        <v>-0.4</v>
      </c>
      <c r="AI112" s="498">
        <v>-0.1</v>
      </c>
      <c r="AJ112" s="498">
        <v>0.6</v>
      </c>
      <c r="AL112" s="498">
        <v>0.3</v>
      </c>
      <c r="AM112" s="498">
        <f t="shared" si="115"/>
        <v>0.3</v>
      </c>
      <c r="AN112" s="498">
        <v>-0.1</v>
      </c>
      <c r="AO112" s="498">
        <v>-0.2</v>
      </c>
      <c r="AP112" s="498">
        <v>-0.2</v>
      </c>
      <c r="AQ112" s="498">
        <f t="shared" si="109"/>
        <v>-0.5</v>
      </c>
      <c r="AR112" s="498">
        <v>-0.5</v>
      </c>
      <c r="AS112" s="498">
        <f>-1.3-1.2-0.1</f>
        <v>-2.6</v>
      </c>
      <c r="AT112" s="498">
        <f>-2.5-3.4-0.2</f>
        <v>-6.1000000000000005</v>
      </c>
      <c r="AU112" s="498">
        <f>+-3.3+-3.8+-0.3</f>
        <v>-7.3999999999999995</v>
      </c>
      <c r="AV112" s="498">
        <f t="shared" si="110"/>
        <v>-8</v>
      </c>
      <c r="AW112" s="611">
        <f>+-5-2.3-0.7</f>
        <v>-8</v>
      </c>
      <c r="AX112" s="498">
        <v>-0.2</v>
      </c>
      <c r="AY112" s="498">
        <v>4.0999999999999996</v>
      </c>
      <c r="AZ112" s="498">
        <v>1.8</v>
      </c>
      <c r="BA112" s="498">
        <f t="shared" si="111"/>
        <v>-0.5</v>
      </c>
      <c r="BB112" s="692">
        <v>-0.5</v>
      </c>
      <c r="BC112" s="692">
        <v>-1.3</v>
      </c>
      <c r="BD112" s="692">
        <v>-1.6</v>
      </c>
      <c r="BE112" s="692">
        <v>-1.9</v>
      </c>
      <c r="BF112" s="692">
        <f>BG112</f>
        <v>-3.8</v>
      </c>
      <c r="BG112" s="692">
        <v>-3.8</v>
      </c>
      <c r="BH112" s="692">
        <v>-0.2</v>
      </c>
      <c r="BI112" s="692">
        <v>-0.2</v>
      </c>
      <c r="BJ112" s="692">
        <v>-0.2</v>
      </c>
      <c r="BK112" s="692">
        <v>-1.7</v>
      </c>
      <c r="BL112" s="692">
        <f>BK112</f>
        <v>-1.7</v>
      </c>
      <c r="BM112" s="692">
        <v>0</v>
      </c>
      <c r="BN112" s="692"/>
      <c r="BO112" s="692"/>
      <c r="BP112" s="692">
        <v>-1.2</v>
      </c>
      <c r="BQ112" s="692">
        <f>BP112</f>
        <v>-1.2</v>
      </c>
      <c r="BR112" s="692">
        <v>-6.9</v>
      </c>
      <c r="BS112" s="692">
        <f>-1.7-0.2</f>
        <v>-1.9</v>
      </c>
      <c r="BT112" s="692">
        <f>-1.7-0.4</f>
        <v>-2.1</v>
      </c>
      <c r="BU112" s="692">
        <f>1.1-1.7</f>
        <v>-0.59999999999999987</v>
      </c>
      <c r="BV112" s="692">
        <f>BU112</f>
        <v>-0.59999999999999987</v>
      </c>
      <c r="BW112" s="692">
        <v>-0.1</v>
      </c>
      <c r="BX112" s="692">
        <v>-4.0999999999999996</v>
      </c>
      <c r="BY112" s="692">
        <v>-4.0999999999999996</v>
      </c>
      <c r="BZ112" s="692">
        <v>-4.0999999999999996</v>
      </c>
      <c r="CA112" s="692">
        <f>BZ112</f>
        <v>-4.0999999999999996</v>
      </c>
      <c r="CB112" s="692">
        <v>0</v>
      </c>
      <c r="CC112" s="692">
        <v>-4.2</v>
      </c>
      <c r="CD112" s="692">
        <v>-4.2</v>
      </c>
      <c r="CE112" s="692">
        <f>-4.2-0.2+0.2</f>
        <v>-4.2</v>
      </c>
      <c r="CF112" s="692">
        <f>CE112</f>
        <v>-4.2</v>
      </c>
      <c r="CG112" s="692">
        <v>-0.2</v>
      </c>
      <c r="CH112" s="692">
        <v>-9.4</v>
      </c>
      <c r="CI112" s="692">
        <v>-9.6</v>
      </c>
      <c r="CJ112" s="692">
        <v>-9.8000000000000007</v>
      </c>
      <c r="CK112" s="692">
        <f>CJ112</f>
        <v>-9.8000000000000007</v>
      </c>
      <c r="CL112" s="498">
        <v>-0.1</v>
      </c>
      <c r="CM112" s="611"/>
    </row>
    <row r="113" spans="1:97">
      <c r="A113" s="632"/>
      <c r="B113" s="498" t="s">
        <v>99</v>
      </c>
      <c r="D113" s="498">
        <v>-10.263999999999999</v>
      </c>
      <c r="E113" s="498">
        <v>-11</v>
      </c>
      <c r="F113" s="498">
        <v>-0.9</v>
      </c>
      <c r="G113" s="498">
        <v>-3.5</v>
      </c>
      <c r="I113" s="498">
        <v>-14.1</v>
      </c>
      <c r="M113" s="498">
        <f t="shared" si="76"/>
        <v>0</v>
      </c>
      <c r="O113" s="498">
        <v>-11.8</v>
      </c>
      <c r="P113" s="498">
        <v>-12.2</v>
      </c>
      <c r="Q113" s="498">
        <v>-12.1</v>
      </c>
      <c r="R113" s="498">
        <f t="shared" si="77"/>
        <v>-12.1</v>
      </c>
      <c r="S113" s="498">
        <v>-12.1</v>
      </c>
      <c r="W113" s="498">
        <f t="shared" si="78"/>
        <v>0</v>
      </c>
      <c r="X113" s="498">
        <v>0</v>
      </c>
      <c r="AB113" s="498">
        <f t="shared" si="79"/>
        <v>0</v>
      </c>
      <c r="AC113" s="498">
        <v>0</v>
      </c>
      <c r="AG113" s="498">
        <f t="shared" si="80"/>
        <v>0</v>
      </c>
      <c r="AJ113" s="498">
        <v>-10.3</v>
      </c>
      <c r="AK113" s="498">
        <v>-10.4</v>
      </c>
      <c r="AL113" s="498">
        <v>-10.3</v>
      </c>
      <c r="AM113" s="498">
        <f t="shared" si="115"/>
        <v>-10.3</v>
      </c>
      <c r="AP113" s="498">
        <v>-3.7</v>
      </c>
      <c r="AQ113" s="498">
        <f t="shared" si="109"/>
        <v>-5.0999999999999996</v>
      </c>
      <c r="AR113" s="498">
        <v>-5.0999999999999996</v>
      </c>
      <c r="AW113" s="611"/>
      <c r="AY113" s="498">
        <v>-0.6</v>
      </c>
      <c r="AZ113" s="498">
        <v>-0.6</v>
      </c>
      <c r="BA113" s="498">
        <f t="shared" si="111"/>
        <v>-0.6</v>
      </c>
      <c r="BB113" s="692">
        <v>-0.6</v>
      </c>
      <c r="BC113" s="692"/>
      <c r="BD113" s="692">
        <v>-2.2000000000000002</v>
      </c>
      <c r="BE113" s="692">
        <v>-2.4</v>
      </c>
      <c r="BF113" s="692">
        <f>BG113</f>
        <v>-2.4</v>
      </c>
      <c r="BG113" s="692">
        <v>-2.4</v>
      </c>
      <c r="BH113" s="692"/>
      <c r="BI113" s="692"/>
      <c r="BJ113" s="692">
        <v>-1.3</v>
      </c>
      <c r="BK113" s="692">
        <v>-1.4</v>
      </c>
      <c r="BL113" s="692">
        <f>BK113</f>
        <v>-1.4</v>
      </c>
      <c r="BM113" s="692">
        <v>0</v>
      </c>
      <c r="BN113" s="692"/>
      <c r="BO113" s="692"/>
      <c r="BP113" s="692">
        <v>-3.6</v>
      </c>
      <c r="BQ113" s="692">
        <f>BP113</f>
        <v>-3.6</v>
      </c>
      <c r="BR113" s="692">
        <v>0</v>
      </c>
      <c r="BS113" s="692"/>
      <c r="BT113" s="692"/>
      <c r="BU113" s="692"/>
      <c r="BV113" s="692">
        <f>BU113</f>
        <v>0</v>
      </c>
      <c r="BW113" s="692">
        <v>-3.7</v>
      </c>
      <c r="BX113" s="692">
        <v>-3.7</v>
      </c>
      <c r="BY113" s="692">
        <v>-3.7</v>
      </c>
      <c r="BZ113" s="692">
        <v>-3.7</v>
      </c>
      <c r="CA113" s="692">
        <f>BZ113</f>
        <v>-3.7</v>
      </c>
      <c r="CB113" s="692">
        <v>0</v>
      </c>
      <c r="CC113" s="692">
        <v>0</v>
      </c>
      <c r="CD113" s="692">
        <v>0.3</v>
      </c>
      <c r="CE113" s="692"/>
      <c r="CF113" s="692">
        <f>CE113</f>
        <v>0</v>
      </c>
      <c r="CG113" s="692"/>
      <c r="CH113" s="692"/>
      <c r="CI113" s="692">
        <v>-2.2000000000000002</v>
      </c>
      <c r="CJ113" s="692">
        <v>-2.5</v>
      </c>
      <c r="CK113" s="692">
        <f>CJ113</f>
        <v>-2.5</v>
      </c>
      <c r="CM113" s="611"/>
    </row>
    <row r="114" spans="1:97">
      <c r="A114" s="632"/>
      <c r="B114" s="498" t="s">
        <v>100</v>
      </c>
      <c r="M114" s="498">
        <f t="shared" si="76"/>
        <v>0</v>
      </c>
      <c r="O114" s="498">
        <v>-30</v>
      </c>
      <c r="P114" s="498">
        <v>-30</v>
      </c>
      <c r="Q114" s="498">
        <v>-30</v>
      </c>
      <c r="R114" s="498">
        <f t="shared" si="77"/>
        <v>-30</v>
      </c>
      <c r="S114" s="498">
        <v>-30</v>
      </c>
      <c r="W114" s="498">
        <f t="shared" si="78"/>
        <v>0</v>
      </c>
      <c r="X114" s="498">
        <v>0</v>
      </c>
      <c r="AB114" s="498">
        <f t="shared" si="79"/>
        <v>0</v>
      </c>
      <c r="AC114" s="498">
        <v>0</v>
      </c>
      <c r="AG114" s="498">
        <f t="shared" si="80"/>
        <v>0</v>
      </c>
      <c r="AM114" s="498">
        <f t="shared" si="115"/>
        <v>0</v>
      </c>
      <c r="AS114" s="498">
        <v>-3.4</v>
      </c>
      <c r="AT114" s="498">
        <v>-3.3</v>
      </c>
      <c r="AU114" s="498">
        <v>-3.4</v>
      </c>
      <c r="AV114" s="498">
        <f>AW114</f>
        <v>-3.4</v>
      </c>
      <c r="AW114" s="611">
        <v>-3.4</v>
      </c>
      <c r="BA114" s="498">
        <f t="shared" si="111"/>
        <v>-0.8</v>
      </c>
      <c r="BB114" s="692">
        <v>-0.8</v>
      </c>
      <c r="BC114" s="692"/>
      <c r="BD114" s="692"/>
      <c r="BE114" s="692"/>
      <c r="BF114" s="692"/>
      <c r="BG114" s="692">
        <v>0</v>
      </c>
      <c r="BH114" s="692">
        <v>0</v>
      </c>
      <c r="BI114" s="692">
        <v>0</v>
      </c>
      <c r="BJ114" s="692">
        <v>0</v>
      </c>
      <c r="BK114" s="692">
        <v>0</v>
      </c>
      <c r="BL114" s="692">
        <v>0</v>
      </c>
      <c r="BM114" s="692">
        <v>0</v>
      </c>
      <c r="BN114" s="692">
        <v>0</v>
      </c>
      <c r="BO114" s="692">
        <v>0</v>
      </c>
      <c r="BP114" s="692">
        <v>0</v>
      </c>
      <c r="BQ114" s="692">
        <v>0</v>
      </c>
      <c r="BR114" s="692">
        <v>0</v>
      </c>
      <c r="BS114" s="692">
        <v>0</v>
      </c>
      <c r="BT114" s="692">
        <v>0</v>
      </c>
      <c r="BU114" s="692">
        <v>0</v>
      </c>
      <c r="BV114" s="692">
        <v>0</v>
      </c>
      <c r="BW114" s="692">
        <v>0</v>
      </c>
      <c r="BX114" s="692">
        <v>0</v>
      </c>
      <c r="BY114" s="692">
        <v>0</v>
      </c>
      <c r="BZ114" s="692">
        <v>0</v>
      </c>
      <c r="CA114" s="692">
        <v>0</v>
      </c>
      <c r="CB114" s="692">
        <v>0</v>
      </c>
      <c r="CC114" s="692">
        <v>0</v>
      </c>
      <c r="CD114" s="692">
        <v>0</v>
      </c>
      <c r="CE114" s="692">
        <v>0</v>
      </c>
      <c r="CF114" s="692">
        <v>0</v>
      </c>
      <c r="CG114" s="692">
        <v>0</v>
      </c>
      <c r="CH114" s="692">
        <v>0</v>
      </c>
      <c r="CI114" s="692">
        <v>0</v>
      </c>
      <c r="CJ114" s="692">
        <v>0</v>
      </c>
      <c r="CK114" s="692">
        <v>0</v>
      </c>
      <c r="CM114" s="611"/>
    </row>
    <row r="115" spans="1:97">
      <c r="A115" s="632"/>
      <c r="B115" s="498" t="s">
        <v>173</v>
      </c>
      <c r="C115" s="498">
        <v>6.5380000000000003</v>
      </c>
      <c r="M115" s="498">
        <f t="shared" si="76"/>
        <v>0</v>
      </c>
      <c r="R115" s="498">
        <f t="shared" si="77"/>
        <v>0</v>
      </c>
      <c r="W115" s="498">
        <f t="shared" si="78"/>
        <v>0</v>
      </c>
      <c r="AB115" s="498">
        <f t="shared" si="79"/>
        <v>0</v>
      </c>
      <c r="AG115" s="498">
        <f t="shared" si="80"/>
        <v>0</v>
      </c>
      <c r="AM115" s="498">
        <f t="shared" si="115"/>
        <v>0</v>
      </c>
      <c r="AW115" s="611"/>
      <c r="BB115" s="692"/>
      <c r="BC115" s="692"/>
      <c r="BD115" s="692"/>
      <c r="BE115" s="692"/>
      <c r="BF115" s="692"/>
      <c r="BG115" s="692"/>
      <c r="BH115" s="692"/>
      <c r="BI115" s="692"/>
      <c r="BJ115" s="692"/>
      <c r="BK115" s="692"/>
      <c r="BL115" s="692"/>
      <c r="BM115" s="692">
        <v>-9.6</v>
      </c>
      <c r="BN115" s="692">
        <v>-19.2</v>
      </c>
      <c r="BO115" s="692">
        <v>-28.9</v>
      </c>
      <c r="BP115" s="692">
        <v>-38.299999999999997</v>
      </c>
      <c r="BQ115" s="692"/>
      <c r="BR115" s="692">
        <v>-9.3000000000000007</v>
      </c>
      <c r="BS115" s="692">
        <v>-19.600000000000001</v>
      </c>
      <c r="BT115" s="692">
        <v>-29.7</v>
      </c>
      <c r="BU115" s="692">
        <v>-39.799999999999997</v>
      </c>
      <c r="BV115" s="692"/>
      <c r="BW115" s="692">
        <v>-10.1</v>
      </c>
      <c r="BX115" s="692">
        <v>-20.100000000000001</v>
      </c>
      <c r="BY115" s="692">
        <v>-31.3</v>
      </c>
      <c r="BZ115" s="692">
        <v>-42.6</v>
      </c>
      <c r="CA115" s="692"/>
      <c r="CB115" s="692">
        <v>-11.2</v>
      </c>
      <c r="CC115" s="692">
        <v>-22.4</v>
      </c>
      <c r="CD115" s="692">
        <v>-35.5</v>
      </c>
      <c r="CE115" s="692">
        <v>-48.4</v>
      </c>
      <c r="CF115" s="692">
        <f>CE115</f>
        <v>-48.4</v>
      </c>
      <c r="CG115" s="692">
        <v>-12.7</v>
      </c>
      <c r="CH115" s="692">
        <v>-25.5</v>
      </c>
      <c r="CI115" s="692">
        <v>-39.9</v>
      </c>
      <c r="CJ115" s="692">
        <v>-54.2</v>
      </c>
      <c r="CK115" s="692">
        <f>CJ115</f>
        <v>-54.2</v>
      </c>
      <c r="CL115" s="498">
        <v>-14.2</v>
      </c>
      <c r="CM115" s="611"/>
    </row>
    <row r="116" spans="1:97">
      <c r="A116" s="632"/>
      <c r="B116" s="498" t="s">
        <v>271</v>
      </c>
      <c r="D116" s="498">
        <v>-10</v>
      </c>
      <c r="F116" s="498">
        <v>-0.5</v>
      </c>
      <c r="M116" s="498">
        <f t="shared" si="76"/>
        <v>0</v>
      </c>
      <c r="R116" s="498">
        <f t="shared" si="77"/>
        <v>0</v>
      </c>
      <c r="W116" s="498">
        <f t="shared" si="78"/>
        <v>0</v>
      </c>
      <c r="AB116" s="498">
        <f t="shared" si="79"/>
        <v>0</v>
      </c>
      <c r="AG116" s="498">
        <f t="shared" si="80"/>
        <v>0</v>
      </c>
      <c r="AM116" s="498">
        <f t="shared" si="115"/>
        <v>0</v>
      </c>
      <c r="AW116" s="611"/>
      <c r="BB116" s="692"/>
      <c r="BC116" s="692">
        <v>-15</v>
      </c>
      <c r="BD116" s="692">
        <v>-50</v>
      </c>
      <c r="BE116" s="692">
        <v>-50</v>
      </c>
      <c r="BF116" s="692">
        <f>BG116</f>
        <v>-90</v>
      </c>
      <c r="BG116" s="692">
        <v>-90</v>
      </c>
      <c r="BH116" s="692">
        <v>-48.3</v>
      </c>
      <c r="BI116" s="692">
        <v>-114.5</v>
      </c>
      <c r="BJ116" s="692">
        <v>-160</v>
      </c>
      <c r="BK116" s="692">
        <v>-160</v>
      </c>
      <c r="BL116" s="692">
        <f>BK116</f>
        <v>-160</v>
      </c>
      <c r="BM116" s="692">
        <v>0</v>
      </c>
      <c r="BN116" s="692">
        <v>0</v>
      </c>
      <c r="BO116" s="692">
        <v>-100</v>
      </c>
      <c r="BP116" s="692">
        <v>-146.1</v>
      </c>
      <c r="BQ116" s="692">
        <f>BP116</f>
        <v>-146.1</v>
      </c>
      <c r="BR116" s="692">
        <v>-34.9</v>
      </c>
      <c r="BS116" s="692">
        <v>-54.9</v>
      </c>
      <c r="BT116" s="692">
        <v>-84.9</v>
      </c>
      <c r="BU116" s="692">
        <v>-111.1</v>
      </c>
      <c r="BV116" s="692">
        <f>BU116</f>
        <v>-111.1</v>
      </c>
      <c r="BW116" s="692">
        <v>-63.7</v>
      </c>
      <c r="BX116" s="692">
        <v>-120.8</v>
      </c>
      <c r="BY116" s="692">
        <v>-122</v>
      </c>
      <c r="BZ116" s="692">
        <v>-150.30000000000001</v>
      </c>
      <c r="CA116" s="692">
        <f>BZ116</f>
        <v>-150.30000000000001</v>
      </c>
      <c r="CB116" s="692">
        <v>-30.1</v>
      </c>
      <c r="CC116" s="692">
        <v>-181</v>
      </c>
      <c r="CD116" s="692">
        <v>-282.8</v>
      </c>
      <c r="CE116" s="692">
        <v>-357.7</v>
      </c>
      <c r="CF116" s="692">
        <f>CE116</f>
        <v>-357.7</v>
      </c>
      <c r="CG116" s="692">
        <v>-11.2</v>
      </c>
      <c r="CH116" s="692">
        <v>-11.2</v>
      </c>
      <c r="CI116" s="692">
        <v>-66.900000000000006</v>
      </c>
      <c r="CJ116" s="692">
        <v>-143</v>
      </c>
      <c r="CK116" s="692">
        <f>CJ116</f>
        <v>-143</v>
      </c>
      <c r="CL116" s="498">
        <v>-24.6</v>
      </c>
      <c r="CM116" s="611"/>
    </row>
    <row r="117" spans="1:97" ht="15" thickBot="1">
      <c r="A117" s="632"/>
      <c r="B117" s="498" t="s">
        <v>77</v>
      </c>
      <c r="C117" s="613"/>
      <c r="D117" s="613">
        <v>2.7530000000000001</v>
      </c>
      <c r="E117" s="613">
        <v>1.4</v>
      </c>
      <c r="F117" s="613">
        <v>2.9</v>
      </c>
      <c r="G117" s="613">
        <v>-0.4</v>
      </c>
      <c r="H117" s="613"/>
      <c r="I117" s="613">
        <f>0.3+125</f>
        <v>125.3</v>
      </c>
      <c r="J117" s="613">
        <v>-0.4</v>
      </c>
      <c r="K117" s="613">
        <v>1.9</v>
      </c>
      <c r="L117" s="613">
        <v>3.6</v>
      </c>
      <c r="M117" s="613">
        <f t="shared" si="76"/>
        <v>12.8</v>
      </c>
      <c r="N117" s="613">
        <v>12.8</v>
      </c>
      <c r="O117" s="613">
        <v>2.2999999999999998</v>
      </c>
      <c r="P117" s="613">
        <v>5.8</v>
      </c>
      <c r="Q117" s="613">
        <v>10.1</v>
      </c>
      <c r="R117" s="613">
        <f t="shared" si="77"/>
        <v>15.2</v>
      </c>
      <c r="S117" s="613">
        <v>15.2</v>
      </c>
      <c r="T117" s="613">
        <v>3.6</v>
      </c>
      <c r="U117" s="613">
        <v>10.4</v>
      </c>
      <c r="V117" s="613">
        <v>10.7</v>
      </c>
      <c r="W117" s="613">
        <f t="shared" si="78"/>
        <v>10.6</v>
      </c>
      <c r="X117" s="613">
        <v>10.6</v>
      </c>
      <c r="Y117" s="613">
        <v>3.3</v>
      </c>
      <c r="Z117" s="613">
        <v>7.6</v>
      </c>
      <c r="AA117" s="613">
        <v>17.100000000000001</v>
      </c>
      <c r="AB117" s="613">
        <f t="shared" si="79"/>
        <v>21.3</v>
      </c>
      <c r="AC117" s="613">
        <v>21.3</v>
      </c>
      <c r="AD117" s="613">
        <v>-0.3</v>
      </c>
      <c r="AE117" s="613">
        <v>1.8</v>
      </c>
      <c r="AF117" s="613">
        <v>1.4</v>
      </c>
      <c r="AG117" s="613">
        <f t="shared" si="80"/>
        <v>1.2</v>
      </c>
      <c r="AH117" s="613">
        <v>1.2</v>
      </c>
      <c r="AI117" s="613">
        <v>-0.7</v>
      </c>
      <c r="AJ117" s="613">
        <v>-0.6</v>
      </c>
      <c r="AK117" s="613">
        <f>-0.5+0.5</f>
        <v>0</v>
      </c>
      <c r="AL117" s="498">
        <v>0.7</v>
      </c>
      <c r="AM117" s="613">
        <f t="shared" si="115"/>
        <v>0.7</v>
      </c>
      <c r="AN117" s="613">
        <v>-0.8</v>
      </c>
      <c r="AO117" s="613">
        <v>0.6</v>
      </c>
      <c r="AP117" s="613">
        <v>1.2</v>
      </c>
      <c r="AQ117" s="613">
        <f>AR117</f>
        <v>3.1</v>
      </c>
      <c r="AR117" s="613">
        <v>3.1</v>
      </c>
      <c r="AS117" s="613">
        <v>3.1</v>
      </c>
      <c r="AT117" s="613">
        <v>7.4</v>
      </c>
      <c r="AU117" s="613">
        <v>9.1</v>
      </c>
      <c r="AV117" s="613">
        <f>AW117</f>
        <v>10.5</v>
      </c>
      <c r="AW117" s="615">
        <v>10.5</v>
      </c>
      <c r="AX117" s="498">
        <v>0.8</v>
      </c>
      <c r="AY117" s="498">
        <v>2.5</v>
      </c>
      <c r="AZ117" s="498">
        <f>3+-0.8</f>
        <v>2.2000000000000002</v>
      </c>
      <c r="BA117" s="498">
        <f>BB117</f>
        <v>4.0999999999999996</v>
      </c>
      <c r="BB117" s="692">
        <v>4.0999999999999996</v>
      </c>
      <c r="BC117" s="692">
        <v>-0.3</v>
      </c>
      <c r="BD117" s="692">
        <v>3.8</v>
      </c>
      <c r="BE117" s="692">
        <v>5.6</v>
      </c>
      <c r="BF117" s="692">
        <f>BG117</f>
        <v>7</v>
      </c>
      <c r="BG117" s="692">
        <v>7</v>
      </c>
      <c r="BH117" s="692">
        <v>-5.2</v>
      </c>
      <c r="BI117" s="692">
        <v>-0.5</v>
      </c>
      <c r="BJ117" s="692">
        <v>2.2000000000000002</v>
      </c>
      <c r="BK117" s="692">
        <v>3.2</v>
      </c>
      <c r="BL117" s="692">
        <f>BK117</f>
        <v>3.2</v>
      </c>
      <c r="BM117" s="692">
        <v>10.4</v>
      </c>
      <c r="BN117" s="692">
        <v>11</v>
      </c>
      <c r="BO117" s="692">
        <f>13.2-3.6</f>
        <v>9.6</v>
      </c>
      <c r="BP117" s="692">
        <v>13.3</v>
      </c>
      <c r="BQ117" s="692">
        <f>BP117</f>
        <v>13.3</v>
      </c>
      <c r="BR117" s="692">
        <v>-5</v>
      </c>
      <c r="BS117" s="692">
        <v>-4.7</v>
      </c>
      <c r="BT117" s="692">
        <v>-1</v>
      </c>
      <c r="BU117" s="692">
        <v>0.3</v>
      </c>
      <c r="BV117" s="692">
        <f>BU117</f>
        <v>0.3</v>
      </c>
      <c r="BW117" s="692">
        <f>-0.3+10</f>
        <v>9.6999999999999993</v>
      </c>
      <c r="BX117" s="692">
        <f>5.6+0.2+10</f>
        <v>15.8</v>
      </c>
      <c r="BY117" s="692">
        <f>10+6.8-0.4</f>
        <v>16.400000000000002</v>
      </c>
      <c r="BZ117" s="692">
        <f>10-0.5+12.2</f>
        <v>21.7</v>
      </c>
      <c r="CA117" s="692">
        <f>BZ117</f>
        <v>21.7</v>
      </c>
      <c r="CB117" s="692">
        <v>-2.2000000000000002</v>
      </c>
      <c r="CC117" s="692">
        <v>-0.7</v>
      </c>
      <c r="CD117" s="692">
        <v>0.4</v>
      </c>
      <c r="CE117" s="692">
        <v>1</v>
      </c>
      <c r="CF117" s="692">
        <f>CE117</f>
        <v>1</v>
      </c>
      <c r="CG117" s="692">
        <v>-3</v>
      </c>
      <c r="CH117" s="692">
        <f>-2.2+0.5</f>
        <v>-1.7000000000000002</v>
      </c>
      <c r="CI117" s="692">
        <v>6.4</v>
      </c>
      <c r="CJ117" s="692">
        <v>7.1</v>
      </c>
      <c r="CK117" s="692">
        <f>CJ117</f>
        <v>7.1</v>
      </c>
      <c r="CL117" s="498">
        <f>-6.4-49.9</f>
        <v>-56.3</v>
      </c>
      <c r="CM117" s="611"/>
    </row>
    <row r="118" spans="1:97">
      <c r="A118" s="632"/>
      <c r="B118" s="526" t="s">
        <v>251</v>
      </c>
      <c r="C118" s="526">
        <f t="shared" ref="C118:L118" si="116">SUM(C109:C117)</f>
        <v>57.244</v>
      </c>
      <c r="D118" s="526">
        <f t="shared" si="116"/>
        <v>440.66499999999996</v>
      </c>
      <c r="E118" s="526">
        <f t="shared" si="116"/>
        <v>-99.500000000000028</v>
      </c>
      <c r="F118" s="526">
        <f t="shared" si="116"/>
        <v>-95</v>
      </c>
      <c r="G118" s="526">
        <f t="shared" si="116"/>
        <v>8.7000000000000011</v>
      </c>
      <c r="H118" s="526">
        <f t="shared" si="116"/>
        <v>-67.3</v>
      </c>
      <c r="I118" s="526">
        <f t="shared" si="116"/>
        <v>-26.899999999999963</v>
      </c>
      <c r="J118" s="526">
        <f t="shared" si="116"/>
        <v>-16.100000000000001</v>
      </c>
      <c r="K118" s="526">
        <f t="shared" si="116"/>
        <v>-14.399999999999997</v>
      </c>
      <c r="L118" s="526">
        <f t="shared" si="116"/>
        <v>-23.7</v>
      </c>
      <c r="M118" s="526">
        <f t="shared" si="76"/>
        <v>-41.600000000000009</v>
      </c>
      <c r="N118" s="526">
        <f>SUM(N109:N117)</f>
        <v>-41.600000000000009</v>
      </c>
      <c r="O118" s="526">
        <f>SUM(O109:O117)</f>
        <v>9.399999999999995</v>
      </c>
      <c r="P118" s="526">
        <f>SUM(P109:P117)</f>
        <v>-16.799999999999997</v>
      </c>
      <c r="Q118" s="526">
        <f>SUM(Q109:Q117)</f>
        <v>-39.5</v>
      </c>
      <c r="R118" s="526">
        <f t="shared" si="77"/>
        <v>-40.700000000000003</v>
      </c>
      <c r="S118" s="526">
        <f>SUM(S109:S117)</f>
        <v>-40.700000000000003</v>
      </c>
      <c r="T118" s="526">
        <f>SUM(T109:T117)</f>
        <v>36.5</v>
      </c>
      <c r="U118" s="526">
        <f>SUM(U109:U117)</f>
        <v>17.8</v>
      </c>
      <c r="V118" s="526">
        <f>SUM(V109:V117)</f>
        <v>22.299999999999997</v>
      </c>
      <c r="W118" s="526">
        <f t="shared" si="78"/>
        <v>2.5999999999999996</v>
      </c>
      <c r="X118" s="526">
        <f>SUM(X109:X117)</f>
        <v>2.5999999999999996</v>
      </c>
      <c r="Y118" s="526">
        <f>SUM(Y109:Y117)</f>
        <v>12.500000000000004</v>
      </c>
      <c r="Z118" s="526">
        <f>SUM(Z109:Z117)</f>
        <v>-0.80000000000000249</v>
      </c>
      <c r="AA118" s="526">
        <f>SUM(AA109:AA117)</f>
        <v>-70.900000000000006</v>
      </c>
      <c r="AB118" s="526">
        <f t="shared" si="79"/>
        <v>-75.5</v>
      </c>
      <c r="AC118" s="526">
        <f>SUM(AC109:AC117)</f>
        <v>-75.5</v>
      </c>
      <c r="AD118" s="526">
        <f>SUM(AD109:AD117)</f>
        <v>55.300000000000004</v>
      </c>
      <c r="AE118" s="526">
        <f>SUM(AE110:AE117)</f>
        <v>81.199999999999989</v>
      </c>
      <c r="AF118" s="526">
        <f>SUM(AF110:AF117)</f>
        <v>80.500000000000014</v>
      </c>
      <c r="AG118" s="526">
        <f t="shared" si="80"/>
        <v>80.099999999999994</v>
      </c>
      <c r="AH118" s="526">
        <f>SUM(AH110:AH117)</f>
        <v>80.099999999999994</v>
      </c>
      <c r="AI118" s="526">
        <f>SUM(AI109:AI117)</f>
        <v>3.4000000000000004</v>
      </c>
      <c r="AJ118" s="526">
        <f>SUM(AJ109:AJ117)</f>
        <v>-1.9000000000000008</v>
      </c>
      <c r="AK118" s="526">
        <f>SUM(AK109:AK117)</f>
        <v>-13.8</v>
      </c>
      <c r="AL118" s="526">
        <f>SUM(AL109:AL117)</f>
        <v>-12.700000000000003</v>
      </c>
      <c r="AM118" s="526">
        <f>SUM(AM110:AM117)</f>
        <v>-12.700000000000003</v>
      </c>
      <c r="AN118" s="526">
        <f>SUM(AN109:AN117)</f>
        <v>-30.1</v>
      </c>
      <c r="AO118" s="526">
        <f>SUM(AO109:AO117)</f>
        <v>-27.9</v>
      </c>
      <c r="AP118" s="526">
        <f>SUM(AP109:AP117)</f>
        <v>-66.199999999999989</v>
      </c>
      <c r="AQ118" s="526">
        <f>AR118</f>
        <v>-65.199999999999989</v>
      </c>
      <c r="AR118" s="526">
        <f>SUM(AR110:AR117)</f>
        <v>-65.199999999999989</v>
      </c>
      <c r="AS118" s="526">
        <f>SUM(AS109:AS117)</f>
        <v>-52.9</v>
      </c>
      <c r="AT118" s="526">
        <f>SUM(AT109:AT117)</f>
        <v>-76.999999999999986</v>
      </c>
      <c r="AU118" s="526">
        <f>SUM(AU109:AU117)</f>
        <v>-77.700000000000017</v>
      </c>
      <c r="AV118" s="526">
        <f>AW118</f>
        <v>-74.400000000000006</v>
      </c>
      <c r="AW118" s="616">
        <f>SUM(AW109:AW117)</f>
        <v>-74.400000000000006</v>
      </c>
      <c r="AX118" s="526">
        <f>SUM(AX109:AX117)</f>
        <v>59.099999999999994</v>
      </c>
      <c r="AY118" s="617">
        <f>SUM(AY109:AY117)</f>
        <v>50.2</v>
      </c>
      <c r="AZ118" s="617">
        <f>SUM(AZ109:AZ117)</f>
        <v>46.9</v>
      </c>
      <c r="BA118" s="617">
        <f>BB118</f>
        <v>8.1999999999999993</v>
      </c>
      <c r="BB118" s="713">
        <f t="shared" ref="BB118:BK118" si="117">SUM(BB109:BB117)</f>
        <v>8.1999999999999993</v>
      </c>
      <c r="BC118" s="713">
        <f t="shared" si="117"/>
        <v>1.8999999999999992</v>
      </c>
      <c r="BD118" s="713">
        <f t="shared" si="117"/>
        <v>8.9999999999999964</v>
      </c>
      <c r="BE118" s="713">
        <f t="shared" si="117"/>
        <v>-36.699999999999996</v>
      </c>
      <c r="BF118" s="713">
        <f t="shared" si="117"/>
        <v>-47.199999999999996</v>
      </c>
      <c r="BG118" s="713">
        <f t="shared" si="117"/>
        <v>-47.199999999999996</v>
      </c>
      <c r="BH118" s="713">
        <f t="shared" si="117"/>
        <v>6.3</v>
      </c>
      <c r="BI118" s="713">
        <f t="shared" si="117"/>
        <v>-12.200000000000003</v>
      </c>
      <c r="BJ118" s="713">
        <f t="shared" si="117"/>
        <v>-21.3</v>
      </c>
      <c r="BK118" s="713">
        <f t="shared" si="117"/>
        <v>-36.900000000000006</v>
      </c>
      <c r="BL118" s="713">
        <f>BK118</f>
        <v>-36.900000000000006</v>
      </c>
      <c r="BM118" s="713">
        <f>SUM(BM109:BM117)</f>
        <v>65.8</v>
      </c>
      <c r="BN118" s="713">
        <f>SUM(BN109:BN117)</f>
        <v>84.6</v>
      </c>
      <c r="BO118" s="713">
        <f>SUM(BO109:BO117)</f>
        <v>65.699999999999989</v>
      </c>
      <c r="BP118" s="713">
        <f>SUM(BP109:BP117)</f>
        <v>-10.899999999999974</v>
      </c>
      <c r="BQ118" s="713">
        <f>BP118</f>
        <v>-10.899999999999974</v>
      </c>
      <c r="BR118" s="713">
        <f>SUM(BR109:BR117)</f>
        <v>54.9</v>
      </c>
      <c r="BS118" s="713">
        <f>SUM(BS109:BS117)</f>
        <v>41.999999999999993</v>
      </c>
      <c r="BT118" s="713">
        <f>SUM(BT109:BT117)</f>
        <v>-27.299999999999997</v>
      </c>
      <c r="BU118" s="713">
        <f>SUM(BU109:BU117)</f>
        <v>-46.799999999999983</v>
      </c>
      <c r="BV118" s="713">
        <f>BU118</f>
        <v>-46.799999999999983</v>
      </c>
      <c r="BW118" s="713">
        <f>SUM(BW109:BW117)</f>
        <v>87.800000000000011</v>
      </c>
      <c r="BX118" s="713">
        <f>SUM(BX109:BX117)</f>
        <v>2.7999999999999865</v>
      </c>
      <c r="BY118" s="713">
        <f>SUM(BY109:BY117)</f>
        <v>1.0000000000000107</v>
      </c>
      <c r="BZ118" s="713">
        <f>SUM(BZ109:BZ117)</f>
        <v>-58.300000000000026</v>
      </c>
      <c r="CA118" s="713">
        <f>BZ118</f>
        <v>-58.300000000000026</v>
      </c>
      <c r="CB118" s="713">
        <f>SUM(CB109:CB117)</f>
        <v>-15.5</v>
      </c>
      <c r="CC118" s="713">
        <f>SUM(CC109:CC117)</f>
        <v>-73.3</v>
      </c>
      <c r="CD118" s="713">
        <f>SUM(CD109:CD117)</f>
        <v>-136.79999999999998</v>
      </c>
      <c r="CE118" s="713">
        <f>SUM(CE109:CE117)</f>
        <v>-257.29999999999995</v>
      </c>
      <c r="CF118" s="713">
        <f>CE118</f>
        <v>-257.29999999999995</v>
      </c>
      <c r="CG118" s="713">
        <f>SUM(CG109:CG117)</f>
        <v>184.90000000000003</v>
      </c>
      <c r="CH118" s="713">
        <f>SUM(CH109:CH117)</f>
        <v>128.20000000000002</v>
      </c>
      <c r="CI118" s="713">
        <f>SUM(CI109:CI117)</f>
        <v>64.800000000000011</v>
      </c>
      <c r="CJ118" s="713">
        <f>SUM(CJ109:CJ117)</f>
        <v>-91.4</v>
      </c>
      <c r="CK118" s="713">
        <f>CJ118</f>
        <v>-91.4</v>
      </c>
      <c r="CL118" s="619">
        <f>SUM(CL109:CL117)</f>
        <v>284.79999999999995</v>
      </c>
      <c r="CM118" s="616"/>
      <c r="CN118" s="616"/>
      <c r="CO118" s="616"/>
      <c r="CP118" s="526"/>
      <c r="CQ118" s="526"/>
      <c r="CR118" s="526"/>
      <c r="CS118" s="526"/>
    </row>
    <row r="119" spans="1:97" hidden="1" outlineLevel="1">
      <c r="B119" s="498" t="s">
        <v>250</v>
      </c>
      <c r="S119" s="498">
        <v>0</v>
      </c>
      <c r="W119" s="498">
        <f t="shared" si="78"/>
        <v>2.5</v>
      </c>
      <c r="X119" s="498">
        <v>2.5</v>
      </c>
      <c r="Y119" s="498">
        <f>-1.5-0.7</f>
        <v>-2.2000000000000002</v>
      </c>
      <c r="Z119" s="498">
        <v>7.9</v>
      </c>
      <c r="AA119" s="498">
        <v>7.9</v>
      </c>
      <c r="AB119" s="498">
        <f t="shared" si="79"/>
        <v>7.2</v>
      </c>
      <c r="AC119" s="498">
        <v>7.2</v>
      </c>
      <c r="AG119" s="498">
        <f t="shared" si="80"/>
        <v>0</v>
      </c>
      <c r="AW119" s="611"/>
      <c r="BI119" s="611"/>
      <c r="BN119" s="611"/>
      <c r="BS119" s="611"/>
      <c r="CC119" s="611"/>
      <c r="CH119" s="611"/>
      <c r="CM119" s="611"/>
    </row>
    <row r="120" spans="1:97" hidden="1" outlineLevel="1">
      <c r="B120" s="498" t="s">
        <v>319</v>
      </c>
      <c r="W120" s="498">
        <f t="shared" si="78"/>
        <v>-0.3</v>
      </c>
      <c r="X120" s="498">
        <v>-0.3</v>
      </c>
      <c r="Y120" s="498">
        <v>0</v>
      </c>
      <c r="Z120" s="498">
        <v>-1.6</v>
      </c>
      <c r="AA120" s="498">
        <v>-1.8</v>
      </c>
      <c r="AB120" s="498">
        <f t="shared" si="79"/>
        <v>-1.8</v>
      </c>
      <c r="AC120" s="498">
        <v>-1.8</v>
      </c>
      <c r="AG120" s="498">
        <f t="shared" si="80"/>
        <v>0</v>
      </c>
      <c r="AW120" s="611"/>
      <c r="BI120" s="611"/>
      <c r="BN120" s="611"/>
      <c r="BS120" s="611"/>
      <c r="CC120" s="611"/>
      <c r="CH120" s="611"/>
      <c r="CM120" s="611"/>
    </row>
    <row r="121" spans="1:97" ht="15" collapsed="1" thickBot="1">
      <c r="B121" s="498" t="s">
        <v>254</v>
      </c>
      <c r="C121" s="613">
        <v>0.70899999999999996</v>
      </c>
      <c r="D121" s="613">
        <v>3.177</v>
      </c>
      <c r="E121" s="613">
        <v>-1.2</v>
      </c>
      <c r="F121" s="613">
        <v>-1.9</v>
      </c>
      <c r="G121" s="613">
        <v>1.1000000000000001</v>
      </c>
      <c r="H121" s="613">
        <v>0.3</v>
      </c>
      <c r="I121" s="613">
        <v>4.4000000000000004</v>
      </c>
      <c r="J121" s="613">
        <v>0.2</v>
      </c>
      <c r="K121" s="613">
        <v>0.7</v>
      </c>
      <c r="L121" s="613">
        <v>0.3</v>
      </c>
      <c r="M121" s="613">
        <f>N121</f>
        <v>-0.2</v>
      </c>
      <c r="N121" s="613">
        <v>-0.2</v>
      </c>
      <c r="O121" s="613">
        <v>0.9</v>
      </c>
      <c r="P121" s="613">
        <v>3.2</v>
      </c>
      <c r="Q121" s="613">
        <v>2.2000000000000002</v>
      </c>
      <c r="R121" s="613">
        <f>S121</f>
        <v>1.9</v>
      </c>
      <c r="S121" s="613">
        <v>1.9</v>
      </c>
      <c r="T121" s="613">
        <v>-0.6</v>
      </c>
      <c r="U121" s="613">
        <v>-0.8</v>
      </c>
      <c r="V121" s="613">
        <v>-0.4</v>
      </c>
      <c r="W121" s="613">
        <f t="shared" si="78"/>
        <v>-2.5</v>
      </c>
      <c r="X121" s="613">
        <v>-2.5</v>
      </c>
      <c r="Y121" s="613">
        <v>0.5</v>
      </c>
      <c r="Z121" s="613">
        <v>0.9</v>
      </c>
      <c r="AA121" s="613">
        <v>2.5</v>
      </c>
      <c r="AB121" s="613">
        <f t="shared" si="79"/>
        <v>3.6</v>
      </c>
      <c r="AC121" s="613">
        <v>3.6</v>
      </c>
      <c r="AD121" s="613">
        <v>1.6</v>
      </c>
      <c r="AE121" s="613">
        <v>1.7</v>
      </c>
      <c r="AF121" s="613">
        <v>0.2</v>
      </c>
      <c r="AG121" s="613">
        <f t="shared" si="80"/>
        <v>-1.2</v>
      </c>
      <c r="AH121" s="613">
        <v>-1.2</v>
      </c>
      <c r="AI121" s="613">
        <v>-2.2999999999999998</v>
      </c>
      <c r="AJ121" s="613">
        <v>1.6</v>
      </c>
      <c r="AK121" s="613">
        <v>5.7</v>
      </c>
      <c r="AL121" s="498">
        <v>3.5</v>
      </c>
      <c r="AM121" s="613">
        <f>AL121</f>
        <v>3.5</v>
      </c>
      <c r="AN121" s="613">
        <v>-4.5999999999999996</v>
      </c>
      <c r="AO121" s="613">
        <v>-9.8000000000000007</v>
      </c>
      <c r="AP121" s="613">
        <v>-3</v>
      </c>
      <c r="AQ121" s="613">
        <f>AR121</f>
        <v>-5.4</v>
      </c>
      <c r="AR121" s="613">
        <v>-5.4</v>
      </c>
      <c r="AS121" s="613">
        <v>5.3</v>
      </c>
      <c r="AT121" s="613">
        <v>6.2</v>
      </c>
      <c r="AU121" s="613">
        <v>2.6</v>
      </c>
      <c r="AV121" s="613">
        <f>AW121</f>
        <v>-0.6</v>
      </c>
      <c r="AW121" s="615">
        <v>-0.6</v>
      </c>
      <c r="AX121" s="498">
        <v>0.8</v>
      </c>
      <c r="AY121" s="498">
        <v>-1.8</v>
      </c>
      <c r="AZ121" s="498">
        <v>-0.1</v>
      </c>
      <c r="BA121" s="498">
        <f>BB121</f>
        <v>0.9</v>
      </c>
      <c r="BB121" s="692">
        <v>0.9</v>
      </c>
      <c r="BC121" s="692">
        <v>-1.3</v>
      </c>
      <c r="BD121" s="692">
        <v>-1.1000000000000001</v>
      </c>
      <c r="BE121" s="692">
        <v>1</v>
      </c>
      <c r="BF121" s="692">
        <f>BG121</f>
        <v>2.1</v>
      </c>
      <c r="BG121" s="692">
        <v>2.1</v>
      </c>
      <c r="BH121" s="692">
        <v>-0.2</v>
      </c>
      <c r="BI121" s="692">
        <v>-0.6</v>
      </c>
      <c r="BJ121" s="692">
        <v>-3.9</v>
      </c>
      <c r="BK121" s="692">
        <v>-5.3</v>
      </c>
      <c r="BL121" s="692">
        <f>BK121</f>
        <v>-5.3</v>
      </c>
      <c r="BM121" s="692">
        <v>-3.3</v>
      </c>
      <c r="BN121" s="692">
        <v>-3</v>
      </c>
      <c r="BO121" s="692">
        <v>-7.2</v>
      </c>
      <c r="BP121" s="692">
        <v>-3.9</v>
      </c>
      <c r="BQ121" s="692">
        <f>BP121</f>
        <v>-3.9</v>
      </c>
      <c r="BR121" s="692">
        <v>1.2</v>
      </c>
      <c r="BS121" s="692">
        <v>-0.2</v>
      </c>
      <c r="BT121" s="692">
        <v>-0.2</v>
      </c>
      <c r="BU121" s="692">
        <v>-4.7</v>
      </c>
      <c r="BV121" s="692">
        <f>BU121</f>
        <v>-4.7</v>
      </c>
      <c r="BW121" s="692">
        <v>0.4</v>
      </c>
      <c r="BX121" s="692">
        <v>4.3</v>
      </c>
      <c r="BY121" s="692">
        <v>7.7</v>
      </c>
      <c r="BZ121" s="692">
        <v>8.6</v>
      </c>
      <c r="CA121" s="692">
        <f>BZ121</f>
        <v>8.6</v>
      </c>
      <c r="CB121" s="692">
        <v>2.1</v>
      </c>
      <c r="CC121" s="692">
        <v>-3</v>
      </c>
      <c r="CD121" s="692">
        <v>-3.6</v>
      </c>
      <c r="CE121" s="692">
        <v>-4</v>
      </c>
      <c r="CF121" s="692">
        <f>CE121</f>
        <v>-4</v>
      </c>
      <c r="CG121" s="692">
        <v>-0.3</v>
      </c>
      <c r="CH121" s="692">
        <v>-0.2</v>
      </c>
      <c r="CI121" s="692">
        <v>-1.9</v>
      </c>
      <c r="CJ121" s="692">
        <v>-0.7</v>
      </c>
      <c r="CK121" s="692">
        <f>CJ121</f>
        <v>-0.7</v>
      </c>
      <c r="CL121" s="498">
        <v>-1.3</v>
      </c>
      <c r="CM121" s="611"/>
    </row>
    <row r="122" spans="1:97">
      <c r="B122" s="526" t="s">
        <v>177</v>
      </c>
      <c r="C122" s="526">
        <f t="shared" ref="C122:L122" si="118">C121+C118+C108+C99+C119+C120</f>
        <v>0.78800000000000381</v>
      </c>
      <c r="D122" s="526">
        <f t="shared" si="118"/>
        <v>-1.5289999999999679</v>
      </c>
      <c r="E122" s="526">
        <f t="shared" si="118"/>
        <v>-7.3000000000000398</v>
      </c>
      <c r="F122" s="526">
        <f t="shared" si="118"/>
        <v>4.9000000000000057</v>
      </c>
      <c r="G122" s="526">
        <f t="shared" si="118"/>
        <v>6.5000000000000178</v>
      </c>
      <c r="H122" s="526">
        <f t="shared" si="118"/>
        <v>-3.3999999999999915</v>
      </c>
      <c r="I122" s="526">
        <f t="shared" si="118"/>
        <v>33.500000000000028</v>
      </c>
      <c r="J122" s="526">
        <f t="shared" si="118"/>
        <v>-17.700000000000006</v>
      </c>
      <c r="K122" s="526">
        <f t="shared" si="118"/>
        <v>3.4000000000000057</v>
      </c>
      <c r="L122" s="526">
        <f t="shared" si="118"/>
        <v>9.7999999999999901</v>
      </c>
      <c r="M122" s="526">
        <f>N122</f>
        <v>15.5</v>
      </c>
      <c r="N122" s="526">
        <f>N121+N118+N108+N99+N119+N120</f>
        <v>15.5</v>
      </c>
      <c r="O122" s="526">
        <f>O121+O118+O108+O99+O119+O120</f>
        <v>-31</v>
      </c>
      <c r="P122" s="526">
        <f>P121+P118+P108+P99+P119+P120</f>
        <v>-38.700000000000003</v>
      </c>
      <c r="Q122" s="526">
        <f>Q121+Q118+Q108+Q99+Q119+Q120</f>
        <v>-44.899999999999991</v>
      </c>
      <c r="R122" s="526">
        <f>S122</f>
        <v>-36.200000000000003</v>
      </c>
      <c r="S122" s="526">
        <f>S121+S118+S108+S99+S119+S120</f>
        <v>-36.200000000000003</v>
      </c>
      <c r="T122" s="526">
        <f>T121+T118+T108+T99+T119+T120</f>
        <v>2.8999999999999986</v>
      </c>
      <c r="U122" s="526">
        <f>U121+U118+U108+U99+U119+U120</f>
        <v>-12.200000000000003</v>
      </c>
      <c r="V122" s="526">
        <f>V121+V118+V108+V99+V119+V120</f>
        <v>-8.0000000000000142</v>
      </c>
      <c r="W122" s="526">
        <f t="shared" si="78"/>
        <v>4.7000000000000144</v>
      </c>
      <c r="X122" s="526">
        <f>X121+X118+X108+X99+X119+X120</f>
        <v>4.7000000000000144</v>
      </c>
      <c r="Y122" s="526">
        <f>Y121+Y118+Y108+Y99+Y119+Y120</f>
        <v>7.8000000000000105</v>
      </c>
      <c r="Z122" s="526">
        <f>Z121+Z118+Z108+Z99+Z119+Z120</f>
        <v>10.299999999999976</v>
      </c>
      <c r="AA122" s="526">
        <f>AA121+AA118+AA108+AA99+AA119+AA120</f>
        <v>5.6999999999999877</v>
      </c>
      <c r="AB122" s="526">
        <f t="shared" si="79"/>
        <v>2.4000000000000004</v>
      </c>
      <c r="AC122" s="526">
        <f>AC121+AC118+AC108+AC99+AC119+AC120</f>
        <v>2.4000000000000004</v>
      </c>
      <c r="AD122" s="526">
        <f>AD121+AD118+AD108+AD99+AD119+AD120</f>
        <v>-1.6999999999999744</v>
      </c>
      <c r="AE122" s="526">
        <f>AE121+AE118+AE108+AE99+AE119+AE120</f>
        <v>-8.8000000000000114</v>
      </c>
      <c r="AF122" s="526">
        <f>AF121+AF118+AF108+AF99+AF119+AF120</f>
        <v>20.600000000000023</v>
      </c>
      <c r="AG122" s="526">
        <f t="shared" si="80"/>
        <v>22.799999999999983</v>
      </c>
      <c r="AH122" s="526">
        <f t="shared" ref="AH122:AP122" si="119">AH121+AH118+AH108+AH99</f>
        <v>22.799999999999983</v>
      </c>
      <c r="AI122" s="526">
        <f t="shared" si="119"/>
        <v>-23.9</v>
      </c>
      <c r="AJ122" s="526">
        <f t="shared" si="119"/>
        <v>21.700000000000003</v>
      </c>
      <c r="AK122" s="526">
        <f t="shared" si="119"/>
        <v>43.800000000000011</v>
      </c>
      <c r="AL122" s="526">
        <f t="shared" si="119"/>
        <v>59.2</v>
      </c>
      <c r="AM122" s="526">
        <f t="shared" si="119"/>
        <v>59.2</v>
      </c>
      <c r="AN122" s="526">
        <f t="shared" si="119"/>
        <v>-44.400000000000006</v>
      </c>
      <c r="AO122" s="526">
        <f t="shared" si="119"/>
        <v>-26.099999999999994</v>
      </c>
      <c r="AP122" s="526">
        <f t="shared" si="119"/>
        <v>-31.599999999999994</v>
      </c>
      <c r="AQ122" s="526">
        <f>AR122</f>
        <v>7.1000000000000085</v>
      </c>
      <c r="AR122" s="526">
        <f>AR121+AR118+AR108+AR99</f>
        <v>7.1000000000000085</v>
      </c>
      <c r="AS122" s="526">
        <f>AS121+AS118+AS108+AS99</f>
        <v>-66.600000000000009</v>
      </c>
      <c r="AT122" s="526">
        <f>AT121+AT118+AT108+AT99</f>
        <v>-61.299999999999969</v>
      </c>
      <c r="AU122" s="526">
        <f>AU121+AU118+AU108+AU99</f>
        <v>-68.799999999999983</v>
      </c>
      <c r="AV122" s="526">
        <f>AW122</f>
        <v>-67.699999999999932</v>
      </c>
      <c r="AW122" s="616">
        <f>AW121+AW118+AW108+AW99</f>
        <v>-67.699999999999932</v>
      </c>
      <c r="AX122" s="617">
        <f>AX121+AX118+AX108+AX99</f>
        <v>-0.80000000000002558</v>
      </c>
      <c r="AY122" s="617">
        <f>AY121+AY118+AY108+AY99</f>
        <v>-16.900000000000006</v>
      </c>
      <c r="AZ122" s="617">
        <f>AZ121+AZ118+AZ108+AZ99</f>
        <v>-6.2999999999999829</v>
      </c>
      <c r="BA122" s="617">
        <f>BB122</f>
        <v>-16.899999999999977</v>
      </c>
      <c r="BB122" s="713">
        <f t="shared" ref="BB122:BK122" si="120">BB121+BB118+BB108+BB99</f>
        <v>-16.899999999999977</v>
      </c>
      <c r="BC122" s="713">
        <f t="shared" si="120"/>
        <v>-14.299999999999997</v>
      </c>
      <c r="BD122" s="713">
        <f t="shared" si="120"/>
        <v>24.09999999999998</v>
      </c>
      <c r="BE122" s="713">
        <f t="shared" si="120"/>
        <v>27.100000000000023</v>
      </c>
      <c r="BF122" s="713">
        <f t="shared" si="120"/>
        <v>32.89999999999992</v>
      </c>
      <c r="BG122" s="713">
        <f t="shared" si="120"/>
        <v>32.89999999999992</v>
      </c>
      <c r="BH122" s="713">
        <f t="shared" si="120"/>
        <v>-15.5</v>
      </c>
      <c r="BI122" s="713">
        <f t="shared" si="120"/>
        <v>-21.699999999999989</v>
      </c>
      <c r="BJ122" s="713">
        <f t="shared" si="120"/>
        <v>-27.80000000000004</v>
      </c>
      <c r="BK122" s="713">
        <f t="shared" si="120"/>
        <v>5.4000000000000341</v>
      </c>
      <c r="BL122" s="713">
        <f>BK122</f>
        <v>5.4000000000000341</v>
      </c>
      <c r="BM122" s="713">
        <f>BM121+BM118+BM108+BM99</f>
        <v>-47.099999999999994</v>
      </c>
      <c r="BN122" s="713">
        <f>BN121+BN118+BN108+BN99</f>
        <v>-34.500000000000028</v>
      </c>
      <c r="BO122" s="713">
        <f>BO121+BO118+BO108+BO99</f>
        <v>-26.499999999999943</v>
      </c>
      <c r="BP122" s="713">
        <f>BP121+BP118+BP108+BP99</f>
        <v>-19.099999999999966</v>
      </c>
      <c r="BQ122" s="713">
        <f>BP122</f>
        <v>-19.099999999999966</v>
      </c>
      <c r="BR122" s="713">
        <f>BR121+BR118+BR108+BR99</f>
        <v>-27.600000000000016</v>
      </c>
      <c r="BS122" s="713">
        <f>BS121+BS118+BS108+BS99</f>
        <v>-12.900000000000006</v>
      </c>
      <c r="BT122" s="713">
        <f>BT121+BT118+BT108+BT99</f>
        <v>-6.1000000000000227</v>
      </c>
      <c r="BU122" s="713">
        <f>BU121+BU118+BU108+BU99</f>
        <v>-16.599999999999966</v>
      </c>
      <c r="BV122" s="713">
        <f>BU122</f>
        <v>-16.599999999999966</v>
      </c>
      <c r="BW122" s="713">
        <f>BW121+BW118+BW108+BW99</f>
        <v>46.800000000000033</v>
      </c>
      <c r="BX122" s="713">
        <f>BX121+BX118+BX108+BX99</f>
        <v>10.300000000000011</v>
      </c>
      <c r="BY122" s="713">
        <f>BY121+BY118+BY108+BY99</f>
        <v>83.9</v>
      </c>
      <c r="BZ122" s="713">
        <f>BZ121+BZ118+BZ108+BZ99</f>
        <v>24.89999999999992</v>
      </c>
      <c r="CA122" s="713">
        <f>BZ122</f>
        <v>24.89999999999992</v>
      </c>
      <c r="CB122" s="713">
        <f>CB121+CB118+CB108+CB99</f>
        <v>-10.300000000000004</v>
      </c>
      <c r="CC122" s="713">
        <f>CC121+CC118+CC108+CC99</f>
        <v>-21.000000000000028</v>
      </c>
      <c r="CD122" s="713">
        <f>CD121+CD118+CD108+CD99</f>
        <v>-12.899999999999977</v>
      </c>
      <c r="CE122" s="713">
        <f>CE121+CE118+CE108+CE99</f>
        <v>-27.39999999999992</v>
      </c>
      <c r="CF122" s="713">
        <f>CE122</f>
        <v>-27.39999999999992</v>
      </c>
      <c r="CG122" s="713">
        <f>CG121+CG118+CG108+CG99</f>
        <v>11.000000000000043</v>
      </c>
      <c r="CH122" s="713">
        <f>CH121+CH118+CH108+CH99</f>
        <v>22.700000000000074</v>
      </c>
      <c r="CI122" s="713">
        <f>CI121+CI118+CI108+CI99</f>
        <v>14.300000000000068</v>
      </c>
      <c r="CJ122" s="713">
        <f>CJ121+CJ118+CJ108+CJ99</f>
        <v>31.700000000000045</v>
      </c>
      <c r="CK122" s="713">
        <f>CJ122</f>
        <v>31.700000000000045</v>
      </c>
      <c r="CL122" s="617">
        <f>CL121+CL118+CL108+CL99</f>
        <v>264.89999999999998</v>
      </c>
      <c r="CM122" s="526"/>
      <c r="CN122" s="526"/>
      <c r="CO122" s="526"/>
    </row>
    <row r="123" spans="1:97">
      <c r="B123" s="498" t="s">
        <v>178</v>
      </c>
      <c r="C123" s="498">
        <v>8.2449999999999992</v>
      </c>
      <c r="D123" s="498">
        <f t="shared" ref="D123:J123" si="121">C124</f>
        <v>9.033000000000003</v>
      </c>
      <c r="E123" s="498">
        <f t="shared" si="121"/>
        <v>7.5040000000000351</v>
      </c>
      <c r="F123" s="498">
        <f t="shared" si="121"/>
        <v>0.2039999999999953</v>
      </c>
      <c r="G123" s="498">
        <f t="shared" si="121"/>
        <v>5.104000000000001</v>
      </c>
      <c r="H123" s="498">
        <f t="shared" si="121"/>
        <v>11.604000000000019</v>
      </c>
      <c r="I123" s="498">
        <f t="shared" si="121"/>
        <v>8.2040000000000273</v>
      </c>
      <c r="J123" s="498">
        <f t="shared" si="121"/>
        <v>41.704000000000057</v>
      </c>
      <c r="K123" s="498">
        <f>J123</f>
        <v>41.704000000000057</v>
      </c>
      <c r="L123" s="498">
        <f>K123</f>
        <v>41.704000000000057</v>
      </c>
      <c r="M123" s="498">
        <f>L123</f>
        <v>41.704000000000057</v>
      </c>
      <c r="N123" s="498">
        <f>I124</f>
        <v>41.704000000000057</v>
      </c>
      <c r="O123" s="498">
        <f>N124</f>
        <v>57.204000000000057</v>
      </c>
      <c r="P123" s="498">
        <f>O123</f>
        <v>57.204000000000057</v>
      </c>
      <c r="Q123" s="498">
        <f>P123</f>
        <v>57.204000000000057</v>
      </c>
      <c r="R123" s="498">
        <f>Q123</f>
        <v>57.204000000000057</v>
      </c>
      <c r="S123" s="498">
        <f>N124</f>
        <v>57.204000000000057</v>
      </c>
      <c r="T123" s="498">
        <f>S124</f>
        <v>21.004000000000055</v>
      </c>
      <c r="U123" s="498">
        <f>T123</f>
        <v>21.004000000000055</v>
      </c>
      <c r="V123" s="498">
        <f>U123</f>
        <v>21.004000000000055</v>
      </c>
      <c r="W123" s="498">
        <f>V123</f>
        <v>21.004000000000055</v>
      </c>
      <c r="X123" s="498">
        <f>S124</f>
        <v>21.004000000000055</v>
      </c>
      <c r="Y123" s="498">
        <f>X124</f>
        <v>25.704000000000068</v>
      </c>
      <c r="Z123" s="498">
        <f>Y123</f>
        <v>25.704000000000068</v>
      </c>
      <c r="AA123" s="498">
        <f>Z123</f>
        <v>25.704000000000068</v>
      </c>
      <c r="AB123" s="498">
        <f>AA123</f>
        <v>25.704000000000068</v>
      </c>
      <c r="AC123" s="498">
        <f>X124</f>
        <v>25.704000000000068</v>
      </c>
      <c r="AD123" s="498">
        <f>AC124</f>
        <v>28.10400000000007</v>
      </c>
      <c r="AE123" s="498">
        <f>AD123</f>
        <v>28.10400000000007</v>
      </c>
      <c r="AF123" s="498">
        <f>AE123</f>
        <v>28.10400000000007</v>
      </c>
      <c r="AG123" s="498">
        <f>AF123</f>
        <v>28.10400000000007</v>
      </c>
      <c r="AH123" s="498">
        <f>AC124</f>
        <v>28.10400000000007</v>
      </c>
      <c r="AI123" s="498">
        <f>AH124</f>
        <v>50.904000000000053</v>
      </c>
      <c r="AJ123" s="498">
        <f>AI123</f>
        <v>50.904000000000053</v>
      </c>
      <c r="AK123" s="498">
        <f>AJ123</f>
        <v>50.904000000000053</v>
      </c>
      <c r="AL123" s="498">
        <f>AK123</f>
        <v>50.904000000000053</v>
      </c>
      <c r="AM123" s="498">
        <f>AH124</f>
        <v>50.904000000000053</v>
      </c>
      <c r="AN123" s="498">
        <f>AM124</f>
        <v>110.10400000000006</v>
      </c>
      <c r="AO123" s="498">
        <f>AM124</f>
        <v>110.10400000000006</v>
      </c>
      <c r="AP123" s="498">
        <f>AM124</f>
        <v>110.10400000000006</v>
      </c>
      <c r="AQ123" s="498">
        <f>AP123</f>
        <v>110.10400000000006</v>
      </c>
      <c r="AR123" s="498">
        <f>AM124</f>
        <v>110.10400000000006</v>
      </c>
      <c r="AS123" s="498">
        <f>AR124</f>
        <v>117.20400000000006</v>
      </c>
      <c r="AT123" s="498">
        <f>AR124</f>
        <v>117.20400000000006</v>
      </c>
      <c r="AU123" s="498">
        <f>AR124</f>
        <v>117.20400000000006</v>
      </c>
      <c r="AV123" s="498">
        <f>AU123</f>
        <v>117.20400000000006</v>
      </c>
      <c r="AW123" s="611">
        <f>AR124</f>
        <v>117.20400000000006</v>
      </c>
      <c r="AX123" s="498">
        <f>AW124</f>
        <v>49.504000000000133</v>
      </c>
      <c r="AY123" s="498">
        <f>AW124</f>
        <v>49.504000000000133</v>
      </c>
      <c r="AZ123" s="498">
        <f>AW124</f>
        <v>49.504000000000133</v>
      </c>
      <c r="BA123" s="498">
        <f>AZ123</f>
        <v>49.504000000000133</v>
      </c>
      <c r="BB123" s="692">
        <f>AW124</f>
        <v>49.504000000000133</v>
      </c>
      <c r="BC123" s="692">
        <f>BB124</f>
        <v>32.604000000000156</v>
      </c>
      <c r="BD123" s="692">
        <f>BB124</f>
        <v>32.604000000000156</v>
      </c>
      <c r="BE123" s="692">
        <f>BB124</f>
        <v>32.604000000000156</v>
      </c>
      <c r="BF123" s="692">
        <f>BG123</f>
        <v>32.604000000000156</v>
      </c>
      <c r="BG123" s="692">
        <f>BB124</f>
        <v>32.604000000000156</v>
      </c>
      <c r="BH123" s="692">
        <f>BG124</f>
        <v>65.504000000000076</v>
      </c>
      <c r="BI123" s="692">
        <f>BH124</f>
        <v>50.004000000000076</v>
      </c>
      <c r="BJ123" s="692">
        <f>BG124</f>
        <v>65.504000000000076</v>
      </c>
      <c r="BK123" s="692">
        <f>BG124</f>
        <v>65.504000000000076</v>
      </c>
      <c r="BL123" s="692">
        <f>BG123</f>
        <v>32.604000000000156</v>
      </c>
      <c r="BM123" s="692">
        <f>BL124</f>
        <v>70.90400000000011</v>
      </c>
      <c r="BN123" s="692">
        <f>BM124</f>
        <v>23.804000000000116</v>
      </c>
      <c r="BO123" s="692">
        <f>BN124</f>
        <v>-10.695999999999913</v>
      </c>
      <c r="BP123" s="692">
        <f>BO124</f>
        <v>-37.195999999999856</v>
      </c>
      <c r="BQ123" s="692">
        <f>BL123</f>
        <v>32.604000000000156</v>
      </c>
      <c r="BR123" s="692">
        <f>BQ124</f>
        <v>-56.295999999999822</v>
      </c>
      <c r="BS123" s="692">
        <v>51.8</v>
      </c>
      <c r="BT123" s="692">
        <v>51.8</v>
      </c>
      <c r="BU123" s="692">
        <v>51.8</v>
      </c>
      <c r="BV123" s="692">
        <f>BQ123</f>
        <v>32.604000000000156</v>
      </c>
      <c r="BW123" s="692">
        <f>BV124</f>
        <v>35.200000000000003</v>
      </c>
      <c r="BX123" s="692">
        <v>35.200000000000003</v>
      </c>
      <c r="BY123" s="692">
        <v>35.200000000000003</v>
      </c>
      <c r="BZ123" s="692">
        <v>35.200000000000003</v>
      </c>
      <c r="CA123" s="692">
        <f>BV123</f>
        <v>32.604000000000156</v>
      </c>
      <c r="CB123" s="692">
        <f>CA124</f>
        <v>60.099999999999923</v>
      </c>
      <c r="CC123" s="692">
        <v>60.1</v>
      </c>
      <c r="CD123" s="692">
        <v>60.1</v>
      </c>
      <c r="CE123" s="692">
        <v>60.1</v>
      </c>
      <c r="CF123" s="692">
        <f>CA123</f>
        <v>32.604000000000156</v>
      </c>
      <c r="CG123" s="692">
        <f>CF124</f>
        <v>32.700000000000081</v>
      </c>
      <c r="CH123" s="692">
        <f>CG123</f>
        <v>32.700000000000081</v>
      </c>
      <c r="CI123" s="692">
        <f>CH123</f>
        <v>32.700000000000081</v>
      </c>
      <c r="CJ123" s="692">
        <f>CI123</f>
        <v>32.700000000000081</v>
      </c>
      <c r="CK123" s="692">
        <f>CF123</f>
        <v>32.604000000000156</v>
      </c>
      <c r="CL123" s="612">
        <f>CK124</f>
        <v>64.400000000000119</v>
      </c>
    </row>
    <row r="124" spans="1:97">
      <c r="B124" s="498" t="s">
        <v>179</v>
      </c>
      <c r="C124" s="498">
        <f t="shared" ref="C124:L124" si="122">SUM(C122:C123)</f>
        <v>9.033000000000003</v>
      </c>
      <c r="D124" s="498">
        <f t="shared" si="122"/>
        <v>7.5040000000000351</v>
      </c>
      <c r="E124" s="498">
        <f t="shared" si="122"/>
        <v>0.2039999999999953</v>
      </c>
      <c r="F124" s="498">
        <f t="shared" si="122"/>
        <v>5.104000000000001</v>
      </c>
      <c r="G124" s="498">
        <f t="shared" si="122"/>
        <v>11.604000000000019</v>
      </c>
      <c r="H124" s="498">
        <f t="shared" si="122"/>
        <v>8.2040000000000273</v>
      </c>
      <c r="I124" s="498">
        <f t="shared" si="122"/>
        <v>41.704000000000057</v>
      </c>
      <c r="J124" s="498">
        <f t="shared" si="122"/>
        <v>24.004000000000051</v>
      </c>
      <c r="K124" s="498">
        <f t="shared" si="122"/>
        <v>45.104000000000063</v>
      </c>
      <c r="L124" s="498">
        <f t="shared" si="122"/>
        <v>51.504000000000048</v>
      </c>
      <c r="M124" s="498">
        <f>N124</f>
        <v>57.204000000000057</v>
      </c>
      <c r="N124" s="498">
        <f>SUM(N122:N123)</f>
        <v>57.204000000000057</v>
      </c>
      <c r="O124" s="498">
        <f>SUM(O122:O123)</f>
        <v>26.204000000000057</v>
      </c>
      <c r="P124" s="498">
        <f>SUM(P122:P123)</f>
        <v>18.504000000000055</v>
      </c>
      <c r="Q124" s="498">
        <f>SUM(Q122:Q123)</f>
        <v>12.304000000000066</v>
      </c>
      <c r="R124" s="498">
        <f>S124</f>
        <v>21.004000000000055</v>
      </c>
      <c r="S124" s="498">
        <f>SUM(S122:S123)</f>
        <v>21.004000000000055</v>
      </c>
      <c r="T124" s="498">
        <f>SUM(T122:T123)</f>
        <v>23.904000000000053</v>
      </c>
      <c r="U124" s="498">
        <f>SUM(U122:U123)</f>
        <v>8.8040000000000518</v>
      </c>
      <c r="V124" s="498">
        <f>SUM(V122:V123)</f>
        <v>13.00400000000004</v>
      </c>
      <c r="W124" s="498">
        <f>X124</f>
        <v>25.704000000000068</v>
      </c>
      <c r="X124" s="498">
        <f>SUM(X122:X123)</f>
        <v>25.704000000000068</v>
      </c>
      <c r="Y124" s="498">
        <f>SUM(Y122:Y123)</f>
        <v>33.504000000000076</v>
      </c>
      <c r="Z124" s="498">
        <f>SUM(Z122:Z123)</f>
        <v>36.004000000000048</v>
      </c>
      <c r="AA124" s="498">
        <f>SUM(AA122:AA123)</f>
        <v>31.404000000000057</v>
      </c>
      <c r="AB124" s="498">
        <f>AC124</f>
        <v>28.10400000000007</v>
      </c>
      <c r="AC124" s="498">
        <f>SUM(AC122:AC123)</f>
        <v>28.10400000000007</v>
      </c>
      <c r="AD124" s="498">
        <f>SUM(AD122:AD123)</f>
        <v>26.404000000000096</v>
      </c>
      <c r="AE124" s="498">
        <f>SUM(AE122:AE123)</f>
        <v>19.304000000000059</v>
      </c>
      <c r="AF124" s="498">
        <f>SUM(AF122:AF123)</f>
        <v>48.704000000000093</v>
      </c>
      <c r="AG124" s="498">
        <f>AH124</f>
        <v>50.904000000000053</v>
      </c>
      <c r="AH124" s="498">
        <f t="shared" ref="AH124:AP124" si="123">SUM(AH122:AH123)</f>
        <v>50.904000000000053</v>
      </c>
      <c r="AI124" s="498">
        <f t="shared" si="123"/>
        <v>27.004000000000055</v>
      </c>
      <c r="AJ124" s="498">
        <f t="shared" si="123"/>
        <v>72.604000000000056</v>
      </c>
      <c r="AK124" s="498">
        <f t="shared" si="123"/>
        <v>94.704000000000065</v>
      </c>
      <c r="AL124" s="498">
        <f t="shared" si="123"/>
        <v>110.10400000000006</v>
      </c>
      <c r="AM124" s="498">
        <f t="shared" si="123"/>
        <v>110.10400000000006</v>
      </c>
      <c r="AN124" s="498">
        <f t="shared" si="123"/>
        <v>65.70400000000005</v>
      </c>
      <c r="AO124" s="498">
        <f t="shared" si="123"/>
        <v>84.004000000000062</v>
      </c>
      <c r="AP124" s="498">
        <f t="shared" si="123"/>
        <v>78.504000000000062</v>
      </c>
      <c r="AQ124" s="498">
        <f>AR124</f>
        <v>117.20400000000006</v>
      </c>
      <c r="AR124" s="498">
        <f>SUM(AR122:AR123)</f>
        <v>117.20400000000006</v>
      </c>
      <c r="AS124" s="498">
        <f>SUM(AS122:AS123)</f>
        <v>50.604000000000056</v>
      </c>
      <c r="AT124" s="498">
        <f>SUM(AT122:AT123)</f>
        <v>55.904000000000096</v>
      </c>
      <c r="AU124" s="498">
        <f>SUM(AU122:AU123)</f>
        <v>48.404000000000082</v>
      </c>
      <c r="AV124" s="498">
        <f>AW124</f>
        <v>49.504000000000133</v>
      </c>
      <c r="AW124" s="611">
        <f>SUM(AW122:AW123)</f>
        <v>49.504000000000133</v>
      </c>
      <c r="AX124" s="498">
        <f>SUM(AX122:AX123)</f>
        <v>48.704000000000107</v>
      </c>
      <c r="AY124" s="498">
        <f>SUM(AY122:AY123)</f>
        <v>32.604000000000127</v>
      </c>
      <c r="AZ124" s="612">
        <f>SUM(AZ122:AZ123)</f>
        <v>43.20400000000015</v>
      </c>
      <c r="BA124" s="498">
        <f>BB124</f>
        <v>32.604000000000156</v>
      </c>
      <c r="BB124" s="692">
        <f t="shared" ref="BB124:BK124" si="124">SUM(BB122:BB123)</f>
        <v>32.604000000000156</v>
      </c>
      <c r="BC124" s="692">
        <f t="shared" si="124"/>
        <v>18.304000000000158</v>
      </c>
      <c r="BD124" s="692">
        <f t="shared" si="124"/>
        <v>56.704000000000136</v>
      </c>
      <c r="BE124" s="692">
        <f t="shared" si="124"/>
        <v>59.704000000000178</v>
      </c>
      <c r="BF124" s="692">
        <f t="shared" si="124"/>
        <v>65.504000000000076</v>
      </c>
      <c r="BG124" s="692">
        <f t="shared" si="124"/>
        <v>65.504000000000076</v>
      </c>
      <c r="BH124" s="692">
        <f t="shared" si="124"/>
        <v>50.004000000000076</v>
      </c>
      <c r="BI124" s="692">
        <f t="shared" si="124"/>
        <v>28.304000000000087</v>
      </c>
      <c r="BJ124" s="692">
        <f t="shared" si="124"/>
        <v>37.704000000000036</v>
      </c>
      <c r="BK124" s="692">
        <f t="shared" si="124"/>
        <v>70.90400000000011</v>
      </c>
      <c r="BL124" s="692">
        <f>BK124</f>
        <v>70.90400000000011</v>
      </c>
      <c r="BM124" s="692">
        <f>SUM(BM122:BM123)</f>
        <v>23.804000000000116</v>
      </c>
      <c r="BN124" s="692">
        <f>SUM(BN122:BN123)</f>
        <v>-10.695999999999913</v>
      </c>
      <c r="BO124" s="692">
        <f>SUM(BO122:BO123)</f>
        <v>-37.195999999999856</v>
      </c>
      <c r="BP124" s="692">
        <f>SUM(BP122:BP123)</f>
        <v>-56.295999999999822</v>
      </c>
      <c r="BQ124" s="692">
        <f>BP124</f>
        <v>-56.295999999999822</v>
      </c>
      <c r="BR124" s="692">
        <f>SUM(BR122:BR123)</f>
        <v>-83.895999999999844</v>
      </c>
      <c r="BS124" s="692">
        <f>SUM(BS122:BS123)</f>
        <v>38.899999999999991</v>
      </c>
      <c r="BT124" s="692">
        <f>SUM(BT122:BT123)</f>
        <v>45.699999999999974</v>
      </c>
      <c r="BU124" s="692">
        <v>35.200000000000003</v>
      </c>
      <c r="BV124" s="692">
        <f>BU124</f>
        <v>35.200000000000003</v>
      </c>
      <c r="BW124" s="692">
        <f>SUM(BW122:BW123)</f>
        <v>82.000000000000028</v>
      </c>
      <c r="BX124" s="692">
        <f>SUM(BX122:BX123)</f>
        <v>45.500000000000014</v>
      </c>
      <c r="BY124" s="692">
        <f>SUM(BY122:BY123)</f>
        <v>119.10000000000001</v>
      </c>
      <c r="BZ124" s="692">
        <f>SUM(BZ122:BZ123)</f>
        <v>60.099999999999923</v>
      </c>
      <c r="CA124" s="692">
        <f>BZ124</f>
        <v>60.099999999999923</v>
      </c>
      <c r="CB124" s="692">
        <f>SUM(CB122:CB123)</f>
        <v>49.799999999999919</v>
      </c>
      <c r="CC124" s="692">
        <f>SUM(CC122:CC123)</f>
        <v>39.099999999999973</v>
      </c>
      <c r="CD124" s="692">
        <f>SUM(CD122:CD123)</f>
        <v>47.200000000000024</v>
      </c>
      <c r="CE124" s="692">
        <f>SUM(CE122:CE123)</f>
        <v>32.700000000000081</v>
      </c>
      <c r="CF124" s="692">
        <f>CE124</f>
        <v>32.700000000000081</v>
      </c>
      <c r="CG124" s="692">
        <f>SUM(CG122:CG123)</f>
        <v>43.700000000000124</v>
      </c>
      <c r="CH124" s="692">
        <f>SUM(CH122:CH123)</f>
        <v>55.400000000000155</v>
      </c>
      <c r="CI124" s="692">
        <f>SUM(CI122:CI123)</f>
        <v>47.000000000000149</v>
      </c>
      <c r="CJ124" s="692">
        <f>SUM(CJ122:CJ123)</f>
        <v>64.400000000000119</v>
      </c>
      <c r="CK124" s="692">
        <f>CJ124</f>
        <v>64.400000000000119</v>
      </c>
      <c r="CL124" s="612">
        <f>SUM(CL122:CL123)</f>
        <v>329.30000000000007</v>
      </c>
    </row>
    <row r="125" spans="1:97" hidden="1" outlineLevel="1">
      <c r="C125" s="498" t="str">
        <f t="shared" ref="C125:AK125" si="125">IF(ROUND(C124,0)=ROUND(C38,0),"","check")</f>
        <v/>
      </c>
      <c r="D125" s="498" t="str">
        <f t="shared" si="125"/>
        <v/>
      </c>
      <c r="E125" s="498" t="str">
        <f t="shared" si="125"/>
        <v/>
      </c>
      <c r="F125" s="498" t="str">
        <f t="shared" si="125"/>
        <v/>
      </c>
      <c r="G125" s="498" t="str">
        <f t="shared" si="125"/>
        <v/>
      </c>
      <c r="H125" s="498" t="str">
        <f t="shared" si="125"/>
        <v/>
      </c>
      <c r="I125" s="498" t="str">
        <f t="shared" si="125"/>
        <v/>
      </c>
      <c r="J125" s="498" t="str">
        <f t="shared" si="125"/>
        <v/>
      </c>
      <c r="K125" s="498" t="str">
        <f t="shared" si="125"/>
        <v/>
      </c>
      <c r="L125" s="498" t="str">
        <f t="shared" si="125"/>
        <v/>
      </c>
      <c r="M125" s="498" t="str">
        <f t="shared" si="125"/>
        <v/>
      </c>
      <c r="N125" s="498" t="str">
        <f t="shared" si="125"/>
        <v/>
      </c>
      <c r="O125" s="498" t="str">
        <f t="shared" si="125"/>
        <v/>
      </c>
      <c r="P125" s="498" t="str">
        <f t="shared" si="125"/>
        <v/>
      </c>
      <c r="Q125" s="498" t="str">
        <f t="shared" si="125"/>
        <v/>
      </c>
      <c r="R125" s="498" t="str">
        <f t="shared" si="125"/>
        <v/>
      </c>
      <c r="S125" s="498" t="str">
        <f t="shared" si="125"/>
        <v/>
      </c>
      <c r="T125" s="498" t="str">
        <f t="shared" si="125"/>
        <v/>
      </c>
      <c r="U125" s="498" t="str">
        <f t="shared" si="125"/>
        <v/>
      </c>
      <c r="V125" s="498" t="str">
        <f t="shared" si="125"/>
        <v/>
      </c>
      <c r="W125" s="498" t="str">
        <f t="shared" si="125"/>
        <v/>
      </c>
      <c r="X125" s="498" t="str">
        <f t="shared" si="125"/>
        <v/>
      </c>
      <c r="Y125" s="498" t="str">
        <f t="shared" si="125"/>
        <v/>
      </c>
      <c r="Z125" s="498" t="str">
        <f t="shared" si="125"/>
        <v/>
      </c>
      <c r="AA125" s="498" t="str">
        <f t="shared" si="125"/>
        <v/>
      </c>
      <c r="AB125" s="498" t="str">
        <f t="shared" si="125"/>
        <v/>
      </c>
      <c r="AC125" s="612" t="str">
        <f t="shared" si="125"/>
        <v/>
      </c>
      <c r="AD125" s="498" t="str">
        <f t="shared" si="125"/>
        <v/>
      </c>
      <c r="AE125" s="498" t="str">
        <f t="shared" si="125"/>
        <v/>
      </c>
      <c r="AF125" s="498" t="str">
        <f t="shared" si="125"/>
        <v/>
      </c>
      <c r="AG125" s="498" t="str">
        <f t="shared" si="125"/>
        <v/>
      </c>
      <c r="AH125" s="498" t="str">
        <f t="shared" si="125"/>
        <v/>
      </c>
      <c r="AI125" s="498" t="str">
        <f t="shared" si="125"/>
        <v/>
      </c>
      <c r="AJ125" s="498" t="str">
        <f t="shared" si="125"/>
        <v/>
      </c>
      <c r="AK125" s="498" t="str">
        <f t="shared" si="125"/>
        <v/>
      </c>
      <c r="AW125" s="611"/>
    </row>
    <row r="126" spans="1:97" collapsed="1">
      <c r="C126" s="612"/>
      <c r="D126" s="612"/>
      <c r="E126" s="612"/>
      <c r="F126" s="612"/>
      <c r="G126" s="612"/>
      <c r="H126" s="612"/>
      <c r="I126" s="612"/>
      <c r="N126" s="612"/>
      <c r="S126" s="612"/>
      <c r="X126" s="612"/>
      <c r="AC126" s="612"/>
      <c r="AW126" s="611"/>
    </row>
    <row r="127" spans="1:97" ht="3.75" customHeight="1"/>
    <row r="128" spans="1:97" ht="12.75" customHeight="1">
      <c r="B128" s="678" t="s">
        <v>573</v>
      </c>
      <c r="C128" s="679">
        <v>1997</v>
      </c>
      <c r="D128" s="679">
        <v>1998</v>
      </c>
      <c r="E128" s="679">
        <v>1999</v>
      </c>
      <c r="F128" s="679">
        <v>2000</v>
      </c>
      <c r="G128" s="679">
        <v>2001</v>
      </c>
      <c r="H128" s="679">
        <v>2002</v>
      </c>
      <c r="I128" s="679">
        <v>2003</v>
      </c>
      <c r="J128" s="680" t="s">
        <v>0</v>
      </c>
      <c r="K128" s="680" t="s">
        <v>1</v>
      </c>
      <c r="L128" s="680" t="s">
        <v>2</v>
      </c>
      <c r="M128" s="680" t="s">
        <v>3</v>
      </c>
      <c r="N128" s="679">
        <v>2004</v>
      </c>
      <c r="O128" s="680" t="s">
        <v>4</v>
      </c>
      <c r="P128" s="680" t="s">
        <v>5</v>
      </c>
      <c r="Q128" s="680" t="s">
        <v>6</v>
      </c>
      <c r="R128" s="680" t="s">
        <v>7</v>
      </c>
      <c r="S128" s="679">
        <v>2005</v>
      </c>
      <c r="T128" s="680" t="s">
        <v>8</v>
      </c>
      <c r="U128" s="680" t="s">
        <v>9</v>
      </c>
      <c r="V128" s="680" t="s">
        <v>10</v>
      </c>
      <c r="W128" s="680" t="s">
        <v>11</v>
      </c>
      <c r="X128" s="679">
        <v>2006</v>
      </c>
      <c r="Y128" s="680" t="s">
        <v>12</v>
      </c>
      <c r="Z128" s="680" t="s">
        <v>13</v>
      </c>
      <c r="AA128" s="680" t="s">
        <v>14</v>
      </c>
      <c r="AB128" s="680" t="s">
        <v>15</v>
      </c>
      <c r="AC128" s="679">
        <v>2007</v>
      </c>
      <c r="AD128" s="680" t="s">
        <v>16</v>
      </c>
      <c r="AE128" s="680" t="s">
        <v>17</v>
      </c>
      <c r="AF128" s="680" t="s">
        <v>18</v>
      </c>
      <c r="AG128" s="680" t="s">
        <v>19</v>
      </c>
      <c r="AH128" s="679">
        <v>2008</v>
      </c>
      <c r="AI128" s="680" t="s">
        <v>20</v>
      </c>
      <c r="AJ128" s="680" t="s">
        <v>21</v>
      </c>
      <c r="AK128" s="680" t="s">
        <v>22</v>
      </c>
      <c r="AL128" s="680" t="s">
        <v>23</v>
      </c>
      <c r="AM128" s="679">
        <v>2009</v>
      </c>
      <c r="AN128" s="680" t="s">
        <v>208</v>
      </c>
      <c r="AO128" s="680" t="s">
        <v>209</v>
      </c>
      <c r="AP128" s="680" t="s">
        <v>210</v>
      </c>
      <c r="AQ128" s="680" t="s">
        <v>211</v>
      </c>
      <c r="AR128" s="679">
        <v>2010</v>
      </c>
      <c r="AS128" s="680" t="s">
        <v>212</v>
      </c>
      <c r="AT128" s="680" t="s">
        <v>213</v>
      </c>
      <c r="AU128" s="680" t="s">
        <v>214</v>
      </c>
      <c r="AV128" s="680" t="s">
        <v>215</v>
      </c>
      <c r="AW128" s="679">
        <v>2011</v>
      </c>
      <c r="AX128" s="680" t="s">
        <v>282</v>
      </c>
      <c r="AY128" s="680" t="s">
        <v>283</v>
      </c>
      <c r="AZ128" s="680" t="s">
        <v>284</v>
      </c>
      <c r="BA128" s="680" t="s">
        <v>285</v>
      </c>
      <c r="BB128" s="679">
        <v>2012</v>
      </c>
      <c r="BC128" s="680" t="s">
        <v>308</v>
      </c>
      <c r="BD128" s="680" t="s">
        <v>309</v>
      </c>
      <c r="BE128" s="680" t="s">
        <v>310</v>
      </c>
      <c r="BF128" s="680" t="s">
        <v>311</v>
      </c>
      <c r="BG128" s="679">
        <v>2013</v>
      </c>
      <c r="BH128" s="680" t="s">
        <v>312</v>
      </c>
      <c r="BI128" s="680" t="s">
        <v>313</v>
      </c>
      <c r="BJ128" s="680" t="s">
        <v>314</v>
      </c>
      <c r="BK128" s="680" t="s">
        <v>315</v>
      </c>
      <c r="BL128" s="679">
        <v>2014</v>
      </c>
      <c r="BM128" s="680" t="s">
        <v>382</v>
      </c>
      <c r="BN128" s="680" t="s">
        <v>383</v>
      </c>
      <c r="BO128" s="680" t="s">
        <v>384</v>
      </c>
      <c r="BP128" s="680" t="s">
        <v>385</v>
      </c>
      <c r="BQ128" s="679">
        <v>2015</v>
      </c>
      <c r="BR128" s="680" t="s">
        <v>386</v>
      </c>
      <c r="BS128" s="680" t="s">
        <v>387</v>
      </c>
      <c r="BT128" s="680" t="s">
        <v>388</v>
      </c>
      <c r="BU128" s="680" t="s">
        <v>389</v>
      </c>
      <c r="BV128" s="679">
        <v>2016</v>
      </c>
      <c r="BW128" s="680" t="s">
        <v>390</v>
      </c>
      <c r="BX128" s="680" t="s">
        <v>391</v>
      </c>
      <c r="BY128" s="680" t="s">
        <v>392</v>
      </c>
      <c r="BZ128" s="680" t="s">
        <v>393</v>
      </c>
      <c r="CA128" s="679">
        <v>2017</v>
      </c>
      <c r="CB128" s="680" t="s">
        <v>445</v>
      </c>
      <c r="CC128" s="680" t="s">
        <v>446</v>
      </c>
      <c r="CD128" s="680" t="s">
        <v>447</v>
      </c>
      <c r="CE128" s="680" t="s">
        <v>448</v>
      </c>
      <c r="CF128" s="679">
        <v>2018</v>
      </c>
      <c r="CG128" s="680" t="s">
        <v>459</v>
      </c>
      <c r="CH128" s="680" t="s">
        <v>460</v>
      </c>
      <c r="CI128" s="680" t="s">
        <v>461</v>
      </c>
      <c r="CJ128" s="680" t="s">
        <v>462</v>
      </c>
      <c r="CK128" s="679">
        <v>2019</v>
      </c>
    </row>
    <row r="129" spans="2:93" ht="5.0999999999999996" customHeight="1"/>
    <row r="130" spans="2:93">
      <c r="B130" s="681" t="s">
        <v>110</v>
      </c>
      <c r="C130" s="638"/>
    </row>
    <row r="131" spans="2:93">
      <c r="B131" s="526" t="s">
        <v>117</v>
      </c>
      <c r="BJ131" s="604"/>
      <c r="BO131" s="604"/>
      <c r="BT131" s="604"/>
      <c r="BY131" s="604"/>
      <c r="CD131" s="604"/>
      <c r="CI131" s="604"/>
      <c r="CN131" s="604"/>
    </row>
    <row r="132" spans="2:93">
      <c r="B132" s="498" t="s">
        <v>90</v>
      </c>
      <c r="T132" s="498">
        <f>X132-SUM(U132:W132)</f>
        <v>254.20000000000005</v>
      </c>
      <c r="U132" s="498">
        <v>227.2</v>
      </c>
      <c r="V132" s="498">
        <v>204.6</v>
      </c>
      <c r="W132" s="498">
        <f>X132-686</f>
        <v>255.89999999999998</v>
      </c>
      <c r="X132" s="498">
        <v>941.9</v>
      </c>
      <c r="Y132" s="498">
        <v>240</v>
      </c>
      <c r="Z132" s="498">
        <v>240.3</v>
      </c>
      <c r="AA132" s="498">
        <v>231.6</v>
      </c>
      <c r="AB132" s="498">
        <f>AC132-SUM(Y132:AA132)</f>
        <v>264</v>
      </c>
      <c r="AC132" s="498">
        <v>975.9</v>
      </c>
      <c r="AD132" s="498">
        <v>288.89999999999998</v>
      </c>
      <c r="AE132" s="498">
        <v>303.3</v>
      </c>
      <c r="AF132" s="498">
        <v>277.8</v>
      </c>
      <c r="AG132" s="498">
        <f>AH132-SUM(AD132:AF132)</f>
        <v>245.40000000000009</v>
      </c>
      <c r="AH132" s="498">
        <v>1115.4000000000001</v>
      </c>
      <c r="AI132" s="498">
        <v>253.5</v>
      </c>
      <c r="AJ132" s="498">
        <v>220.2</v>
      </c>
      <c r="AK132" s="498">
        <v>202</v>
      </c>
      <c r="AL132" s="498">
        <v>208.1</v>
      </c>
      <c r="AM132" s="498">
        <f>SUM(AI132:AL132)</f>
        <v>883.80000000000007</v>
      </c>
      <c r="AN132" s="498">
        <v>209.3</v>
      </c>
      <c r="AO132" s="498">
        <v>250.4</v>
      </c>
      <c r="AP132" s="498">
        <v>234.4</v>
      </c>
      <c r="AQ132" s="498">
        <f>AR132-SUM(AN132:AP132)</f>
        <v>249.10000000000002</v>
      </c>
      <c r="AR132" s="498">
        <v>943.2</v>
      </c>
      <c r="AS132" s="498">
        <v>270.2</v>
      </c>
      <c r="AT132" s="604">
        <f>276.8+13.9</f>
        <v>290.7</v>
      </c>
      <c r="AU132" s="604">
        <v>277</v>
      </c>
      <c r="AV132" s="498">
        <v>290.39999999999998</v>
      </c>
      <c r="AW132" s="611">
        <f>SUM(AS132:AV132)</f>
        <v>1128.3</v>
      </c>
      <c r="AX132" s="498">
        <v>332.1</v>
      </c>
      <c r="AY132" s="604">
        <v>331.6</v>
      </c>
      <c r="AZ132" s="604">
        <v>313.89999999999998</v>
      </c>
      <c r="BA132" s="498">
        <v>310.10000000000002</v>
      </c>
      <c r="BB132" s="685">
        <f>SUM(AX132:BA132)</f>
        <v>1287.7</v>
      </c>
      <c r="BC132" s="687">
        <v>341.5</v>
      </c>
      <c r="BD132" s="687">
        <v>342.7</v>
      </c>
      <c r="BE132" s="687">
        <v>329.7</v>
      </c>
      <c r="BF132" s="687">
        <v>341</v>
      </c>
      <c r="BG132" s="685">
        <f>SUM(BC132:BF132)</f>
        <v>1354.9</v>
      </c>
      <c r="BH132" s="687">
        <v>374.8</v>
      </c>
      <c r="BI132" s="685">
        <v>379.8</v>
      </c>
      <c r="BJ132" s="684">
        <v>359.3</v>
      </c>
      <c r="BK132" s="687">
        <v>373.7</v>
      </c>
      <c r="BL132" s="685">
        <f>SUM(BH132:BK132)</f>
        <v>1487.6000000000001</v>
      </c>
      <c r="BM132" s="687">
        <f>367.4+20.4</f>
        <v>387.79999999999995</v>
      </c>
      <c r="BN132" s="685">
        <v>393.4</v>
      </c>
      <c r="BO132" s="684">
        <f>347.4+15.9</f>
        <v>363.29999999999995</v>
      </c>
      <c r="BP132" s="687">
        <v>384.6</v>
      </c>
      <c r="BQ132" s="685">
        <f>SUM(BM132:BP132)</f>
        <v>1529.1</v>
      </c>
      <c r="BR132" s="687">
        <v>413.9</v>
      </c>
      <c r="BS132" s="685">
        <v>444.2</v>
      </c>
      <c r="BT132" s="684">
        <v>414.4</v>
      </c>
      <c r="BU132" s="687">
        <v>405.1</v>
      </c>
      <c r="BV132" s="685">
        <f>SUM(BR132:BU132)</f>
        <v>1677.6</v>
      </c>
      <c r="BW132" s="687">
        <v>404.6</v>
      </c>
      <c r="BX132" s="687">
        <v>412.4</v>
      </c>
      <c r="BY132" s="684">
        <v>415.3</v>
      </c>
      <c r="BZ132" s="687">
        <v>428.4</v>
      </c>
      <c r="CA132" s="685">
        <f>SUM(BW132:BZ132)</f>
        <v>1660.6999999999998</v>
      </c>
      <c r="CB132" s="687">
        <v>463.8</v>
      </c>
      <c r="CC132" s="685">
        <v>466.1</v>
      </c>
      <c r="CD132" s="684">
        <v>450</v>
      </c>
      <c r="CE132" s="687">
        <v>465.2</v>
      </c>
      <c r="CF132" s="685">
        <f>SUM(CB132:CE132)</f>
        <v>1845.1000000000001</v>
      </c>
      <c r="CG132" s="687">
        <v>506.9</v>
      </c>
      <c r="CH132" s="685">
        <v>505.5</v>
      </c>
      <c r="CI132" s="684">
        <v>471.3</v>
      </c>
      <c r="CJ132" s="687">
        <v>462.8</v>
      </c>
      <c r="CK132" s="687">
        <f>SUM(CG132:CJ132)</f>
        <v>1946.5</v>
      </c>
      <c r="CL132" s="498">
        <v>463.3</v>
      </c>
      <c r="CM132" s="611"/>
      <c r="CN132" s="604"/>
    </row>
    <row r="133" spans="2:93">
      <c r="B133" s="498" t="s">
        <v>91</v>
      </c>
      <c r="T133" s="498">
        <f>X133-SUM(U133:W133)</f>
        <v>72.900000000000006</v>
      </c>
      <c r="U133" s="498">
        <v>46.8</v>
      </c>
      <c r="V133" s="498">
        <v>47.7</v>
      </c>
      <c r="W133" s="498">
        <f>X133-167.4</f>
        <v>61.799999999999983</v>
      </c>
      <c r="X133" s="498">
        <v>229.2</v>
      </c>
      <c r="Y133" s="498">
        <v>53.2</v>
      </c>
      <c r="Z133" s="498">
        <v>58.8</v>
      </c>
      <c r="AA133" s="498">
        <v>57.5</v>
      </c>
      <c r="AB133" s="498">
        <f>AC133-SUM(Y133:AA133)</f>
        <v>62.199999999999989</v>
      </c>
      <c r="AC133" s="498">
        <v>231.7</v>
      </c>
      <c r="AD133" s="498">
        <v>66.900000000000006</v>
      </c>
      <c r="AE133" s="498">
        <v>67</v>
      </c>
      <c r="AF133" s="498">
        <v>62.8</v>
      </c>
      <c r="AG133" s="498">
        <f>AH133-SUM(AD133:AF133)</f>
        <v>53.300000000000011</v>
      </c>
      <c r="AH133" s="498">
        <v>250</v>
      </c>
      <c r="AI133" s="498">
        <v>62.9</v>
      </c>
      <c r="AJ133" s="498">
        <v>63.5</v>
      </c>
      <c r="AK133" s="498">
        <v>61.4</v>
      </c>
      <c r="AL133" s="498">
        <v>64</v>
      </c>
      <c r="AM133" s="498">
        <f>SUM(AI133:AL133)</f>
        <v>251.8</v>
      </c>
      <c r="AN133" s="498">
        <v>62.6</v>
      </c>
      <c r="AO133" s="498">
        <v>66.5</v>
      </c>
      <c r="AP133" s="498">
        <v>69.900000000000006</v>
      </c>
      <c r="AQ133" s="498">
        <f>AR133-SUM(AN133:AP133)</f>
        <v>70.699999999999989</v>
      </c>
      <c r="AR133" s="498">
        <v>269.7</v>
      </c>
      <c r="AS133" s="498">
        <v>75.599999999999994</v>
      </c>
      <c r="AT133" s="604">
        <f>76.9+0.2</f>
        <v>77.100000000000009</v>
      </c>
      <c r="AU133" s="604">
        <v>89.7</v>
      </c>
      <c r="AV133" s="498">
        <v>77.099999999999994</v>
      </c>
      <c r="AW133" s="498">
        <f>SUM(AS133:AV133)</f>
        <v>319.5</v>
      </c>
      <c r="AX133" s="498">
        <v>84</v>
      </c>
      <c r="AY133" s="604">
        <v>82.7</v>
      </c>
      <c r="AZ133" s="604">
        <v>92.6</v>
      </c>
      <c r="BA133" s="498">
        <v>90</v>
      </c>
      <c r="BB133" s="692">
        <f>SUM(AX133:BA133)</f>
        <v>349.29999999999995</v>
      </c>
      <c r="BC133" s="692">
        <v>92.3</v>
      </c>
      <c r="BD133" s="692">
        <v>98.4</v>
      </c>
      <c r="BE133" s="692">
        <v>99.8</v>
      </c>
      <c r="BF133" s="692">
        <v>102.6</v>
      </c>
      <c r="BG133" s="692">
        <f>SUM(BC133:BF133)</f>
        <v>393.1</v>
      </c>
      <c r="BH133" s="692">
        <v>105.5</v>
      </c>
      <c r="BI133" s="694">
        <v>109</v>
      </c>
      <c r="BJ133" s="693">
        <v>109.4</v>
      </c>
      <c r="BK133" s="692">
        <v>112.5</v>
      </c>
      <c r="BL133" s="692">
        <f>SUM(BH133:BK133)</f>
        <v>436.4</v>
      </c>
      <c r="BM133" s="692">
        <f>104.4+0.1</f>
        <v>104.5</v>
      </c>
      <c r="BN133" s="694">
        <v>102.2</v>
      </c>
      <c r="BO133" s="693">
        <v>101.4</v>
      </c>
      <c r="BP133" s="692">
        <v>102.9</v>
      </c>
      <c r="BQ133" s="692">
        <f>SUM(BM133:BP133)</f>
        <v>411</v>
      </c>
      <c r="BR133" s="692">
        <v>101.9</v>
      </c>
      <c r="BS133" s="694">
        <v>97.3</v>
      </c>
      <c r="BT133" s="693">
        <v>102.3</v>
      </c>
      <c r="BU133" s="692">
        <v>92.9</v>
      </c>
      <c r="BV133" s="692">
        <f>SUM(BR133:BU133)</f>
        <v>394.4</v>
      </c>
      <c r="BW133" s="692">
        <v>91.3</v>
      </c>
      <c r="BX133" s="692">
        <v>94</v>
      </c>
      <c r="BY133" s="693">
        <v>92.6</v>
      </c>
      <c r="BZ133" s="692">
        <v>98.7</v>
      </c>
      <c r="CA133" s="692">
        <f>SUM(BW133:BZ133)</f>
        <v>376.59999999999997</v>
      </c>
      <c r="CB133" s="692">
        <v>95.5</v>
      </c>
      <c r="CC133" s="694">
        <v>101.7</v>
      </c>
      <c r="CD133" s="693">
        <v>107.7</v>
      </c>
      <c r="CE133" s="692">
        <v>113.8</v>
      </c>
      <c r="CF133" s="692">
        <f>SUM(CB133:CE133)</f>
        <v>418.7</v>
      </c>
      <c r="CG133" s="692">
        <v>122.3</v>
      </c>
      <c r="CH133" s="694">
        <v>125</v>
      </c>
      <c r="CI133" s="693">
        <v>124.5</v>
      </c>
      <c r="CJ133" s="692">
        <v>121.6</v>
      </c>
      <c r="CK133" s="692">
        <f>SUM(CG133:CJ133)</f>
        <v>493.4</v>
      </c>
      <c r="CL133" s="498">
        <v>103</v>
      </c>
      <c r="CM133" s="611"/>
      <c r="CN133" s="604"/>
    </row>
    <row r="134" spans="2:93" hidden="1">
      <c r="B134" s="498" t="s">
        <v>102</v>
      </c>
      <c r="C134" s="498">
        <v>585.4</v>
      </c>
      <c r="D134" s="498">
        <v>653.48400000000004</v>
      </c>
      <c r="E134" s="498">
        <v>605.9</v>
      </c>
      <c r="F134" s="498">
        <v>567</v>
      </c>
      <c r="G134" s="498">
        <v>607.70000000000005</v>
      </c>
      <c r="H134" s="498">
        <v>532.4</v>
      </c>
      <c r="I134" s="498">
        <v>584.79999999999995</v>
      </c>
      <c r="J134" s="498">
        <v>171.1</v>
      </c>
      <c r="K134" s="498">
        <v>169.7</v>
      </c>
      <c r="L134" s="498">
        <v>161.19999999999999</v>
      </c>
      <c r="M134" s="498">
        <f>N134-SUM(J134:L134)</f>
        <v>181.90000000000003</v>
      </c>
      <c r="N134" s="498">
        <v>683.9</v>
      </c>
      <c r="O134" s="498">
        <v>195.7</v>
      </c>
      <c r="P134" s="498">
        <v>213.5</v>
      </c>
      <c r="Q134" s="498">
        <v>186.8</v>
      </c>
      <c r="R134" s="498">
        <f>S134-SUM(O134:Q134)</f>
        <v>191</v>
      </c>
      <c r="S134" s="498">
        <v>787</v>
      </c>
      <c r="T134" s="498">
        <v>214.6</v>
      </c>
      <c r="U134" s="498">
        <v>222.9</v>
      </c>
      <c r="V134" s="498">
        <v>201.4</v>
      </c>
      <c r="W134" s="498">
        <f>X134-SUM(T134:V134)</f>
        <v>209.10000000000002</v>
      </c>
      <c r="X134" s="498">
        <v>848</v>
      </c>
      <c r="AT134" s="604"/>
      <c r="AU134" s="604"/>
      <c r="AW134" s="640"/>
      <c r="AY134" s="604"/>
      <c r="AZ134" s="604"/>
      <c r="BB134" s="707"/>
      <c r="BC134" s="704"/>
      <c r="BD134" s="704"/>
      <c r="BE134" s="704"/>
      <c r="BF134" s="704"/>
      <c r="BG134" s="707"/>
      <c r="BH134" s="704"/>
      <c r="BI134" s="706"/>
      <c r="BJ134" s="705"/>
      <c r="BK134" s="704"/>
      <c r="BL134" s="707"/>
      <c r="BM134" s="704"/>
      <c r="BN134" s="706"/>
      <c r="BO134" s="705"/>
      <c r="BP134" s="704"/>
      <c r="BQ134" s="707"/>
      <c r="BR134" s="704"/>
      <c r="BS134" s="706"/>
      <c r="BT134" s="705"/>
      <c r="BU134" s="704"/>
      <c r="BV134" s="704"/>
      <c r="BW134" s="704"/>
      <c r="BX134" s="704"/>
      <c r="BY134" s="705"/>
      <c r="BZ134" s="704"/>
      <c r="CA134" s="704"/>
      <c r="CB134" s="704"/>
      <c r="CC134" s="706"/>
      <c r="CD134" s="705"/>
      <c r="CE134" s="704"/>
      <c r="CF134" s="704"/>
      <c r="CG134" s="704"/>
      <c r="CH134" s="706"/>
      <c r="CI134" s="705"/>
      <c r="CJ134" s="704"/>
      <c r="CK134" s="704"/>
      <c r="CM134" s="611"/>
      <c r="CN134" s="604"/>
    </row>
    <row r="135" spans="2:93" hidden="1">
      <c r="B135" s="498" t="s">
        <v>103</v>
      </c>
      <c r="C135" s="498">
        <v>170.1</v>
      </c>
      <c r="D135" s="498">
        <v>224.815</v>
      </c>
      <c r="E135" s="498">
        <v>330.9</v>
      </c>
      <c r="F135" s="498">
        <v>359.2</v>
      </c>
      <c r="G135" s="498">
        <v>276.8</v>
      </c>
      <c r="H135" s="498">
        <v>217.9</v>
      </c>
      <c r="I135" s="498">
        <v>232.8</v>
      </c>
      <c r="J135" s="498">
        <v>74.099999999999994</v>
      </c>
      <c r="K135" s="498">
        <v>84.9</v>
      </c>
      <c r="L135" s="498">
        <v>84.4</v>
      </c>
      <c r="M135" s="498">
        <f>N135-SUM(J135:L135)</f>
        <v>75.999999999999972</v>
      </c>
      <c r="N135" s="498">
        <v>319.39999999999998</v>
      </c>
      <c r="O135" s="498">
        <v>76.900000000000006</v>
      </c>
      <c r="P135" s="498">
        <v>77.2</v>
      </c>
      <c r="Q135" s="498">
        <v>69.400000000000006</v>
      </c>
      <c r="R135" s="498">
        <f>S135-SUM(O135:Q135)</f>
        <v>67.69999999999996</v>
      </c>
      <c r="S135" s="498">
        <v>291.2</v>
      </c>
      <c r="T135" s="498">
        <v>68.599999999999994</v>
      </c>
      <c r="U135" s="498">
        <v>66.400000000000006</v>
      </c>
      <c r="V135" s="498">
        <v>59.1</v>
      </c>
      <c r="W135" s="498">
        <f>X135-SUM(T135:V135)</f>
        <v>41.099999999999994</v>
      </c>
      <c r="X135" s="498">
        <v>235.2</v>
      </c>
      <c r="AT135" s="604"/>
      <c r="AU135" s="604"/>
      <c r="AW135" s="640"/>
      <c r="AY135" s="604"/>
      <c r="AZ135" s="604"/>
      <c r="BB135" s="707"/>
      <c r="BC135" s="704"/>
      <c r="BD135" s="704"/>
      <c r="BE135" s="704"/>
      <c r="BF135" s="704"/>
      <c r="BG135" s="707"/>
      <c r="BH135" s="704"/>
      <c r="BI135" s="706"/>
      <c r="BJ135" s="705"/>
      <c r="BK135" s="704"/>
      <c r="BL135" s="707"/>
      <c r="BM135" s="704"/>
      <c r="BN135" s="706"/>
      <c r="BO135" s="705"/>
      <c r="BP135" s="704"/>
      <c r="BQ135" s="707"/>
      <c r="BR135" s="704"/>
      <c r="BS135" s="706"/>
      <c r="BT135" s="705"/>
      <c r="BU135" s="704"/>
      <c r="BV135" s="704"/>
      <c r="BW135" s="704"/>
      <c r="BX135" s="704"/>
      <c r="BY135" s="705"/>
      <c r="BZ135" s="704"/>
      <c r="CA135" s="704"/>
      <c r="CB135" s="704"/>
      <c r="CC135" s="706"/>
      <c r="CD135" s="705"/>
      <c r="CE135" s="704"/>
      <c r="CF135" s="704"/>
      <c r="CG135" s="704"/>
      <c r="CH135" s="706"/>
      <c r="CI135" s="705"/>
      <c r="CJ135" s="704"/>
      <c r="CK135" s="704"/>
      <c r="CM135" s="611"/>
      <c r="CN135" s="604"/>
    </row>
    <row r="136" spans="2:93" hidden="1">
      <c r="B136" s="498" t="s">
        <v>104</v>
      </c>
      <c r="C136" s="498">
        <v>181.4</v>
      </c>
      <c r="D136" s="498">
        <v>210.745</v>
      </c>
      <c r="E136" s="498">
        <v>214.7</v>
      </c>
      <c r="F136" s="498">
        <v>129.5</v>
      </c>
      <c r="G136" s="498">
        <v>124.9</v>
      </c>
      <c r="H136" s="498">
        <v>100.5</v>
      </c>
      <c r="I136" s="498">
        <v>79.3</v>
      </c>
      <c r="J136" s="498">
        <v>17.600000000000001</v>
      </c>
      <c r="K136" s="498">
        <v>17.600000000000001</v>
      </c>
      <c r="L136" s="498">
        <v>17.5</v>
      </c>
      <c r="M136" s="498">
        <f>N136-SUM(J136:L136)</f>
        <v>18.5</v>
      </c>
      <c r="N136" s="498">
        <v>71.2</v>
      </c>
      <c r="O136" s="498">
        <v>18</v>
      </c>
      <c r="P136" s="498">
        <v>20.6</v>
      </c>
      <c r="Q136" s="498">
        <v>20.399999999999999</v>
      </c>
      <c r="R136" s="498">
        <f>S136-SUM(O136:Q136)</f>
        <v>24.200000000000003</v>
      </c>
      <c r="S136" s="498">
        <v>83.2</v>
      </c>
      <c r="T136" s="498">
        <v>23.8</v>
      </c>
      <c r="U136" s="498">
        <v>26.7</v>
      </c>
      <c r="V136" s="498">
        <v>28.6</v>
      </c>
      <c r="W136" s="498">
        <f>X136-SUM(T136:V136)</f>
        <v>30.800000000000011</v>
      </c>
      <c r="X136" s="498">
        <v>109.9</v>
      </c>
      <c r="AT136" s="604"/>
      <c r="AU136" s="604"/>
      <c r="AW136" s="640"/>
      <c r="AY136" s="604"/>
      <c r="AZ136" s="604"/>
      <c r="BB136" s="707"/>
      <c r="BC136" s="704"/>
      <c r="BD136" s="704"/>
      <c r="BE136" s="704"/>
      <c r="BF136" s="704"/>
      <c r="BG136" s="707"/>
      <c r="BH136" s="704"/>
      <c r="BI136" s="706"/>
      <c r="BJ136" s="705"/>
      <c r="BK136" s="704"/>
      <c r="BL136" s="707"/>
      <c r="BM136" s="704"/>
      <c r="BN136" s="706"/>
      <c r="BO136" s="705"/>
      <c r="BP136" s="704"/>
      <c r="BQ136" s="707"/>
      <c r="BR136" s="704"/>
      <c r="BS136" s="706"/>
      <c r="BT136" s="705"/>
      <c r="BU136" s="704"/>
      <c r="BV136" s="704"/>
      <c r="BW136" s="704"/>
      <c r="BX136" s="704"/>
      <c r="BY136" s="705"/>
      <c r="BZ136" s="704"/>
      <c r="CA136" s="704"/>
      <c r="CB136" s="704"/>
      <c r="CC136" s="706"/>
      <c r="CD136" s="705"/>
      <c r="CE136" s="704"/>
      <c r="CF136" s="704"/>
      <c r="CG136" s="704"/>
      <c r="CH136" s="706"/>
      <c r="CI136" s="705"/>
      <c r="CJ136" s="704"/>
      <c r="CK136" s="704"/>
      <c r="CM136" s="611"/>
      <c r="CN136" s="604"/>
    </row>
    <row r="137" spans="2:93" ht="15" thickBot="1">
      <c r="B137" s="498" t="s">
        <v>92</v>
      </c>
      <c r="C137" s="613"/>
      <c r="D137" s="613"/>
      <c r="E137" s="613"/>
      <c r="F137" s="613"/>
      <c r="G137" s="613">
        <v>0</v>
      </c>
      <c r="H137" s="613">
        <v>0</v>
      </c>
      <c r="I137" s="613">
        <v>0</v>
      </c>
      <c r="J137" s="613"/>
      <c r="K137" s="613"/>
      <c r="L137" s="613">
        <v>0</v>
      </c>
      <c r="M137" s="613">
        <f>N137-SUM(J137:L137)</f>
        <v>0</v>
      </c>
      <c r="N137" s="613">
        <v>0</v>
      </c>
      <c r="O137" s="613"/>
      <c r="P137" s="613"/>
      <c r="Q137" s="613"/>
      <c r="R137" s="613">
        <f>S137-SUM(O137:Q137)</f>
        <v>0</v>
      </c>
      <c r="S137" s="613">
        <v>0</v>
      </c>
      <c r="T137" s="613"/>
      <c r="U137" s="613"/>
      <c r="V137" s="613"/>
      <c r="W137" s="613">
        <f>X137-SUM(T137:V137)</f>
        <v>0</v>
      </c>
      <c r="X137" s="613">
        <v>0</v>
      </c>
      <c r="Y137" s="613">
        <v>-10.6</v>
      </c>
      <c r="Z137" s="613">
        <v>-9.3000000000000007</v>
      </c>
      <c r="AA137" s="613">
        <v>-8</v>
      </c>
      <c r="AB137" s="613">
        <f>AC137-SUM(Y137:AA137)</f>
        <v>-8.6000000000000014</v>
      </c>
      <c r="AC137" s="613">
        <v>-36.5</v>
      </c>
      <c r="AD137" s="613">
        <v>-11.3</v>
      </c>
      <c r="AE137" s="613">
        <v>-10.8</v>
      </c>
      <c r="AF137" s="613">
        <v>-9.1999999999999993</v>
      </c>
      <c r="AG137" s="613">
        <f>AH137-SUM(AD137:AF137)</f>
        <v>-9.1999999999999993</v>
      </c>
      <c r="AH137" s="613">
        <v>-40.5</v>
      </c>
      <c r="AI137" s="613">
        <v>-9.1</v>
      </c>
      <c r="AJ137" s="613">
        <v>-6.4</v>
      </c>
      <c r="AK137" s="613">
        <v>-6.3</v>
      </c>
      <c r="AL137" s="613">
        <v>-5.5</v>
      </c>
      <c r="AM137" s="613">
        <f>SUM(AI137:AL137)</f>
        <v>-27.3</v>
      </c>
      <c r="AN137" s="613">
        <v>-8.9</v>
      </c>
      <c r="AO137" s="498">
        <v>-11.8</v>
      </c>
      <c r="AP137" s="498">
        <v>-9.8000000000000007</v>
      </c>
      <c r="AQ137" s="613">
        <f>AR137-SUM(AN137:AP137)</f>
        <v>-8.7999999999999936</v>
      </c>
      <c r="AR137" s="613">
        <v>-39.299999999999997</v>
      </c>
      <c r="AS137" s="613">
        <v>-14.2</v>
      </c>
      <c r="AT137" s="614">
        <v>-14.1</v>
      </c>
      <c r="AU137" s="614">
        <v>-14.9</v>
      </c>
      <c r="AV137" s="613">
        <v>-12.2</v>
      </c>
      <c r="AW137" s="611">
        <f>SUM(AS137:AV137)</f>
        <v>-55.399999999999991</v>
      </c>
      <c r="AX137" s="613">
        <v>-16</v>
      </c>
      <c r="AY137" s="614">
        <v>-15.1</v>
      </c>
      <c r="AZ137" s="614">
        <v>-14.9</v>
      </c>
      <c r="BA137" s="613">
        <v>-12.8</v>
      </c>
      <c r="BB137" s="694">
        <f>SUM(AX137:BA137)</f>
        <v>-58.8</v>
      </c>
      <c r="BC137" s="692">
        <v>-17.3</v>
      </c>
      <c r="BD137" s="692">
        <v>-18.5</v>
      </c>
      <c r="BE137" s="692">
        <v>-17.2</v>
      </c>
      <c r="BF137" s="692">
        <v>-16.8</v>
      </c>
      <c r="BG137" s="694">
        <f>SUM(BC137:BF137)</f>
        <v>-69.8</v>
      </c>
      <c r="BH137" s="692">
        <v>-18.600000000000001</v>
      </c>
      <c r="BI137" s="694">
        <v>-18.7</v>
      </c>
      <c r="BJ137" s="693">
        <v>-16.8</v>
      </c>
      <c r="BK137" s="692">
        <v>-14.4</v>
      </c>
      <c r="BL137" s="694">
        <f>SUM(BH137:BK137)</f>
        <v>-68.5</v>
      </c>
      <c r="BM137" s="692">
        <v>-20.5</v>
      </c>
      <c r="BN137" s="694">
        <v>-19.899999999999999</v>
      </c>
      <c r="BO137" s="693">
        <v>-15.9</v>
      </c>
      <c r="BP137" s="692">
        <v>-22.6</v>
      </c>
      <c r="BQ137" s="694">
        <f>SUM(BM137:BP137)</f>
        <v>-78.900000000000006</v>
      </c>
      <c r="BR137" s="692">
        <v>-18.100000000000001</v>
      </c>
      <c r="BS137" s="694">
        <v>-18.899999999999999</v>
      </c>
      <c r="BT137" s="693">
        <v>-16.2</v>
      </c>
      <c r="BU137" s="692">
        <v>-14.5</v>
      </c>
      <c r="BV137" s="694">
        <f>SUM(BR137:BU137)</f>
        <v>-67.7</v>
      </c>
      <c r="BW137" s="692">
        <v>-17.100000000000001</v>
      </c>
      <c r="BX137" s="692">
        <v>-15.1</v>
      </c>
      <c r="BY137" s="693">
        <v>-16.399999999999999</v>
      </c>
      <c r="BZ137" s="692">
        <v>-15.4</v>
      </c>
      <c r="CA137" s="694">
        <f>SUM(BW137:BZ137)</f>
        <v>-64</v>
      </c>
      <c r="CB137" s="692">
        <v>-19.2</v>
      </c>
      <c r="CC137" s="694">
        <v>-20.3</v>
      </c>
      <c r="CD137" s="693">
        <v>-17.2</v>
      </c>
      <c r="CE137" s="692">
        <v>-18</v>
      </c>
      <c r="CF137" s="694">
        <f>SUM(CB137:CE137)</f>
        <v>-74.7</v>
      </c>
      <c r="CG137" s="692">
        <v>-19.3</v>
      </c>
      <c r="CH137" s="694">
        <v>-21.5</v>
      </c>
      <c r="CI137" s="693">
        <v>-23.3</v>
      </c>
      <c r="CJ137" s="692">
        <v>-20.100000000000001</v>
      </c>
      <c r="CK137" s="692">
        <f>SUM(CG137:CJ137)</f>
        <v>-84.199999999999989</v>
      </c>
      <c r="CL137" s="613">
        <v>-25.3</v>
      </c>
      <c r="CM137" s="611"/>
      <c r="CN137" s="604"/>
    </row>
    <row r="138" spans="2:93">
      <c r="B138" s="526" t="s">
        <v>93</v>
      </c>
      <c r="C138" s="526">
        <f t="shared" ref="C138:L138" si="126">SUM(C134:C137)</f>
        <v>936.9</v>
      </c>
      <c r="D138" s="526">
        <f t="shared" si="126"/>
        <v>1089.0439999999999</v>
      </c>
      <c r="E138" s="526">
        <f t="shared" si="126"/>
        <v>1151.5</v>
      </c>
      <c r="F138" s="526">
        <f t="shared" si="126"/>
        <v>1055.7</v>
      </c>
      <c r="G138" s="526">
        <f t="shared" si="126"/>
        <v>1009.4</v>
      </c>
      <c r="H138" s="526">
        <f t="shared" si="126"/>
        <v>850.8</v>
      </c>
      <c r="I138" s="526">
        <f t="shared" si="126"/>
        <v>896.89999999999986</v>
      </c>
      <c r="J138" s="526">
        <f t="shared" si="126"/>
        <v>262.8</v>
      </c>
      <c r="K138" s="526">
        <f t="shared" si="126"/>
        <v>272.2</v>
      </c>
      <c r="L138" s="526">
        <f t="shared" si="126"/>
        <v>263.10000000000002</v>
      </c>
      <c r="M138" s="526">
        <f>N138-SUM(J138:L138)</f>
        <v>276.39999999999998</v>
      </c>
      <c r="N138" s="526">
        <f>SUM(N134:N137)</f>
        <v>1074.5</v>
      </c>
      <c r="O138" s="526">
        <f>SUM(O134:O137)</f>
        <v>290.60000000000002</v>
      </c>
      <c r="P138" s="526">
        <f>SUM(P134:P137)</f>
        <v>311.3</v>
      </c>
      <c r="Q138" s="526">
        <f>SUM(Q134:Q137)</f>
        <v>276.60000000000002</v>
      </c>
      <c r="R138" s="526">
        <f>S138-SUM(O138:Q138)</f>
        <v>282.89999999999998</v>
      </c>
      <c r="S138" s="526">
        <f>SUM(S134:S137)</f>
        <v>1161.4000000000001</v>
      </c>
      <c r="T138" s="526">
        <f>SUM(T134:T137)</f>
        <v>307</v>
      </c>
      <c r="U138" s="526">
        <f>SUM(U134:U137)</f>
        <v>316</v>
      </c>
      <c r="V138" s="526">
        <f>SUM(V134:V137)</f>
        <v>289.10000000000002</v>
      </c>
      <c r="W138" s="526">
        <f>X138-SUM(T138:V138)</f>
        <v>281.00000000000011</v>
      </c>
      <c r="X138" s="526">
        <f>SUM(X134:X137)</f>
        <v>1193.1000000000001</v>
      </c>
      <c r="Y138" s="526">
        <f>SUM(Y132:Y137)</f>
        <v>282.59999999999997</v>
      </c>
      <c r="Z138" s="526">
        <f>SUM(Z132:Z137)</f>
        <v>289.8</v>
      </c>
      <c r="AA138" s="526">
        <f>SUM(AA132:AA137)</f>
        <v>281.10000000000002</v>
      </c>
      <c r="AB138" s="526">
        <f>AC138-SUM(Y138:AA138)</f>
        <v>317.59999999999991</v>
      </c>
      <c r="AC138" s="526">
        <f>SUM(AC132:AC137)</f>
        <v>1171.0999999999999</v>
      </c>
      <c r="AD138" s="526">
        <f>SUM(AD132:AD137)</f>
        <v>344.49999999999994</v>
      </c>
      <c r="AE138" s="526">
        <f>SUM(AE132:AE137)</f>
        <v>359.5</v>
      </c>
      <c r="AF138" s="526">
        <f>SUM(AF132:AF137)</f>
        <v>331.40000000000003</v>
      </c>
      <c r="AG138" s="526">
        <f>AH138-SUM(AD138:AF138)</f>
        <v>289.5</v>
      </c>
      <c r="AH138" s="526">
        <f t="shared" ref="AH138:AP138" si="127">SUM(AH132:AH137)</f>
        <v>1324.9</v>
      </c>
      <c r="AI138" s="526">
        <f t="shared" si="127"/>
        <v>307.29999999999995</v>
      </c>
      <c r="AJ138" s="526">
        <f t="shared" si="127"/>
        <v>277.3</v>
      </c>
      <c r="AK138" s="526">
        <f t="shared" si="127"/>
        <v>257.09999999999997</v>
      </c>
      <c r="AL138" s="526">
        <f t="shared" si="127"/>
        <v>266.60000000000002</v>
      </c>
      <c r="AM138" s="526">
        <f t="shared" si="127"/>
        <v>1108.3000000000002</v>
      </c>
      <c r="AN138" s="526">
        <f t="shared" si="127"/>
        <v>263.00000000000006</v>
      </c>
      <c r="AO138" s="526">
        <f t="shared" si="127"/>
        <v>305.09999999999997</v>
      </c>
      <c r="AP138" s="526">
        <f t="shared" si="127"/>
        <v>294.5</v>
      </c>
      <c r="AQ138" s="526">
        <f>AR138-SUM(AN138:AP138)</f>
        <v>311.00000000000011</v>
      </c>
      <c r="AR138" s="526">
        <f t="shared" ref="AR138:CL138" si="128">SUM(AR132:AR137)</f>
        <v>1173.6000000000001</v>
      </c>
      <c r="AS138" s="526">
        <f t="shared" si="128"/>
        <v>331.59999999999997</v>
      </c>
      <c r="AT138" s="526">
        <f t="shared" si="128"/>
        <v>353.7</v>
      </c>
      <c r="AU138" s="526">
        <f t="shared" si="128"/>
        <v>351.8</v>
      </c>
      <c r="AV138" s="526">
        <f t="shared" si="128"/>
        <v>355.3</v>
      </c>
      <c r="AW138" s="616">
        <f t="shared" si="128"/>
        <v>1392.3999999999999</v>
      </c>
      <c r="AX138" s="526">
        <f t="shared" si="128"/>
        <v>400.1</v>
      </c>
      <c r="AY138" s="526">
        <f t="shared" si="128"/>
        <v>399.2</v>
      </c>
      <c r="AZ138" s="526">
        <f t="shared" si="128"/>
        <v>391.6</v>
      </c>
      <c r="BA138" s="526">
        <f t="shared" si="128"/>
        <v>387.3</v>
      </c>
      <c r="BB138" s="713">
        <f t="shared" si="128"/>
        <v>1578.2</v>
      </c>
      <c r="BC138" s="712">
        <f t="shared" si="128"/>
        <v>416.5</v>
      </c>
      <c r="BD138" s="712">
        <f t="shared" si="128"/>
        <v>422.6</v>
      </c>
      <c r="BE138" s="714">
        <f t="shared" si="128"/>
        <v>412.3</v>
      </c>
      <c r="BF138" s="714">
        <f t="shared" si="128"/>
        <v>426.8</v>
      </c>
      <c r="BG138" s="713">
        <f t="shared" si="128"/>
        <v>1678.2</v>
      </c>
      <c r="BH138" s="714">
        <f t="shared" si="128"/>
        <v>461.7</v>
      </c>
      <c r="BI138" s="715">
        <f t="shared" si="128"/>
        <v>470.1</v>
      </c>
      <c r="BJ138" s="714">
        <f t="shared" si="128"/>
        <v>451.90000000000003</v>
      </c>
      <c r="BK138" s="714">
        <f t="shared" si="128"/>
        <v>471.8</v>
      </c>
      <c r="BL138" s="713">
        <f t="shared" si="128"/>
        <v>1855.5</v>
      </c>
      <c r="BM138" s="714">
        <f t="shared" si="128"/>
        <v>471.79999999999995</v>
      </c>
      <c r="BN138" s="714">
        <f t="shared" si="128"/>
        <v>475.7</v>
      </c>
      <c r="BO138" s="714">
        <f t="shared" si="128"/>
        <v>448.79999999999995</v>
      </c>
      <c r="BP138" s="714">
        <f t="shared" si="128"/>
        <v>464.9</v>
      </c>
      <c r="BQ138" s="713">
        <f t="shared" si="128"/>
        <v>1861.1999999999998</v>
      </c>
      <c r="BR138" s="714">
        <f t="shared" si="128"/>
        <v>497.69999999999993</v>
      </c>
      <c r="BS138" s="714">
        <f t="shared" si="128"/>
        <v>522.6</v>
      </c>
      <c r="BT138" s="714">
        <f t="shared" si="128"/>
        <v>500.49999999999994</v>
      </c>
      <c r="BU138" s="714">
        <f t="shared" si="128"/>
        <v>483.5</v>
      </c>
      <c r="BV138" s="713">
        <f t="shared" si="128"/>
        <v>2004.3</v>
      </c>
      <c r="BW138" s="714">
        <f t="shared" si="128"/>
        <v>478.8</v>
      </c>
      <c r="BX138" s="714">
        <f t="shared" si="128"/>
        <v>491.29999999999995</v>
      </c>
      <c r="BY138" s="714">
        <f t="shared" si="128"/>
        <v>491.5</v>
      </c>
      <c r="BZ138" s="714">
        <f t="shared" si="128"/>
        <v>511.70000000000005</v>
      </c>
      <c r="CA138" s="713">
        <f t="shared" si="128"/>
        <v>1973.2999999999997</v>
      </c>
      <c r="CB138" s="714">
        <f t="shared" si="128"/>
        <v>540.09999999999991</v>
      </c>
      <c r="CC138" s="714">
        <f t="shared" si="128"/>
        <v>547.50000000000011</v>
      </c>
      <c r="CD138" s="714">
        <f t="shared" si="128"/>
        <v>540.5</v>
      </c>
      <c r="CE138" s="714">
        <f t="shared" si="128"/>
        <v>561</v>
      </c>
      <c r="CF138" s="713">
        <f t="shared" si="128"/>
        <v>2189.1000000000004</v>
      </c>
      <c r="CG138" s="714">
        <f t="shared" si="128"/>
        <v>609.9</v>
      </c>
      <c r="CH138" s="714">
        <f t="shared" si="128"/>
        <v>609</v>
      </c>
      <c r="CI138" s="714">
        <f t="shared" si="128"/>
        <v>572.5</v>
      </c>
      <c r="CJ138" s="714">
        <f t="shared" si="128"/>
        <v>564.29999999999995</v>
      </c>
      <c r="CK138" s="712">
        <f t="shared" si="128"/>
        <v>2355.7000000000003</v>
      </c>
      <c r="CL138" s="630">
        <f t="shared" si="128"/>
        <v>541</v>
      </c>
      <c r="CM138" s="630"/>
      <c r="CN138" s="630"/>
      <c r="CO138" s="630"/>
    </row>
    <row r="139" spans="2:93" hidden="1" outlineLevel="1">
      <c r="B139" s="526"/>
      <c r="C139" s="526" t="str">
        <f t="shared" ref="C139:AK139" si="129">IF(ROUND(C138,0)=ROUND(C6,0),"","check")</f>
        <v/>
      </c>
      <c r="D139" s="526" t="str">
        <f t="shared" si="129"/>
        <v/>
      </c>
      <c r="E139" s="526" t="str">
        <f t="shared" si="129"/>
        <v/>
      </c>
      <c r="F139" s="526" t="str">
        <f t="shared" si="129"/>
        <v/>
      </c>
      <c r="G139" s="526" t="str">
        <f t="shared" si="129"/>
        <v/>
      </c>
      <c r="H139" s="526" t="str">
        <f t="shared" si="129"/>
        <v/>
      </c>
      <c r="I139" s="526" t="str">
        <f t="shared" si="129"/>
        <v/>
      </c>
      <c r="J139" s="526" t="str">
        <f t="shared" si="129"/>
        <v/>
      </c>
      <c r="K139" s="526" t="str">
        <f t="shared" si="129"/>
        <v/>
      </c>
      <c r="L139" s="526" t="str">
        <f t="shared" si="129"/>
        <v/>
      </c>
      <c r="M139" s="526" t="str">
        <f t="shared" si="129"/>
        <v/>
      </c>
      <c r="N139" s="526" t="str">
        <f t="shared" si="129"/>
        <v/>
      </c>
      <c r="O139" s="526" t="str">
        <f t="shared" si="129"/>
        <v/>
      </c>
      <c r="P139" s="526" t="str">
        <f t="shared" si="129"/>
        <v/>
      </c>
      <c r="Q139" s="526" t="str">
        <f t="shared" si="129"/>
        <v/>
      </c>
      <c r="R139" s="526" t="str">
        <f t="shared" si="129"/>
        <v/>
      </c>
      <c r="S139" s="526" t="str">
        <f t="shared" si="129"/>
        <v/>
      </c>
      <c r="T139" s="526" t="str">
        <f t="shared" si="129"/>
        <v/>
      </c>
      <c r="U139" s="526" t="str">
        <f t="shared" si="129"/>
        <v/>
      </c>
      <c r="V139" s="526" t="str">
        <f t="shared" si="129"/>
        <v/>
      </c>
      <c r="W139" s="526" t="str">
        <f t="shared" si="129"/>
        <v/>
      </c>
      <c r="X139" s="526" t="str">
        <f t="shared" si="129"/>
        <v/>
      </c>
      <c r="Y139" s="526" t="str">
        <f t="shared" si="129"/>
        <v/>
      </c>
      <c r="Z139" s="526" t="str">
        <f t="shared" si="129"/>
        <v/>
      </c>
      <c r="AA139" s="526" t="str">
        <f t="shared" si="129"/>
        <v/>
      </c>
      <c r="AB139" s="526" t="str">
        <f t="shared" si="129"/>
        <v/>
      </c>
      <c r="AC139" s="526" t="str">
        <f t="shared" si="129"/>
        <v/>
      </c>
      <c r="AD139" s="526" t="str">
        <f t="shared" si="129"/>
        <v/>
      </c>
      <c r="AE139" s="526" t="str">
        <f t="shared" si="129"/>
        <v/>
      </c>
      <c r="AF139" s="526" t="str">
        <f t="shared" si="129"/>
        <v/>
      </c>
      <c r="AG139" s="526" t="str">
        <f t="shared" si="129"/>
        <v/>
      </c>
      <c r="AH139" s="526" t="str">
        <f t="shared" si="129"/>
        <v/>
      </c>
      <c r="AI139" s="526" t="str">
        <f t="shared" si="129"/>
        <v/>
      </c>
      <c r="AJ139" s="526" t="str">
        <f t="shared" si="129"/>
        <v/>
      </c>
      <c r="AK139" s="526" t="str">
        <f t="shared" si="129"/>
        <v/>
      </c>
      <c r="AQ139" s="526" t="str">
        <f>IF(ROUND(AQ138,0)=ROUND(AQ6,0),"","check")</f>
        <v/>
      </c>
      <c r="BI139" s="611"/>
      <c r="BJ139" s="604"/>
      <c r="BN139" s="611"/>
      <c r="BO139" s="604"/>
      <c r="BS139" s="611"/>
      <c r="BT139" s="604"/>
      <c r="BY139" s="604"/>
      <c r="CC139" s="611"/>
      <c r="CD139" s="604"/>
      <c r="CH139" s="611"/>
      <c r="CI139" s="604"/>
      <c r="CM139" s="611"/>
      <c r="CN139" s="604"/>
    </row>
    <row r="140" spans="2:93" collapsed="1">
      <c r="BI140" s="611"/>
      <c r="BJ140" s="604"/>
      <c r="BN140" s="611"/>
      <c r="BO140" s="604"/>
      <c r="BS140" s="611"/>
      <c r="BT140" s="604"/>
      <c r="BY140" s="604"/>
      <c r="CC140" s="611"/>
      <c r="CD140" s="604"/>
      <c r="CH140" s="611"/>
      <c r="CI140" s="604"/>
      <c r="CM140" s="611"/>
      <c r="CN140" s="604"/>
    </row>
    <row r="141" spans="2:93">
      <c r="B141" s="526" t="s">
        <v>121</v>
      </c>
      <c r="BI141" s="611"/>
      <c r="BJ141" s="604"/>
      <c r="BN141" s="611"/>
      <c r="BO141" s="604"/>
      <c r="BS141" s="611"/>
      <c r="BT141" s="604"/>
      <c r="BY141" s="604"/>
      <c r="CC141" s="611"/>
      <c r="CD141" s="604"/>
      <c r="CH141" s="611"/>
      <c r="CI141" s="604"/>
      <c r="CM141" s="611"/>
      <c r="CN141" s="604"/>
    </row>
    <row r="142" spans="2:93">
      <c r="B142" s="498" t="s">
        <v>90</v>
      </c>
      <c r="T142" s="498">
        <f>X142-SUM(U142:W142)</f>
        <v>45.5</v>
      </c>
      <c r="U142" s="498">
        <v>33.9</v>
      </c>
      <c r="V142" s="498">
        <v>29.6</v>
      </c>
      <c r="W142" s="498">
        <f>X142-109</f>
        <v>33.800000000000011</v>
      </c>
      <c r="X142" s="498">
        <v>142.80000000000001</v>
      </c>
      <c r="Y142" s="498">
        <v>36.9</v>
      </c>
      <c r="Z142" s="498">
        <v>38.200000000000003</v>
      </c>
      <c r="AA142" s="498">
        <v>33.9</v>
      </c>
      <c r="AB142" s="498">
        <f>AC142-109</f>
        <v>33.800000000000011</v>
      </c>
      <c r="AC142" s="498">
        <v>142.80000000000001</v>
      </c>
      <c r="AD142" s="498">
        <v>44.4</v>
      </c>
      <c r="AE142" s="498">
        <v>39.700000000000003</v>
      </c>
      <c r="AF142" s="498">
        <v>39.1</v>
      </c>
      <c r="AG142" s="498">
        <f t="shared" ref="AG142:AG148" si="130">AH142-SUM(AD142:AF142)</f>
        <v>35.600000000000023</v>
      </c>
      <c r="AH142" s="498">
        <v>158.80000000000001</v>
      </c>
      <c r="AI142" s="498">
        <v>45</v>
      </c>
      <c r="AJ142" s="498">
        <v>30.3</v>
      </c>
      <c r="AK142" s="498">
        <v>20.8</v>
      </c>
      <c r="AL142" s="498">
        <v>15.3</v>
      </c>
      <c r="AM142" s="498">
        <f>SUM(AI142:AL142)</f>
        <v>111.39999999999999</v>
      </c>
      <c r="AN142" s="498">
        <v>30.6</v>
      </c>
      <c r="AO142" s="498">
        <v>42.8</v>
      </c>
      <c r="AP142" s="498">
        <v>34.299999999999997</v>
      </c>
      <c r="AQ142" s="498">
        <f t="shared" ref="AQ142:AQ148" si="131">AR142-SUM(AN142:AP142)</f>
        <v>31.899999999999991</v>
      </c>
      <c r="AR142" s="498">
        <v>139.6</v>
      </c>
      <c r="AS142" s="498">
        <v>49.8</v>
      </c>
      <c r="AT142" s="604">
        <v>48.5</v>
      </c>
      <c r="AU142" s="604">
        <v>45.1</v>
      </c>
      <c r="AV142" s="498">
        <v>51.1</v>
      </c>
      <c r="AW142" s="611">
        <f>SUM(AS142:AV142)</f>
        <v>194.5</v>
      </c>
      <c r="AX142" s="498">
        <v>65.8</v>
      </c>
      <c r="AY142" s="604">
        <v>80.900000000000006</v>
      </c>
      <c r="AZ142" s="604">
        <v>57</v>
      </c>
      <c r="BA142" s="498">
        <v>53.6</v>
      </c>
      <c r="BB142" s="694">
        <f>SUM(AX142:BA142)</f>
        <v>257.3</v>
      </c>
      <c r="BC142" s="692">
        <v>67.900000000000006</v>
      </c>
      <c r="BD142" s="692">
        <v>71.2</v>
      </c>
      <c r="BE142" s="692">
        <v>68.7</v>
      </c>
      <c r="BF142" s="692">
        <v>68.5</v>
      </c>
      <c r="BG142" s="694">
        <f>SUM(BC142:BF142)</f>
        <v>276.3</v>
      </c>
      <c r="BH142" s="692">
        <v>75.900000000000006</v>
      </c>
      <c r="BI142" s="694">
        <v>79.8</v>
      </c>
      <c r="BJ142" s="693">
        <v>74.400000000000006</v>
      </c>
      <c r="BK142" s="692">
        <v>78.7</v>
      </c>
      <c r="BL142" s="694">
        <f>SUM(BH142:BK142)</f>
        <v>308.8</v>
      </c>
      <c r="BM142" s="692">
        <v>89.2</v>
      </c>
      <c r="BN142" s="694">
        <v>91.2</v>
      </c>
      <c r="BO142" s="693">
        <v>74.099999999999994</v>
      </c>
      <c r="BP142" s="692">
        <v>81.7</v>
      </c>
      <c r="BQ142" s="694">
        <f>SUM(BM142:BP142)</f>
        <v>336.2</v>
      </c>
      <c r="BR142" s="692">
        <v>90.8</v>
      </c>
      <c r="BS142" s="694">
        <v>101.6</v>
      </c>
      <c r="BT142" s="693">
        <v>88.8</v>
      </c>
      <c r="BU142" s="692">
        <v>87.1</v>
      </c>
      <c r="BV142" s="694">
        <f>SUM(BR142:BU142)</f>
        <v>368.29999999999995</v>
      </c>
      <c r="BW142" s="692">
        <v>81.900000000000006</v>
      </c>
      <c r="BX142" s="692">
        <v>92.1</v>
      </c>
      <c r="BY142" s="693">
        <v>90</v>
      </c>
      <c r="BZ142" s="692">
        <v>95.4</v>
      </c>
      <c r="CA142" s="694">
        <f>SUM(BW142:BZ142)</f>
        <v>359.4</v>
      </c>
      <c r="CB142" s="692">
        <v>91</v>
      </c>
      <c r="CC142" s="694">
        <v>93.1</v>
      </c>
      <c r="CD142" s="693">
        <v>92.5</v>
      </c>
      <c r="CE142" s="692">
        <v>97.2</v>
      </c>
      <c r="CF142" s="694">
        <f>SUM(CB142:CE142)</f>
        <v>373.8</v>
      </c>
      <c r="CG142" s="692">
        <v>112.5</v>
      </c>
      <c r="CH142" s="694">
        <v>111.8</v>
      </c>
      <c r="CI142" s="693">
        <v>100.1</v>
      </c>
      <c r="CJ142" s="692">
        <v>86.9</v>
      </c>
      <c r="CK142" s="692">
        <f>SUM(CG142:CJ142)</f>
        <v>411.29999999999995</v>
      </c>
      <c r="CL142" s="498">
        <v>91.5</v>
      </c>
      <c r="CM142" s="611"/>
      <c r="CN142" s="604"/>
    </row>
    <row r="143" spans="2:93">
      <c r="B143" s="498" t="s">
        <v>91</v>
      </c>
      <c r="T143" s="498">
        <f>X143-SUM(U143:W143)</f>
        <v>4.0999999999999979</v>
      </c>
      <c r="U143" s="498">
        <v>6.1</v>
      </c>
      <c r="V143" s="498">
        <v>4.7</v>
      </c>
      <c r="W143" s="498">
        <f>X143-14.9</f>
        <v>6.4</v>
      </c>
      <c r="X143" s="498">
        <v>21.3</v>
      </c>
      <c r="Y143" s="498">
        <v>4.9000000000000004</v>
      </c>
      <c r="Z143" s="498">
        <v>5.0999999999999996</v>
      </c>
      <c r="AA143" s="498">
        <v>4.9000000000000004</v>
      </c>
      <c r="AB143" s="498">
        <f>AC143-14.9</f>
        <v>6.4</v>
      </c>
      <c r="AC143" s="498">
        <v>21.3</v>
      </c>
      <c r="AD143" s="498">
        <v>8</v>
      </c>
      <c r="AE143" s="498">
        <v>8</v>
      </c>
      <c r="AF143" s="498">
        <v>6.4</v>
      </c>
      <c r="AG143" s="498">
        <f t="shared" si="130"/>
        <v>4.4000000000000021</v>
      </c>
      <c r="AH143" s="498">
        <v>26.8</v>
      </c>
      <c r="AI143" s="498">
        <v>8.8000000000000007</v>
      </c>
      <c r="AJ143" s="498">
        <v>9.9</v>
      </c>
      <c r="AK143" s="498">
        <v>7.8</v>
      </c>
      <c r="AL143" s="498">
        <v>9.6</v>
      </c>
      <c r="AM143" s="498">
        <f>SUM(AI143:AL143)</f>
        <v>36.1</v>
      </c>
      <c r="AN143" s="498">
        <v>11.4</v>
      </c>
      <c r="AO143" s="498">
        <v>10.7</v>
      </c>
      <c r="AP143" s="498">
        <v>11.9</v>
      </c>
      <c r="AQ143" s="498">
        <f t="shared" si="131"/>
        <v>11.700000000000003</v>
      </c>
      <c r="AR143" s="498">
        <v>45.7</v>
      </c>
      <c r="AS143" s="498">
        <v>12.5</v>
      </c>
      <c r="AT143" s="604">
        <v>11.9</v>
      </c>
      <c r="AU143" s="604">
        <v>16.2</v>
      </c>
      <c r="AV143" s="498">
        <v>11</v>
      </c>
      <c r="AW143" s="611">
        <f>SUM(AS143:AV143)</f>
        <v>51.599999999999994</v>
      </c>
      <c r="AX143" s="498">
        <v>11.8</v>
      </c>
      <c r="AY143" s="604">
        <v>11.7</v>
      </c>
      <c r="AZ143" s="604">
        <v>14.9</v>
      </c>
      <c r="BA143" s="498">
        <v>12.2</v>
      </c>
      <c r="BB143" s="694">
        <f>SUM(AX143:BA143)</f>
        <v>50.599999999999994</v>
      </c>
      <c r="BC143" s="692">
        <v>13.4</v>
      </c>
      <c r="BD143" s="692">
        <v>15.1</v>
      </c>
      <c r="BE143" s="692">
        <v>14.9</v>
      </c>
      <c r="BF143" s="692">
        <v>15.5</v>
      </c>
      <c r="BG143" s="694">
        <f>SUM(BC143:BF143)</f>
        <v>58.9</v>
      </c>
      <c r="BH143" s="692">
        <v>16.399999999999999</v>
      </c>
      <c r="BI143" s="694">
        <v>17.600000000000001</v>
      </c>
      <c r="BJ143" s="693">
        <v>16.7</v>
      </c>
      <c r="BK143" s="692">
        <v>16.3</v>
      </c>
      <c r="BL143" s="694">
        <f>SUM(BH143:BK143)</f>
        <v>67</v>
      </c>
      <c r="BM143" s="692">
        <v>14.7</v>
      </c>
      <c r="BN143" s="694">
        <v>14.4</v>
      </c>
      <c r="BO143" s="693">
        <v>14.2</v>
      </c>
      <c r="BP143" s="692">
        <v>12.5</v>
      </c>
      <c r="BQ143" s="694">
        <f>SUM(BM143:BP143)</f>
        <v>55.8</v>
      </c>
      <c r="BR143" s="692">
        <v>12.3</v>
      </c>
      <c r="BS143" s="694">
        <v>11.7</v>
      </c>
      <c r="BT143" s="693">
        <v>12.9</v>
      </c>
      <c r="BU143" s="692">
        <v>13.2</v>
      </c>
      <c r="BV143" s="694">
        <f>SUM(BR143:BU143)</f>
        <v>50.099999999999994</v>
      </c>
      <c r="BW143" s="692">
        <v>13</v>
      </c>
      <c r="BX143" s="692">
        <v>12.1</v>
      </c>
      <c r="BY143" s="693">
        <v>12.1</v>
      </c>
      <c r="BZ143" s="692">
        <v>11.5</v>
      </c>
      <c r="CA143" s="694">
        <f>SUM(BW143:BZ143)</f>
        <v>48.7</v>
      </c>
      <c r="CB143" s="692">
        <v>9.9</v>
      </c>
      <c r="CC143" s="694">
        <v>15.9</v>
      </c>
      <c r="CD143" s="693">
        <v>15.5</v>
      </c>
      <c r="CE143" s="692">
        <v>9.3000000000000007</v>
      </c>
      <c r="CF143" s="694">
        <f>SUM(CB143:CE143)</f>
        <v>50.599999999999994</v>
      </c>
      <c r="CG143" s="692">
        <v>14.8</v>
      </c>
      <c r="CH143" s="694">
        <v>16.3</v>
      </c>
      <c r="CI143" s="693">
        <v>20.3</v>
      </c>
      <c r="CJ143" s="692">
        <v>20.6</v>
      </c>
      <c r="CK143" s="692">
        <f>SUM(CG143:CJ143)</f>
        <v>72</v>
      </c>
      <c r="CL143" s="498">
        <v>6.5</v>
      </c>
      <c r="CM143" s="611"/>
      <c r="CN143" s="604"/>
    </row>
    <row r="144" spans="2:93" hidden="1">
      <c r="B144" s="498" t="s">
        <v>102</v>
      </c>
      <c r="C144" s="498">
        <v>84.150999999999996</v>
      </c>
      <c r="D144" s="498">
        <v>87.126000000000005</v>
      </c>
      <c r="E144" s="498">
        <v>68</v>
      </c>
      <c r="F144" s="498">
        <v>68.5</v>
      </c>
      <c r="G144" s="498">
        <v>69.8</v>
      </c>
      <c r="H144" s="498">
        <v>65.8</v>
      </c>
      <c r="I144" s="498">
        <v>66.8</v>
      </c>
      <c r="J144" s="498">
        <v>22.6</v>
      </c>
      <c r="K144" s="498">
        <v>27.2</v>
      </c>
      <c r="L144" s="498">
        <v>19.100000000000001</v>
      </c>
      <c r="M144" s="498">
        <f>N144-SUM(J144:L144)</f>
        <v>20.199999999999989</v>
      </c>
      <c r="N144" s="498">
        <v>89.1</v>
      </c>
      <c r="O144" s="498">
        <v>28.1</v>
      </c>
      <c r="P144" s="498">
        <v>31.4</v>
      </c>
      <c r="Q144" s="498">
        <v>23.6</v>
      </c>
      <c r="R144" s="498">
        <f>S144-SUM(O144:Q144)</f>
        <v>20.900000000000006</v>
      </c>
      <c r="S144" s="498">
        <v>104</v>
      </c>
      <c r="T144" s="498">
        <v>29.9</v>
      </c>
      <c r="U144" s="498">
        <v>32.6</v>
      </c>
      <c r="V144" s="498">
        <v>25</v>
      </c>
      <c r="W144" s="498">
        <f>X144-SUM(T144:V144)</f>
        <v>17.599999999999994</v>
      </c>
      <c r="X144" s="498">
        <v>105.1</v>
      </c>
      <c r="AB144" s="498">
        <f>AC144</f>
        <v>0</v>
      </c>
      <c r="AG144" s="498">
        <f t="shared" si="130"/>
        <v>0</v>
      </c>
      <c r="AQ144" s="498">
        <f t="shared" si="131"/>
        <v>0</v>
      </c>
      <c r="AT144" s="604"/>
      <c r="AU144" s="604"/>
      <c r="AV144" s="498">
        <f>AW144-SUM(AS144:AU144)</f>
        <v>0</v>
      </c>
      <c r="AW144" s="611"/>
      <c r="AY144" s="604"/>
      <c r="AZ144" s="604"/>
      <c r="BB144" s="706"/>
      <c r="BC144" s="704"/>
      <c r="BD144" s="704"/>
      <c r="BE144" s="704"/>
      <c r="BF144" s="704"/>
      <c r="BG144" s="706"/>
      <c r="BH144" s="704"/>
      <c r="BI144" s="706"/>
      <c r="BJ144" s="705"/>
      <c r="BK144" s="704"/>
      <c r="BL144" s="706"/>
      <c r="BM144" s="704"/>
      <c r="BN144" s="706"/>
      <c r="BO144" s="705"/>
      <c r="BP144" s="704"/>
      <c r="BQ144" s="706"/>
      <c r="BR144" s="704"/>
      <c r="BS144" s="706"/>
      <c r="BT144" s="705"/>
      <c r="BU144" s="704"/>
      <c r="BV144" s="704"/>
      <c r="BW144" s="704"/>
      <c r="BX144" s="704"/>
      <c r="BY144" s="705"/>
      <c r="BZ144" s="704"/>
      <c r="CA144" s="704"/>
      <c r="CB144" s="704"/>
      <c r="CC144" s="706"/>
      <c r="CD144" s="705"/>
      <c r="CE144" s="704"/>
      <c r="CF144" s="704"/>
      <c r="CG144" s="704"/>
      <c r="CH144" s="706"/>
      <c r="CI144" s="705"/>
      <c r="CJ144" s="704"/>
      <c r="CK144" s="704"/>
      <c r="CM144" s="611"/>
      <c r="CN144" s="604"/>
    </row>
    <row r="145" spans="2:93" hidden="1">
      <c r="B145" s="498" t="s">
        <v>103</v>
      </c>
      <c r="C145" s="498">
        <v>40.399000000000001</v>
      </c>
      <c r="D145" s="498">
        <v>57.433</v>
      </c>
      <c r="E145" s="498">
        <v>33.700000000000003</v>
      </c>
      <c r="F145" s="498">
        <v>46.2</v>
      </c>
      <c r="G145" s="498">
        <v>14.9</v>
      </c>
      <c r="H145" s="498">
        <v>19.600000000000001</v>
      </c>
      <c r="I145" s="498">
        <v>16.2</v>
      </c>
      <c r="J145" s="498">
        <v>7.6</v>
      </c>
      <c r="K145" s="498">
        <v>13</v>
      </c>
      <c r="L145" s="498">
        <v>9.9</v>
      </c>
      <c r="M145" s="498">
        <f>N145-SUM(J145:L145)</f>
        <v>9.2000000000000028</v>
      </c>
      <c r="N145" s="498">
        <v>39.700000000000003</v>
      </c>
      <c r="O145" s="498">
        <v>12.1</v>
      </c>
      <c r="P145" s="498">
        <v>11.6</v>
      </c>
      <c r="Q145" s="498">
        <v>9.1999999999999993</v>
      </c>
      <c r="R145" s="498">
        <f>S145-SUM(O145:Q145)</f>
        <v>10.100000000000001</v>
      </c>
      <c r="S145" s="498">
        <v>43</v>
      </c>
      <c r="T145" s="498">
        <v>7.9</v>
      </c>
      <c r="U145" s="498">
        <v>7</v>
      </c>
      <c r="V145" s="498">
        <v>7.5</v>
      </c>
      <c r="W145" s="498">
        <f>X145-SUM(T145:V145)</f>
        <v>3.6000000000000014</v>
      </c>
      <c r="X145" s="498">
        <v>26</v>
      </c>
      <c r="AB145" s="498">
        <f>AC145</f>
        <v>0</v>
      </c>
      <c r="AG145" s="498">
        <f t="shared" si="130"/>
        <v>0</v>
      </c>
      <c r="AQ145" s="498">
        <f t="shared" si="131"/>
        <v>0</v>
      </c>
      <c r="AT145" s="604"/>
      <c r="AU145" s="604"/>
      <c r="AV145" s="498">
        <f>AW145-SUM(AS145:AU145)</f>
        <v>0</v>
      </c>
      <c r="AW145" s="611"/>
      <c r="AY145" s="604"/>
      <c r="AZ145" s="604"/>
      <c r="BB145" s="706"/>
      <c r="BC145" s="704"/>
      <c r="BD145" s="704"/>
      <c r="BE145" s="704"/>
      <c r="BF145" s="704"/>
      <c r="BG145" s="706"/>
      <c r="BH145" s="704"/>
      <c r="BI145" s="706"/>
      <c r="BJ145" s="705"/>
      <c r="BK145" s="704"/>
      <c r="BL145" s="706"/>
      <c r="BM145" s="704"/>
      <c r="BN145" s="706"/>
      <c r="BO145" s="705"/>
      <c r="BP145" s="704"/>
      <c r="BQ145" s="706"/>
      <c r="BR145" s="704"/>
      <c r="BS145" s="706"/>
      <c r="BT145" s="705"/>
      <c r="BU145" s="704"/>
      <c r="BV145" s="704"/>
      <c r="BW145" s="704"/>
      <c r="BX145" s="704"/>
      <c r="BY145" s="705"/>
      <c r="BZ145" s="704"/>
      <c r="CA145" s="704"/>
      <c r="CB145" s="704"/>
      <c r="CC145" s="706"/>
      <c r="CD145" s="705"/>
      <c r="CE145" s="704"/>
      <c r="CF145" s="704"/>
      <c r="CG145" s="704"/>
      <c r="CH145" s="706"/>
      <c r="CI145" s="705"/>
      <c r="CJ145" s="704"/>
      <c r="CK145" s="704"/>
      <c r="CM145" s="611"/>
      <c r="CN145" s="604"/>
    </row>
    <row r="146" spans="2:93" hidden="1">
      <c r="B146" s="498" t="s">
        <v>104</v>
      </c>
      <c r="C146" s="498">
        <v>14.702</v>
      </c>
      <c r="D146" s="498">
        <v>16.009</v>
      </c>
      <c r="E146" s="498">
        <v>22.4</v>
      </c>
      <c r="F146" s="498">
        <v>6</v>
      </c>
      <c r="G146" s="498">
        <v>2.4</v>
      </c>
      <c r="H146" s="498">
        <v>0.4</v>
      </c>
      <c r="I146" s="498">
        <v>2</v>
      </c>
      <c r="J146" s="498">
        <v>0.5</v>
      </c>
      <c r="K146" s="498">
        <v>0.8</v>
      </c>
      <c r="L146" s="498">
        <v>1</v>
      </c>
      <c r="M146" s="498">
        <f>N146-SUM(J146:L146)</f>
        <v>1.5</v>
      </c>
      <c r="N146" s="498">
        <v>3.8</v>
      </c>
      <c r="O146" s="498">
        <v>1.1000000000000001</v>
      </c>
      <c r="P146" s="498">
        <v>2.2000000000000002</v>
      </c>
      <c r="Q146" s="498">
        <v>1.6</v>
      </c>
      <c r="R146" s="498">
        <f>S146-SUM(O146:Q146)</f>
        <v>3.0999999999999996</v>
      </c>
      <c r="S146" s="498">
        <v>8</v>
      </c>
      <c r="T146" s="498">
        <v>2.6</v>
      </c>
      <c r="U146" s="498">
        <v>3.6</v>
      </c>
      <c r="V146" s="498">
        <v>3.6</v>
      </c>
      <c r="W146" s="498">
        <f>X146-SUM(T146:V146)</f>
        <v>3.5999999999999996</v>
      </c>
      <c r="X146" s="498">
        <v>13.4</v>
      </c>
      <c r="AB146" s="498">
        <f>AC146</f>
        <v>0</v>
      </c>
      <c r="AG146" s="498">
        <f t="shared" si="130"/>
        <v>0</v>
      </c>
      <c r="AQ146" s="498">
        <f t="shared" si="131"/>
        <v>0</v>
      </c>
      <c r="AT146" s="604"/>
      <c r="AU146" s="604"/>
      <c r="AV146" s="498">
        <f>AW146-SUM(AS146:AU146)</f>
        <v>0</v>
      </c>
      <c r="AW146" s="611"/>
      <c r="AY146" s="604"/>
      <c r="AZ146" s="604"/>
      <c r="BB146" s="706"/>
      <c r="BC146" s="704"/>
      <c r="BD146" s="704"/>
      <c r="BE146" s="704"/>
      <c r="BF146" s="704"/>
      <c r="BG146" s="706"/>
      <c r="BH146" s="704"/>
      <c r="BI146" s="706"/>
      <c r="BJ146" s="705"/>
      <c r="BK146" s="704"/>
      <c r="BL146" s="706"/>
      <c r="BM146" s="704"/>
      <c r="BN146" s="706"/>
      <c r="BO146" s="705"/>
      <c r="BP146" s="704"/>
      <c r="BQ146" s="706"/>
      <c r="BR146" s="704"/>
      <c r="BS146" s="706"/>
      <c r="BT146" s="705"/>
      <c r="BU146" s="704"/>
      <c r="BV146" s="704"/>
      <c r="BW146" s="704"/>
      <c r="BX146" s="704"/>
      <c r="BY146" s="705"/>
      <c r="BZ146" s="704"/>
      <c r="CA146" s="704"/>
      <c r="CB146" s="704"/>
      <c r="CC146" s="706"/>
      <c r="CD146" s="705"/>
      <c r="CE146" s="704"/>
      <c r="CF146" s="704"/>
      <c r="CG146" s="704"/>
      <c r="CH146" s="706"/>
      <c r="CI146" s="705"/>
      <c r="CJ146" s="704"/>
      <c r="CK146" s="704"/>
      <c r="CM146" s="611"/>
      <c r="CN146" s="604"/>
    </row>
    <row r="147" spans="2:93" ht="15" thickBot="1">
      <c r="B147" s="498" t="s">
        <v>92</v>
      </c>
      <c r="C147" s="613">
        <f>C12-SUM(C144:C146)</f>
        <v>-62.794999999999945</v>
      </c>
      <c r="D147" s="613">
        <f>D12-SUM(D144:D146)</f>
        <v>-43.52899999999984</v>
      </c>
      <c r="E147" s="613">
        <f>-35.1-20.1</f>
        <v>-55.2</v>
      </c>
      <c r="F147" s="613">
        <f>-34.4-10.9</f>
        <v>-45.3</v>
      </c>
      <c r="G147" s="613">
        <f>-31.1-58.4-309.1-4.7</f>
        <v>-403.3</v>
      </c>
      <c r="H147" s="613">
        <v>-25.6</v>
      </c>
      <c r="I147" s="613">
        <v>-27.2</v>
      </c>
      <c r="J147" s="613">
        <v>-7</v>
      </c>
      <c r="K147" s="613">
        <v>-15.1</v>
      </c>
      <c r="L147" s="613">
        <v>-11.4</v>
      </c>
      <c r="M147" s="613">
        <f>N147-SUM(J147:L147)</f>
        <v>-10.299999999999997</v>
      </c>
      <c r="N147" s="613">
        <v>-43.8</v>
      </c>
      <c r="O147" s="613">
        <v>-8.4</v>
      </c>
      <c r="P147" s="613">
        <v>-8.3000000000000007</v>
      </c>
      <c r="Q147" s="613">
        <v>-25.7</v>
      </c>
      <c r="R147" s="613">
        <f>S147-SUM(O147:Q147)</f>
        <v>-8.3999999999999915</v>
      </c>
      <c r="S147" s="613">
        <v>-50.8</v>
      </c>
      <c r="T147" s="613">
        <v>-10.6</v>
      </c>
      <c r="U147" s="613">
        <v>-8.9</v>
      </c>
      <c r="V147" s="613">
        <v>-10.4</v>
      </c>
      <c r="W147" s="613">
        <f>X147-SUM(T147:V147)</f>
        <v>-8.2000000000000028</v>
      </c>
      <c r="X147" s="613">
        <v>-38.1</v>
      </c>
      <c r="Y147" s="613">
        <v>-11.9</v>
      </c>
      <c r="Z147" s="613">
        <v>-9.3000000000000007</v>
      </c>
      <c r="AA147" s="613">
        <v>-8.6</v>
      </c>
      <c r="AB147" s="613">
        <f>AB148-SUM(AB142:AB143)</f>
        <v>-19.399999999999984</v>
      </c>
      <c r="AC147" s="613">
        <v>-49.2</v>
      </c>
      <c r="AD147" s="613">
        <v>-16</v>
      </c>
      <c r="AE147" s="613">
        <v>-18.399999999999999</v>
      </c>
      <c r="AF147" s="613">
        <v>-9.6</v>
      </c>
      <c r="AG147" s="613">
        <f t="shared" si="130"/>
        <v>-10.700000000000003</v>
      </c>
      <c r="AH147" s="613">
        <v>-54.7</v>
      </c>
      <c r="AI147" s="613">
        <v>-13.9</v>
      </c>
      <c r="AJ147" s="613">
        <v>-10.5</v>
      </c>
      <c r="AK147" s="613">
        <v>-9</v>
      </c>
      <c r="AL147" s="613">
        <v>-10.4</v>
      </c>
      <c r="AM147" s="613">
        <f>SUM(AI147:AL147)</f>
        <v>-43.8</v>
      </c>
      <c r="AN147" s="613">
        <v>-18.2</v>
      </c>
      <c r="AO147" s="613">
        <v>-13</v>
      </c>
      <c r="AP147" s="613">
        <v>-11.7</v>
      </c>
      <c r="AQ147" s="613">
        <f t="shared" si="131"/>
        <v>-12.600000000000001</v>
      </c>
      <c r="AR147" s="613">
        <v>-55.5</v>
      </c>
      <c r="AS147" s="613">
        <v>-15.1</v>
      </c>
      <c r="AT147" s="614">
        <v>-11</v>
      </c>
      <c r="AU147" s="614">
        <v>-15.3</v>
      </c>
      <c r="AV147" s="613">
        <v>-12.7</v>
      </c>
      <c r="AW147" s="611">
        <f>SUM(AS147:AV147)</f>
        <v>-54.100000000000009</v>
      </c>
      <c r="AX147" s="613">
        <v>-17</v>
      </c>
      <c r="AY147" s="614">
        <v>-18.7</v>
      </c>
      <c r="AZ147" s="614">
        <v>-11.9</v>
      </c>
      <c r="BA147" s="613">
        <v>-11.5</v>
      </c>
      <c r="BB147" s="694">
        <f>SUM(AX147:BA147)</f>
        <v>-59.1</v>
      </c>
      <c r="BC147" s="692">
        <v>-18.3</v>
      </c>
      <c r="BD147" s="692">
        <v>-14.4</v>
      </c>
      <c r="BE147" s="692">
        <v>-14.6</v>
      </c>
      <c r="BF147" s="692">
        <v>-17</v>
      </c>
      <c r="BG147" s="694">
        <f>SUM(BC147:BF147)</f>
        <v>-64.300000000000011</v>
      </c>
      <c r="BH147" s="692">
        <v>-17.7</v>
      </c>
      <c r="BI147" s="694">
        <v>-22.3</v>
      </c>
      <c r="BJ147" s="693">
        <v>-12.1</v>
      </c>
      <c r="BK147" s="692">
        <v>-17.899999999999999</v>
      </c>
      <c r="BL147" s="694">
        <f>SUM(BH147:BK147)</f>
        <v>-70</v>
      </c>
      <c r="BM147" s="692">
        <v>-21.3</v>
      </c>
      <c r="BN147" s="694">
        <v>-15</v>
      </c>
      <c r="BO147" s="693">
        <v>-10.3</v>
      </c>
      <c r="BP147" s="692">
        <v>-13</v>
      </c>
      <c r="BQ147" s="694">
        <f>SUM(BM147:BP147)</f>
        <v>-59.599999999999994</v>
      </c>
      <c r="BR147" s="692">
        <v>-19.2</v>
      </c>
      <c r="BS147" s="694">
        <v>-13.2</v>
      </c>
      <c r="BT147" s="693">
        <v>-12.6</v>
      </c>
      <c r="BU147" s="692">
        <v>-13.3</v>
      </c>
      <c r="BV147" s="694">
        <f>SUM(BR147:BU147)</f>
        <v>-58.3</v>
      </c>
      <c r="BW147" s="692">
        <v>-16.3</v>
      </c>
      <c r="BX147" s="692">
        <v>-14.5</v>
      </c>
      <c r="BY147" s="693">
        <v>-13</v>
      </c>
      <c r="BZ147" s="692">
        <v>-13.7</v>
      </c>
      <c r="CA147" s="694">
        <f>SUM(BW147:BZ147)</f>
        <v>-57.5</v>
      </c>
      <c r="CB147" s="692">
        <v>-18.5</v>
      </c>
      <c r="CC147" s="694">
        <v>-12.5</v>
      </c>
      <c r="CD147" s="693">
        <v>-11.5</v>
      </c>
      <c r="CE147" s="692">
        <v>-10.7</v>
      </c>
      <c r="CF147" s="694">
        <f>SUM(CB147:CE147)</f>
        <v>-53.2</v>
      </c>
      <c r="CG147" s="692">
        <v>-24.5</v>
      </c>
      <c r="CH147" s="694">
        <v>-13</v>
      </c>
      <c r="CI147" s="693">
        <v>-10.5</v>
      </c>
      <c r="CJ147" s="692">
        <v>-10.1</v>
      </c>
      <c r="CK147" s="692">
        <f>SUM(CG147:CJ147)</f>
        <v>-58.1</v>
      </c>
      <c r="CL147" s="613">
        <v>-32.299999999999997</v>
      </c>
      <c r="CM147" s="611"/>
      <c r="CN147" s="604"/>
    </row>
    <row r="148" spans="2:93">
      <c r="B148" s="526" t="s">
        <v>93</v>
      </c>
      <c r="C148" s="526">
        <f t="shared" ref="C148:L148" si="132">SUM(C144:C147)</f>
        <v>76.457000000000065</v>
      </c>
      <c r="D148" s="526">
        <f t="shared" si="132"/>
        <v>117.03900000000014</v>
      </c>
      <c r="E148" s="526">
        <f t="shared" si="132"/>
        <v>68.899999999999991</v>
      </c>
      <c r="F148" s="526">
        <f t="shared" si="132"/>
        <v>75.400000000000006</v>
      </c>
      <c r="G148" s="526">
        <f t="shared" si="132"/>
        <v>-316.2</v>
      </c>
      <c r="H148" s="526">
        <f t="shared" si="132"/>
        <v>60.20000000000001</v>
      </c>
      <c r="I148" s="526">
        <f t="shared" si="132"/>
        <v>57.8</v>
      </c>
      <c r="J148" s="526">
        <f t="shared" si="132"/>
        <v>23.700000000000003</v>
      </c>
      <c r="K148" s="526">
        <f t="shared" si="132"/>
        <v>25.9</v>
      </c>
      <c r="L148" s="526">
        <f t="shared" si="132"/>
        <v>18.600000000000001</v>
      </c>
      <c r="M148" s="526">
        <f>N148-SUM(J148:L148)</f>
        <v>20.600000000000023</v>
      </c>
      <c r="N148" s="526">
        <f>SUM(N144:N147)</f>
        <v>88.800000000000026</v>
      </c>
      <c r="O148" s="526">
        <f>SUM(O144:O147)</f>
        <v>32.900000000000006</v>
      </c>
      <c r="P148" s="526">
        <f>SUM(P144:P147)</f>
        <v>36.900000000000006</v>
      </c>
      <c r="Q148" s="526">
        <f>SUM(Q144:Q147)</f>
        <v>8.6999999999999993</v>
      </c>
      <c r="R148" s="526">
        <f>S148-SUM(O148:Q148)</f>
        <v>25.699999999999989</v>
      </c>
      <c r="S148" s="526">
        <f>SUM(S144:S147)</f>
        <v>104.2</v>
      </c>
      <c r="T148" s="526">
        <f>SUM(T144:T147)</f>
        <v>29.799999999999997</v>
      </c>
      <c r="U148" s="526">
        <f>SUM(U144:U147)</f>
        <v>34.300000000000004</v>
      </c>
      <c r="V148" s="526">
        <f>SUM(V144:V147)</f>
        <v>25.700000000000003</v>
      </c>
      <c r="W148" s="526">
        <f>X148-SUM(T148:V148)</f>
        <v>16.600000000000009</v>
      </c>
      <c r="X148" s="526">
        <f>SUM(X144:X147)</f>
        <v>106.4</v>
      </c>
      <c r="Y148" s="526">
        <f>SUM(Y142:Y147)</f>
        <v>29.9</v>
      </c>
      <c r="Z148" s="526">
        <f>SUM(Z142:Z147)</f>
        <v>34</v>
      </c>
      <c r="AA148" s="526">
        <f>SUM(AA142:AA147)</f>
        <v>30.199999999999996</v>
      </c>
      <c r="AB148" s="526">
        <f>AC148-SUM(Y148:AA148)</f>
        <v>20.800000000000026</v>
      </c>
      <c r="AC148" s="526">
        <f>SUM(AC142:AC147)</f>
        <v>114.90000000000002</v>
      </c>
      <c r="AD148" s="526">
        <f>SUM(AD142:AD147)</f>
        <v>36.4</v>
      </c>
      <c r="AE148" s="526">
        <f>SUM(AE142:AE147)</f>
        <v>29.300000000000004</v>
      </c>
      <c r="AF148" s="526">
        <f>SUM(AF142:AF147)</f>
        <v>35.9</v>
      </c>
      <c r="AG148" s="526">
        <f t="shared" si="130"/>
        <v>29.30000000000004</v>
      </c>
      <c r="AH148" s="526">
        <f t="shared" ref="AH148:AP148" si="133">SUM(AH142:AH147)</f>
        <v>130.90000000000003</v>
      </c>
      <c r="AI148" s="526">
        <f t="shared" si="133"/>
        <v>39.9</v>
      </c>
      <c r="AJ148" s="526">
        <f t="shared" si="133"/>
        <v>29.700000000000003</v>
      </c>
      <c r="AK148" s="526">
        <f t="shared" si="133"/>
        <v>19.600000000000001</v>
      </c>
      <c r="AL148" s="526">
        <f t="shared" si="133"/>
        <v>14.499999999999998</v>
      </c>
      <c r="AM148" s="526">
        <f t="shared" si="133"/>
        <v>103.7</v>
      </c>
      <c r="AN148" s="526">
        <f t="shared" si="133"/>
        <v>23.8</v>
      </c>
      <c r="AO148" s="526">
        <f t="shared" si="133"/>
        <v>40.5</v>
      </c>
      <c r="AP148" s="526">
        <f t="shared" si="133"/>
        <v>34.5</v>
      </c>
      <c r="AQ148" s="526">
        <f t="shared" si="131"/>
        <v>31.000000000000014</v>
      </c>
      <c r="AR148" s="526">
        <f t="shared" ref="AR148:CL148" si="134">SUM(AR142:AR147)</f>
        <v>129.80000000000001</v>
      </c>
      <c r="AS148" s="526">
        <f t="shared" si="134"/>
        <v>47.199999999999996</v>
      </c>
      <c r="AT148" s="526">
        <f t="shared" si="134"/>
        <v>49.4</v>
      </c>
      <c r="AU148" s="526">
        <f t="shared" si="134"/>
        <v>46</v>
      </c>
      <c r="AV148" s="526">
        <f t="shared" si="134"/>
        <v>49.400000000000006</v>
      </c>
      <c r="AW148" s="526">
        <f t="shared" si="134"/>
        <v>192</v>
      </c>
      <c r="AX148" s="526">
        <f t="shared" si="134"/>
        <v>60.599999999999994</v>
      </c>
      <c r="AY148" s="526">
        <f t="shared" si="134"/>
        <v>73.900000000000006</v>
      </c>
      <c r="AZ148" s="526">
        <f t="shared" si="134"/>
        <v>60.000000000000007</v>
      </c>
      <c r="BA148" s="526">
        <f t="shared" si="134"/>
        <v>54.3</v>
      </c>
      <c r="BB148" s="712">
        <f t="shared" si="134"/>
        <v>248.79999999999998</v>
      </c>
      <c r="BC148" s="712">
        <f t="shared" si="134"/>
        <v>63.000000000000014</v>
      </c>
      <c r="BD148" s="712">
        <f t="shared" si="134"/>
        <v>71.899999999999991</v>
      </c>
      <c r="BE148" s="712">
        <f t="shared" si="134"/>
        <v>69.000000000000014</v>
      </c>
      <c r="BF148" s="712">
        <f t="shared" si="134"/>
        <v>67</v>
      </c>
      <c r="BG148" s="712">
        <f t="shared" si="134"/>
        <v>270.89999999999998</v>
      </c>
      <c r="BH148" s="712">
        <f t="shared" si="134"/>
        <v>74.600000000000009</v>
      </c>
      <c r="BI148" s="713">
        <f t="shared" si="134"/>
        <v>75.100000000000009</v>
      </c>
      <c r="BJ148" s="713">
        <f t="shared" si="134"/>
        <v>79.000000000000014</v>
      </c>
      <c r="BK148" s="713">
        <f t="shared" si="134"/>
        <v>77.099999999999994</v>
      </c>
      <c r="BL148" s="712">
        <f t="shared" si="134"/>
        <v>305.8</v>
      </c>
      <c r="BM148" s="713">
        <f t="shared" si="134"/>
        <v>82.600000000000009</v>
      </c>
      <c r="BN148" s="713">
        <f t="shared" si="134"/>
        <v>90.600000000000009</v>
      </c>
      <c r="BO148" s="713">
        <f t="shared" si="134"/>
        <v>78</v>
      </c>
      <c r="BP148" s="713">
        <f t="shared" si="134"/>
        <v>81.2</v>
      </c>
      <c r="BQ148" s="712">
        <f t="shared" si="134"/>
        <v>332.4</v>
      </c>
      <c r="BR148" s="713">
        <f t="shared" si="134"/>
        <v>83.899999999999991</v>
      </c>
      <c r="BS148" s="713">
        <f t="shared" si="134"/>
        <v>100.1</v>
      </c>
      <c r="BT148" s="712">
        <f t="shared" si="134"/>
        <v>89.100000000000009</v>
      </c>
      <c r="BU148" s="712">
        <f t="shared" si="134"/>
        <v>87</v>
      </c>
      <c r="BV148" s="712">
        <f t="shared" si="134"/>
        <v>360.09999999999997</v>
      </c>
      <c r="BW148" s="713">
        <f t="shared" si="134"/>
        <v>78.600000000000009</v>
      </c>
      <c r="BX148" s="713">
        <f t="shared" si="134"/>
        <v>89.699999999999989</v>
      </c>
      <c r="BY148" s="713">
        <f t="shared" si="134"/>
        <v>89.1</v>
      </c>
      <c r="BZ148" s="713">
        <f t="shared" si="134"/>
        <v>93.2</v>
      </c>
      <c r="CA148" s="712">
        <f t="shared" si="134"/>
        <v>350.59999999999997</v>
      </c>
      <c r="CB148" s="713">
        <f t="shared" si="134"/>
        <v>82.4</v>
      </c>
      <c r="CC148" s="713">
        <f t="shared" si="134"/>
        <v>96.5</v>
      </c>
      <c r="CD148" s="713">
        <f t="shared" si="134"/>
        <v>96.5</v>
      </c>
      <c r="CE148" s="713">
        <f t="shared" si="134"/>
        <v>95.8</v>
      </c>
      <c r="CF148" s="712">
        <f t="shared" si="134"/>
        <v>371.2</v>
      </c>
      <c r="CG148" s="713">
        <f t="shared" si="134"/>
        <v>102.8</v>
      </c>
      <c r="CH148" s="713">
        <f t="shared" si="134"/>
        <v>115.1</v>
      </c>
      <c r="CI148" s="713">
        <f t="shared" si="134"/>
        <v>109.89999999999999</v>
      </c>
      <c r="CJ148" s="713">
        <f t="shared" si="134"/>
        <v>97.4</v>
      </c>
      <c r="CK148" s="712">
        <f t="shared" si="134"/>
        <v>425.19999999999993</v>
      </c>
      <c r="CL148" s="619">
        <f t="shared" si="134"/>
        <v>65.7</v>
      </c>
      <c r="CM148" s="619"/>
      <c r="CN148" s="619"/>
      <c r="CO148" s="619"/>
    </row>
    <row r="149" spans="2:93" hidden="1" outlineLevel="1">
      <c r="B149" s="526"/>
      <c r="C149" s="526" t="str">
        <f t="shared" ref="C149:AK149" si="135">IF(ROUND(C148,0)=ROUND(C12,0),"","check")</f>
        <v/>
      </c>
      <c r="D149" s="526" t="str">
        <f t="shared" si="135"/>
        <v/>
      </c>
      <c r="E149" s="526" t="str">
        <f t="shared" si="135"/>
        <v/>
      </c>
      <c r="F149" s="526" t="str">
        <f t="shared" si="135"/>
        <v/>
      </c>
      <c r="G149" s="526" t="str">
        <f t="shared" si="135"/>
        <v/>
      </c>
      <c r="H149" s="526" t="str">
        <f t="shared" si="135"/>
        <v/>
      </c>
      <c r="I149" s="526" t="str">
        <f t="shared" si="135"/>
        <v/>
      </c>
      <c r="J149" s="526" t="str">
        <f t="shared" si="135"/>
        <v/>
      </c>
      <c r="K149" s="526" t="str">
        <f t="shared" si="135"/>
        <v/>
      </c>
      <c r="L149" s="526" t="str">
        <f t="shared" si="135"/>
        <v/>
      </c>
      <c r="M149" s="526" t="str">
        <f t="shared" si="135"/>
        <v/>
      </c>
      <c r="N149" s="526" t="str">
        <f t="shared" si="135"/>
        <v/>
      </c>
      <c r="O149" s="526" t="str">
        <f t="shared" si="135"/>
        <v/>
      </c>
      <c r="P149" s="526" t="str">
        <f t="shared" si="135"/>
        <v/>
      </c>
      <c r="Q149" s="526" t="str">
        <f t="shared" si="135"/>
        <v/>
      </c>
      <c r="R149" s="526" t="str">
        <f t="shared" si="135"/>
        <v/>
      </c>
      <c r="S149" s="526" t="str">
        <f t="shared" si="135"/>
        <v/>
      </c>
      <c r="T149" s="526" t="str">
        <f t="shared" si="135"/>
        <v/>
      </c>
      <c r="U149" s="526" t="str">
        <f t="shared" si="135"/>
        <v/>
      </c>
      <c r="V149" s="526" t="str">
        <f t="shared" si="135"/>
        <v/>
      </c>
      <c r="W149" s="526" t="str">
        <f t="shared" si="135"/>
        <v/>
      </c>
      <c r="X149" s="526" t="str">
        <f t="shared" si="135"/>
        <v/>
      </c>
      <c r="Y149" s="526" t="str">
        <f t="shared" si="135"/>
        <v/>
      </c>
      <c r="Z149" s="526" t="str">
        <f t="shared" si="135"/>
        <v/>
      </c>
      <c r="AA149" s="526" t="str">
        <f t="shared" si="135"/>
        <v/>
      </c>
      <c r="AB149" s="526" t="str">
        <f t="shared" si="135"/>
        <v/>
      </c>
      <c r="AC149" s="526" t="str">
        <f t="shared" si="135"/>
        <v/>
      </c>
      <c r="AD149" s="526" t="str">
        <f t="shared" si="135"/>
        <v/>
      </c>
      <c r="AE149" s="526" t="str">
        <f t="shared" si="135"/>
        <v/>
      </c>
      <c r="AF149" s="526" t="str">
        <f t="shared" si="135"/>
        <v/>
      </c>
      <c r="AG149" s="526" t="str">
        <f t="shared" si="135"/>
        <v/>
      </c>
      <c r="AH149" s="526" t="str">
        <f t="shared" si="135"/>
        <v/>
      </c>
      <c r="AI149" s="526" t="str">
        <f t="shared" si="135"/>
        <v/>
      </c>
      <c r="AJ149" s="526" t="str">
        <f t="shared" si="135"/>
        <v/>
      </c>
      <c r="AK149" s="526" t="str">
        <f t="shared" si="135"/>
        <v/>
      </c>
      <c r="AQ149" s="526" t="str">
        <f>IF(ROUND(AQ148,0)=ROUND(AQ12,0),"","check")</f>
        <v/>
      </c>
      <c r="BI149" s="611"/>
      <c r="BN149" s="611"/>
      <c r="BS149" s="611"/>
      <c r="CC149" s="611"/>
      <c r="CH149" s="611"/>
      <c r="CM149" s="611"/>
    </row>
    <row r="150" spans="2:93" collapsed="1">
      <c r="BI150" s="611"/>
      <c r="BN150" s="611"/>
      <c r="BS150" s="611"/>
      <c r="CC150" s="611"/>
      <c r="CH150" s="611"/>
      <c r="CM150" s="611"/>
    </row>
    <row r="151" spans="2:93">
      <c r="B151" s="526" t="s">
        <v>186</v>
      </c>
      <c r="BF151" s="604"/>
      <c r="BI151" s="611"/>
      <c r="BJ151" s="604"/>
      <c r="BN151" s="611"/>
      <c r="BO151" s="604"/>
      <c r="BS151" s="611"/>
      <c r="BT151" s="604"/>
      <c r="BY151" s="604"/>
      <c r="CC151" s="611"/>
      <c r="CD151" s="604"/>
      <c r="CH151" s="611"/>
      <c r="CI151" s="604"/>
      <c r="CM151" s="611"/>
      <c r="CN151" s="604"/>
    </row>
    <row r="152" spans="2:93">
      <c r="B152" s="637" t="s">
        <v>90</v>
      </c>
      <c r="Y152" s="498">
        <v>104.1</v>
      </c>
      <c r="Z152" s="498">
        <v>110.7</v>
      </c>
      <c r="AA152" s="498">
        <v>110</v>
      </c>
      <c r="AB152" s="498">
        <v>130.4</v>
      </c>
      <c r="AC152" s="498">
        <f>SUM(Y152:AB152)</f>
        <v>455.20000000000005</v>
      </c>
      <c r="AD152" s="498">
        <f>423.6-SUM(AE152:AF152)</f>
        <v>143.60000000000002</v>
      </c>
      <c r="AE152" s="498">
        <v>148.1</v>
      </c>
      <c r="AF152" s="498">
        <v>131.9</v>
      </c>
      <c r="AG152" s="498">
        <v>107.1</v>
      </c>
      <c r="AH152" s="498">
        <f>SUM(AD152:AG152)</f>
        <v>530.70000000000005</v>
      </c>
      <c r="AI152" s="498">
        <v>109.3</v>
      </c>
      <c r="AJ152" s="498">
        <v>94.1</v>
      </c>
      <c r="AK152" s="498">
        <v>86.4</v>
      </c>
      <c r="AL152" s="498">
        <v>94.9</v>
      </c>
      <c r="AM152" s="498">
        <f>SUM(AI152:AL152)</f>
        <v>384.69999999999993</v>
      </c>
      <c r="AN152" s="498">
        <v>109.3</v>
      </c>
      <c r="AO152" s="498">
        <v>113.9</v>
      </c>
      <c r="AP152" s="498">
        <v>110.3</v>
      </c>
      <c r="AQ152" s="498">
        <v>125.9</v>
      </c>
      <c r="AR152" s="498">
        <f>SUM(AN152:AQ152)</f>
        <v>459.4</v>
      </c>
      <c r="AS152" s="498">
        <v>143.19999999999999</v>
      </c>
      <c r="AT152" s="498">
        <v>150.9</v>
      </c>
      <c r="AU152" s="604">
        <v>138.4</v>
      </c>
      <c r="AV152" s="611">
        <v>153.6</v>
      </c>
      <c r="AW152" s="611">
        <f>SUM(AS152:AV152)</f>
        <v>586.1</v>
      </c>
      <c r="AX152" s="498">
        <v>179.5</v>
      </c>
      <c r="AY152" s="611">
        <v>172.4</v>
      </c>
      <c r="AZ152" s="611">
        <v>164.3</v>
      </c>
      <c r="BA152" s="612">
        <v>169.5</v>
      </c>
      <c r="BB152" s="498">
        <f>SUM(AX152:BA152)</f>
        <v>685.7</v>
      </c>
      <c r="BC152" s="498">
        <v>201.7</v>
      </c>
      <c r="BD152" s="498">
        <v>200.7</v>
      </c>
      <c r="BE152" s="498">
        <v>191.2</v>
      </c>
      <c r="BF152" s="604">
        <v>210.7</v>
      </c>
      <c r="BG152" s="498">
        <f>SUM(BC152:BF152)</f>
        <v>804.3</v>
      </c>
      <c r="BH152" s="498">
        <v>224.8</v>
      </c>
      <c r="BI152" s="611">
        <v>225.5</v>
      </c>
      <c r="BJ152" s="604">
        <v>212.3</v>
      </c>
      <c r="BK152" s="498">
        <v>225</v>
      </c>
      <c r="BL152" s="498">
        <f>SUM(BH152:BK152)</f>
        <v>887.6</v>
      </c>
      <c r="BM152" s="498">
        <v>237.8</v>
      </c>
      <c r="BN152" s="611">
        <v>244</v>
      </c>
      <c r="BO152" s="604">
        <v>230.7</v>
      </c>
      <c r="BP152" s="498">
        <v>247.2</v>
      </c>
      <c r="BQ152" s="498">
        <f>SUM(BM152:BP152)</f>
        <v>959.7</v>
      </c>
      <c r="BR152" s="498">
        <v>264.3</v>
      </c>
      <c r="BS152" s="611">
        <v>288</v>
      </c>
      <c r="BT152" s="604">
        <v>276</v>
      </c>
      <c r="BU152" s="498">
        <v>272.2</v>
      </c>
      <c r="BV152" s="498">
        <f>SUM(BR152:BU152)</f>
        <v>1100.5</v>
      </c>
      <c r="BW152" s="498">
        <v>269.5</v>
      </c>
      <c r="BX152" s="498">
        <v>273.8</v>
      </c>
      <c r="BY152" s="604">
        <v>277.10000000000002</v>
      </c>
      <c r="BZ152" s="498">
        <v>280.7</v>
      </c>
      <c r="CA152" s="498">
        <f>SUM(BW152:BZ152)</f>
        <v>1101.0999999999999</v>
      </c>
      <c r="CB152" s="498">
        <v>303.2</v>
      </c>
      <c r="CC152" s="611">
        <v>300.60000000000002</v>
      </c>
      <c r="CD152" s="604">
        <v>285.7</v>
      </c>
      <c r="CE152" s="498">
        <v>293.5</v>
      </c>
      <c r="CF152" s="498">
        <f>SUM(CB152:CE152)</f>
        <v>1183</v>
      </c>
      <c r="CG152" s="498">
        <v>323.39999999999998</v>
      </c>
      <c r="CH152" s="611">
        <v>323.7</v>
      </c>
      <c r="CI152" s="604">
        <v>294.5</v>
      </c>
      <c r="CJ152" s="498">
        <f>CK152-SUM(CG152:CI152)</f>
        <v>293</v>
      </c>
      <c r="CK152" s="498">
        <v>1234.5999999999999</v>
      </c>
      <c r="CL152" s="498">
        <v>300.2</v>
      </c>
      <c r="CM152" s="611"/>
      <c r="CN152" s="604"/>
    </row>
    <row r="153" spans="2:93">
      <c r="B153" s="637" t="s">
        <v>91</v>
      </c>
      <c r="C153" s="613"/>
      <c r="D153" s="613"/>
      <c r="E153" s="613"/>
      <c r="F153" s="613"/>
      <c r="G153" s="613"/>
      <c r="H153" s="613"/>
      <c r="I153" s="613"/>
      <c r="J153" s="613"/>
      <c r="K153" s="613"/>
      <c r="L153" s="613"/>
      <c r="M153" s="613"/>
      <c r="N153" s="613"/>
      <c r="O153" s="613"/>
      <c r="P153" s="613"/>
      <c r="Q153" s="613"/>
      <c r="R153" s="613"/>
      <c r="S153" s="613"/>
      <c r="T153" s="613"/>
      <c r="U153" s="613"/>
      <c r="V153" s="613"/>
      <c r="W153" s="613"/>
      <c r="X153" s="613"/>
      <c r="Y153" s="613">
        <v>39.9</v>
      </c>
      <c r="Z153" s="613">
        <v>44</v>
      </c>
      <c r="AA153" s="613">
        <v>42.8</v>
      </c>
      <c r="AB153" s="613">
        <v>39.9</v>
      </c>
      <c r="AC153" s="613">
        <f>SUM(Y153:AB153)</f>
        <v>166.6</v>
      </c>
      <c r="AD153" s="613">
        <f>143.5-SUM(AE153:AF153)</f>
        <v>48.3</v>
      </c>
      <c r="AE153" s="613">
        <v>50.6</v>
      </c>
      <c r="AF153" s="613">
        <v>44.6</v>
      </c>
      <c r="AG153" s="613">
        <v>36.1</v>
      </c>
      <c r="AH153" s="613">
        <f>SUM(AD153:AG153)</f>
        <v>179.6</v>
      </c>
      <c r="AI153" s="613">
        <v>44.5</v>
      </c>
      <c r="AJ153" s="613">
        <v>43.7</v>
      </c>
      <c r="AK153" s="613">
        <v>41.1</v>
      </c>
      <c r="AL153" s="613">
        <v>42.2</v>
      </c>
      <c r="AM153" s="613">
        <f>SUM(AI153:AL153)</f>
        <v>171.5</v>
      </c>
      <c r="AN153" s="613">
        <v>42.7</v>
      </c>
      <c r="AO153" s="613">
        <v>47.1</v>
      </c>
      <c r="AP153" s="613">
        <v>47.3</v>
      </c>
      <c r="AQ153" s="613">
        <v>48.2</v>
      </c>
      <c r="AR153" s="613">
        <f>SUM(AN153:AQ153)</f>
        <v>185.3</v>
      </c>
      <c r="AS153" s="613">
        <v>54.4</v>
      </c>
      <c r="AT153" s="613">
        <v>56.9</v>
      </c>
      <c r="AU153" s="614">
        <v>69</v>
      </c>
      <c r="AV153" s="615">
        <v>57.1</v>
      </c>
      <c r="AW153" s="615">
        <f>SUM(AS153:AV153)</f>
        <v>237.4</v>
      </c>
      <c r="AX153" s="614">
        <v>62.8</v>
      </c>
      <c r="AY153" s="615">
        <v>61.1</v>
      </c>
      <c r="AZ153" s="615">
        <v>69.8</v>
      </c>
      <c r="BA153" s="615">
        <v>64.7</v>
      </c>
      <c r="BB153" s="498">
        <f>SUM(AX153:BA153)</f>
        <v>258.39999999999998</v>
      </c>
      <c r="BC153" s="498">
        <v>67.2</v>
      </c>
      <c r="BD153" s="498">
        <v>69.3</v>
      </c>
      <c r="BE153" s="498">
        <v>70.8</v>
      </c>
      <c r="BF153" s="604">
        <v>72.900000000000006</v>
      </c>
      <c r="BG153" s="498">
        <f>SUM(BC153:BF153)</f>
        <v>280.20000000000005</v>
      </c>
      <c r="BH153" s="498">
        <v>78.400000000000006</v>
      </c>
      <c r="BI153" s="611">
        <v>82.7</v>
      </c>
      <c r="BJ153" s="604">
        <v>84.2</v>
      </c>
      <c r="BK153" s="498">
        <v>82.4</v>
      </c>
      <c r="BL153" s="498">
        <f>SUM(BH153:BK153)</f>
        <v>327.70000000000005</v>
      </c>
      <c r="BM153" s="498">
        <v>82.5</v>
      </c>
      <c r="BN153" s="611">
        <v>80.7</v>
      </c>
      <c r="BO153" s="604">
        <v>83.8</v>
      </c>
      <c r="BP153" s="604">
        <v>79.2</v>
      </c>
      <c r="BQ153" s="498">
        <f>SUM(BM153:BP153)</f>
        <v>326.2</v>
      </c>
      <c r="BR153" s="498">
        <v>86</v>
      </c>
      <c r="BS153" s="611">
        <v>80.5</v>
      </c>
      <c r="BT153" s="604">
        <v>84.6</v>
      </c>
      <c r="BU153" s="498">
        <v>77.7</v>
      </c>
      <c r="BV153" s="498">
        <f>SUM(BR153:BU153)</f>
        <v>328.8</v>
      </c>
      <c r="BW153" s="498">
        <v>77.7</v>
      </c>
      <c r="BX153" s="498">
        <v>75.2</v>
      </c>
      <c r="BY153" s="604">
        <v>75.5</v>
      </c>
      <c r="BZ153" s="498">
        <v>80.400000000000006</v>
      </c>
      <c r="CA153" s="498">
        <f>SUM(BW153:BZ153)</f>
        <v>308.8</v>
      </c>
      <c r="CB153" s="498">
        <v>79.5</v>
      </c>
      <c r="CC153" s="611">
        <v>83.2</v>
      </c>
      <c r="CD153" s="604">
        <v>87.4</v>
      </c>
      <c r="CE153" s="498">
        <v>91.9</v>
      </c>
      <c r="CF153" s="498">
        <f>SUM(CB153:CE153)</f>
        <v>342</v>
      </c>
      <c r="CG153" s="498">
        <v>92.1</v>
      </c>
      <c r="CH153" s="611">
        <v>92.8</v>
      </c>
      <c r="CI153" s="604">
        <v>91.4</v>
      </c>
      <c r="CJ153" s="498">
        <f>CK153-SUM(CG153:CI153)</f>
        <v>86.800000000000068</v>
      </c>
      <c r="CK153" s="498">
        <v>363.1</v>
      </c>
      <c r="CL153" s="613">
        <v>62.7</v>
      </c>
      <c r="CM153" s="615"/>
      <c r="CN153" s="614"/>
    </row>
    <row r="154" spans="2:93">
      <c r="B154" s="498" t="s">
        <v>94</v>
      </c>
      <c r="C154" s="498">
        <v>597.4</v>
      </c>
      <c r="D154" s="498">
        <v>670.1</v>
      </c>
      <c r="E154" s="498">
        <v>641.6</v>
      </c>
      <c r="F154" s="498">
        <v>528.79999999999995</v>
      </c>
      <c r="G154" s="498">
        <v>538.9</v>
      </c>
      <c r="H154" s="498">
        <v>391.1</v>
      </c>
      <c r="I154" s="498">
        <v>389.9</v>
      </c>
      <c r="J154" s="498">
        <v>110.5</v>
      </c>
      <c r="K154" s="498">
        <v>114.6</v>
      </c>
      <c r="L154" s="498">
        <v>116.5</v>
      </c>
      <c r="M154" s="498">
        <f>N154-SUM(J154:L154)</f>
        <v>120.435</v>
      </c>
      <c r="N154" s="498">
        <v>462.03500000000003</v>
      </c>
      <c r="O154" s="498">
        <v>131.19999999999999</v>
      </c>
      <c r="P154" s="498">
        <v>143.9</v>
      </c>
      <c r="Q154" s="498">
        <v>124.8</v>
      </c>
      <c r="R154" s="498">
        <f>S154-SUM(O154:Q154)</f>
        <v>129.49999999999994</v>
      </c>
      <c r="S154" s="498">
        <v>529.4</v>
      </c>
      <c r="T154" s="498">
        <v>153.19999999999999</v>
      </c>
      <c r="U154" s="498">
        <v>160.19999999999999</v>
      </c>
      <c r="V154" s="498">
        <v>149.9</v>
      </c>
      <c r="W154" s="498">
        <f>X154-SUM(T154:V154)</f>
        <v>154.70000000000005</v>
      </c>
      <c r="X154" s="498">
        <v>618</v>
      </c>
      <c r="Y154" s="498">
        <f t="shared" ref="Y154:AH154" si="136">SUM(Y152:Y153)</f>
        <v>144</v>
      </c>
      <c r="Z154" s="498">
        <f t="shared" si="136"/>
        <v>154.69999999999999</v>
      </c>
      <c r="AA154" s="498">
        <f t="shared" si="136"/>
        <v>152.80000000000001</v>
      </c>
      <c r="AB154" s="498">
        <f t="shared" si="136"/>
        <v>170.3</v>
      </c>
      <c r="AC154" s="498">
        <f t="shared" si="136"/>
        <v>621.80000000000007</v>
      </c>
      <c r="AD154" s="498">
        <f t="shared" si="136"/>
        <v>191.90000000000003</v>
      </c>
      <c r="AE154" s="498">
        <f t="shared" si="136"/>
        <v>198.7</v>
      </c>
      <c r="AF154" s="498">
        <f t="shared" si="136"/>
        <v>176.5</v>
      </c>
      <c r="AG154" s="498">
        <f t="shared" si="136"/>
        <v>143.19999999999999</v>
      </c>
      <c r="AH154" s="498">
        <f t="shared" si="136"/>
        <v>710.30000000000007</v>
      </c>
      <c r="AI154" s="498">
        <v>153.80000000000001</v>
      </c>
      <c r="AJ154" s="498">
        <f t="shared" ref="AJ154:AS154" si="137">SUM(AJ152:AJ153)</f>
        <v>137.80000000000001</v>
      </c>
      <c r="AK154" s="498">
        <f t="shared" si="137"/>
        <v>127.5</v>
      </c>
      <c r="AL154" s="498">
        <f t="shared" si="137"/>
        <v>137.10000000000002</v>
      </c>
      <c r="AM154" s="498">
        <f t="shared" si="137"/>
        <v>556.19999999999993</v>
      </c>
      <c r="AN154" s="498">
        <f t="shared" si="137"/>
        <v>152</v>
      </c>
      <c r="AO154" s="498">
        <f t="shared" si="137"/>
        <v>161</v>
      </c>
      <c r="AP154" s="498">
        <f t="shared" si="137"/>
        <v>157.6</v>
      </c>
      <c r="AQ154" s="498">
        <f t="shared" si="137"/>
        <v>174.10000000000002</v>
      </c>
      <c r="AR154" s="498">
        <f t="shared" si="137"/>
        <v>644.70000000000005</v>
      </c>
      <c r="AS154" s="498">
        <f t="shared" si="137"/>
        <v>197.6</v>
      </c>
      <c r="AT154" s="498">
        <v>207.8</v>
      </c>
      <c r="AU154" s="604">
        <v>207.4</v>
      </c>
      <c r="AV154" s="498">
        <f>SUM(AV152:AV153)</f>
        <v>210.7</v>
      </c>
      <c r="AW154" s="498">
        <f>SUM(AW152:AW153)</f>
        <v>823.5</v>
      </c>
      <c r="AX154" s="498">
        <f>+AX153+AX152</f>
        <v>242.3</v>
      </c>
      <c r="AY154" s="498">
        <f t="shared" ref="AY154:BV154" si="138">SUM(AY152:AY153)</f>
        <v>233.5</v>
      </c>
      <c r="AZ154" s="498">
        <f t="shared" si="138"/>
        <v>234.10000000000002</v>
      </c>
      <c r="BA154" s="498">
        <f t="shared" si="138"/>
        <v>234.2</v>
      </c>
      <c r="BB154" s="708">
        <f t="shared" si="138"/>
        <v>944.1</v>
      </c>
      <c r="BC154" s="708">
        <f t="shared" si="138"/>
        <v>268.89999999999998</v>
      </c>
      <c r="BD154" s="708">
        <f t="shared" si="138"/>
        <v>270</v>
      </c>
      <c r="BE154" s="708">
        <f t="shared" si="138"/>
        <v>262</v>
      </c>
      <c r="BF154" s="708">
        <f t="shared" si="138"/>
        <v>283.60000000000002</v>
      </c>
      <c r="BG154" s="708">
        <f t="shared" si="138"/>
        <v>1084.5</v>
      </c>
      <c r="BH154" s="708">
        <f t="shared" si="138"/>
        <v>303.20000000000005</v>
      </c>
      <c r="BI154" s="709">
        <f t="shared" si="138"/>
        <v>308.2</v>
      </c>
      <c r="BJ154" s="708">
        <f t="shared" si="138"/>
        <v>296.5</v>
      </c>
      <c r="BK154" s="708">
        <f t="shared" si="138"/>
        <v>307.39999999999998</v>
      </c>
      <c r="BL154" s="708">
        <f t="shared" si="138"/>
        <v>1215.3000000000002</v>
      </c>
      <c r="BM154" s="708">
        <f t="shared" si="138"/>
        <v>320.3</v>
      </c>
      <c r="BN154" s="708">
        <f t="shared" si="138"/>
        <v>324.7</v>
      </c>
      <c r="BO154" s="708">
        <f t="shared" si="138"/>
        <v>314.5</v>
      </c>
      <c r="BP154" s="708">
        <f t="shared" si="138"/>
        <v>326.39999999999998</v>
      </c>
      <c r="BQ154" s="708">
        <f t="shared" si="138"/>
        <v>1285.9000000000001</v>
      </c>
      <c r="BR154" s="708">
        <f t="shared" si="138"/>
        <v>350.3</v>
      </c>
      <c r="BS154" s="708">
        <f t="shared" si="138"/>
        <v>368.5</v>
      </c>
      <c r="BT154" s="708">
        <f t="shared" si="138"/>
        <v>360.6</v>
      </c>
      <c r="BU154" s="708">
        <f t="shared" si="138"/>
        <v>349.9</v>
      </c>
      <c r="BV154" s="708">
        <f t="shared" si="138"/>
        <v>1429.3</v>
      </c>
      <c r="BW154" s="708">
        <v>347.2</v>
      </c>
      <c r="BX154" s="708">
        <f t="shared" ref="BX154:CL154" si="139">SUM(BX152:BX153)</f>
        <v>349</v>
      </c>
      <c r="BY154" s="708">
        <f t="shared" si="139"/>
        <v>352.6</v>
      </c>
      <c r="BZ154" s="708">
        <f t="shared" si="139"/>
        <v>361.1</v>
      </c>
      <c r="CA154" s="708">
        <f t="shared" si="139"/>
        <v>1409.8999999999999</v>
      </c>
      <c r="CB154" s="708">
        <f t="shared" si="139"/>
        <v>382.7</v>
      </c>
      <c r="CC154" s="708">
        <f t="shared" si="139"/>
        <v>383.8</v>
      </c>
      <c r="CD154" s="708">
        <f t="shared" si="139"/>
        <v>373.1</v>
      </c>
      <c r="CE154" s="708">
        <f t="shared" si="139"/>
        <v>385.4</v>
      </c>
      <c r="CF154" s="708">
        <f t="shared" si="139"/>
        <v>1525</v>
      </c>
      <c r="CG154" s="708">
        <f t="shared" si="139"/>
        <v>415.5</v>
      </c>
      <c r="CH154" s="708">
        <f t="shared" si="139"/>
        <v>416.5</v>
      </c>
      <c r="CI154" s="708">
        <f t="shared" si="139"/>
        <v>385.9</v>
      </c>
      <c r="CJ154" s="708">
        <f t="shared" si="139"/>
        <v>379.80000000000007</v>
      </c>
      <c r="CK154" s="708">
        <f t="shared" si="139"/>
        <v>1597.6999999999998</v>
      </c>
      <c r="CL154" s="604">
        <f t="shared" si="139"/>
        <v>362.9</v>
      </c>
      <c r="CM154" s="604"/>
      <c r="CN154" s="604"/>
      <c r="CO154" s="604"/>
    </row>
    <row r="155" spans="2:93">
      <c r="AU155" s="604"/>
      <c r="BF155" s="604"/>
      <c r="BI155" s="611"/>
      <c r="BJ155" s="604"/>
      <c r="BN155" s="611"/>
      <c r="BO155" s="604"/>
      <c r="BS155" s="611"/>
      <c r="BT155" s="604"/>
      <c r="BY155" s="604"/>
      <c r="CC155" s="611"/>
      <c r="CD155" s="604"/>
      <c r="CH155" s="611"/>
      <c r="CI155" s="604"/>
      <c r="CM155" s="611"/>
      <c r="CN155" s="604"/>
    </row>
    <row r="156" spans="2:93">
      <c r="B156" s="637" t="s">
        <v>90</v>
      </c>
      <c r="Y156" s="498">
        <v>73.7</v>
      </c>
      <c r="Z156" s="498">
        <v>75.599999999999994</v>
      </c>
      <c r="AA156" s="498">
        <v>67.599999999999994</v>
      </c>
      <c r="AB156" s="498">
        <v>75.400000000000006</v>
      </c>
      <c r="AC156" s="498">
        <f>SUM(Y156:AB156)</f>
        <v>292.3</v>
      </c>
      <c r="AD156" s="498">
        <f>240-SUM(AE156:AF156)</f>
        <v>77.099999999999994</v>
      </c>
      <c r="AE156" s="498">
        <v>84.7</v>
      </c>
      <c r="AF156" s="498">
        <v>78.2</v>
      </c>
      <c r="AG156" s="498">
        <v>68.7</v>
      </c>
      <c r="AH156" s="498">
        <f>SUM(AD156:AG156)</f>
        <v>308.7</v>
      </c>
      <c r="AI156" s="498">
        <v>75.7</v>
      </c>
      <c r="AJ156" s="498">
        <v>64.400000000000006</v>
      </c>
      <c r="AK156" s="498">
        <v>54.9</v>
      </c>
      <c r="AL156" s="498">
        <v>56.3</v>
      </c>
      <c r="AM156" s="498">
        <f>SUM(AI156:AL156)</f>
        <v>251.3</v>
      </c>
      <c r="AN156" s="498">
        <v>38</v>
      </c>
      <c r="AO156" s="498">
        <v>64.3</v>
      </c>
      <c r="AP156" s="498">
        <v>61.7</v>
      </c>
      <c r="AQ156" s="498">
        <v>51.8</v>
      </c>
      <c r="AR156" s="498">
        <f>SUM(AN156:AQ156)</f>
        <v>215.8</v>
      </c>
      <c r="AS156" s="498">
        <v>53.2</v>
      </c>
      <c r="AT156" s="498">
        <v>63.4</v>
      </c>
      <c r="AU156" s="604">
        <v>63.3</v>
      </c>
      <c r="AV156" s="611">
        <v>67.2</v>
      </c>
      <c r="AW156" s="611">
        <f>SUM(AS156:AV156)</f>
        <v>247.09999999999997</v>
      </c>
      <c r="AX156" s="498">
        <v>72.8</v>
      </c>
      <c r="AY156" s="611">
        <v>77.099999999999994</v>
      </c>
      <c r="AZ156" s="611">
        <v>66.900000000000006</v>
      </c>
      <c r="BA156" s="498">
        <v>59.7</v>
      </c>
      <c r="BB156" s="498">
        <f>SUM(AX156:BA156)</f>
        <v>276.5</v>
      </c>
      <c r="BC156" s="498">
        <v>50.3</v>
      </c>
      <c r="BD156" s="498">
        <v>53.7</v>
      </c>
      <c r="BE156" s="498">
        <v>53.8</v>
      </c>
      <c r="BF156" s="604">
        <v>52.9</v>
      </c>
      <c r="BG156" s="498">
        <f>SUM(BC156:BF156)</f>
        <v>210.70000000000002</v>
      </c>
      <c r="BH156" s="498">
        <v>62.9</v>
      </c>
      <c r="BI156" s="611">
        <v>69.3</v>
      </c>
      <c r="BJ156" s="604">
        <v>66.5</v>
      </c>
      <c r="BK156" s="498">
        <v>63</v>
      </c>
      <c r="BL156" s="498">
        <f>SUM(BH156:BK156)</f>
        <v>261.7</v>
      </c>
      <c r="BM156" s="498">
        <v>59.9</v>
      </c>
      <c r="BN156" s="611">
        <v>62.1</v>
      </c>
      <c r="BO156" s="604">
        <v>57</v>
      </c>
      <c r="BP156" s="498">
        <v>55.4</v>
      </c>
      <c r="BQ156" s="498">
        <f>SUM(BM156:BP156)</f>
        <v>234.4</v>
      </c>
      <c r="BR156" s="498">
        <v>68.099999999999994</v>
      </c>
      <c r="BS156" s="611">
        <v>72.3</v>
      </c>
      <c r="BT156" s="604">
        <v>58.4</v>
      </c>
      <c r="BU156" s="498">
        <v>54.3</v>
      </c>
      <c r="BV156" s="498">
        <f>SUM(BR156:BU156)</f>
        <v>253.09999999999997</v>
      </c>
      <c r="BW156" s="498">
        <v>54.8</v>
      </c>
      <c r="BX156" s="498">
        <v>54.5</v>
      </c>
      <c r="BY156" s="604">
        <v>56.2</v>
      </c>
      <c r="BZ156" s="498">
        <v>54.1</v>
      </c>
      <c r="CA156" s="498">
        <f>SUM(BW156:BZ156)</f>
        <v>219.6</v>
      </c>
      <c r="CB156" s="498">
        <v>67.3</v>
      </c>
      <c r="CC156" s="611">
        <v>72</v>
      </c>
      <c r="CD156" s="604">
        <v>77</v>
      </c>
      <c r="CE156" s="498">
        <v>77.900000000000006</v>
      </c>
      <c r="CF156" s="498">
        <f>SUM(CB156:CE156)</f>
        <v>294.20000000000005</v>
      </c>
      <c r="CG156" s="498">
        <v>86.6</v>
      </c>
      <c r="CH156" s="611">
        <v>80.7</v>
      </c>
      <c r="CI156" s="604">
        <v>74.599999999999994</v>
      </c>
      <c r="CJ156" s="498">
        <f>CK156-SUM(CG156:CI156)</f>
        <v>68.499999999999972</v>
      </c>
      <c r="CK156" s="498">
        <v>310.39999999999998</v>
      </c>
      <c r="CL156" s="498">
        <v>65.099999999999994</v>
      </c>
      <c r="CM156" s="611"/>
      <c r="CN156" s="604"/>
    </row>
    <row r="157" spans="2:93">
      <c r="B157" s="637" t="s">
        <v>91</v>
      </c>
      <c r="C157" s="613"/>
      <c r="D157" s="613"/>
      <c r="E157" s="613"/>
      <c r="F157" s="613"/>
      <c r="G157" s="613"/>
      <c r="H157" s="613"/>
      <c r="I157" s="613"/>
      <c r="J157" s="613"/>
      <c r="K157" s="613"/>
      <c r="L157" s="613"/>
      <c r="M157" s="613"/>
      <c r="N157" s="613"/>
      <c r="O157" s="613"/>
      <c r="P157" s="613"/>
      <c r="Q157" s="613"/>
      <c r="R157" s="613"/>
      <c r="S157" s="613"/>
      <c r="T157" s="613"/>
      <c r="U157" s="613"/>
      <c r="V157" s="613"/>
      <c r="W157" s="613"/>
      <c r="X157" s="613"/>
      <c r="Y157" s="613">
        <v>0.4</v>
      </c>
      <c r="Z157" s="613">
        <v>0.3</v>
      </c>
      <c r="AA157" s="613">
        <v>0.3</v>
      </c>
      <c r="AB157" s="613">
        <v>0.3</v>
      </c>
      <c r="AC157" s="613">
        <f>SUM(Y157:AB157)</f>
        <v>1.3</v>
      </c>
      <c r="AD157" s="613">
        <f>3.5-SUM(AE157:AF157)</f>
        <v>1.2999999999999998</v>
      </c>
      <c r="AE157" s="613">
        <v>1.1000000000000001</v>
      </c>
      <c r="AF157" s="613">
        <v>1.1000000000000001</v>
      </c>
      <c r="AG157" s="613">
        <v>0.5</v>
      </c>
      <c r="AH157" s="613">
        <f>SUM(AD157:AG157)</f>
        <v>4</v>
      </c>
      <c r="AI157" s="613">
        <v>0.5</v>
      </c>
      <c r="AJ157" s="613">
        <v>0.4</v>
      </c>
      <c r="AK157" s="613">
        <v>0.2</v>
      </c>
      <c r="AL157" s="613">
        <v>0.2</v>
      </c>
      <c r="AM157" s="613">
        <f>SUM(AI157:AL157)</f>
        <v>1.3</v>
      </c>
      <c r="AN157" s="613">
        <v>0.5</v>
      </c>
      <c r="AO157" s="613">
        <v>0.4</v>
      </c>
      <c r="AP157" s="613">
        <v>0.8</v>
      </c>
      <c r="AQ157" s="613">
        <v>0.9</v>
      </c>
      <c r="AR157" s="613">
        <f>SUM(AN157:AQ157)</f>
        <v>2.6</v>
      </c>
      <c r="AS157" s="613">
        <v>1.1000000000000001</v>
      </c>
      <c r="AT157" s="615">
        <v>0.8</v>
      </c>
      <c r="AU157" s="614">
        <v>0.2</v>
      </c>
      <c r="AV157" s="615">
        <v>0.3</v>
      </c>
      <c r="AW157" s="615">
        <f>SUM(AS157:AV157)</f>
        <v>2.4</v>
      </c>
      <c r="AX157" s="614">
        <v>0.1</v>
      </c>
      <c r="AY157" s="615">
        <v>0.5</v>
      </c>
      <c r="AZ157" s="615">
        <v>0</v>
      </c>
      <c r="BA157" s="615">
        <v>0</v>
      </c>
      <c r="BB157" s="498">
        <f>SUM(AX157:BA157)</f>
        <v>0.6</v>
      </c>
      <c r="BC157" s="498">
        <v>1.3</v>
      </c>
      <c r="BD157" s="498">
        <v>2.2000000000000002</v>
      </c>
      <c r="BE157" s="498">
        <v>2.1</v>
      </c>
      <c r="BF157" s="604">
        <v>1.5</v>
      </c>
      <c r="BG157" s="498">
        <f>SUM(BC157:BF157)</f>
        <v>7.1</v>
      </c>
      <c r="BH157" s="498">
        <v>0</v>
      </c>
      <c r="BI157" s="611">
        <v>0.5</v>
      </c>
      <c r="BJ157" s="604">
        <v>0.4</v>
      </c>
      <c r="BK157" s="498">
        <v>1.8</v>
      </c>
      <c r="BL157" s="498">
        <f>SUM(BH157:BK157)</f>
        <v>2.7</v>
      </c>
      <c r="BM157" s="498">
        <v>2.7</v>
      </c>
      <c r="BN157" s="611">
        <v>0.9</v>
      </c>
      <c r="BO157" s="604">
        <v>0</v>
      </c>
      <c r="BP157" s="498">
        <v>0</v>
      </c>
      <c r="BQ157" s="498">
        <f>SUM(BM157:BP157)</f>
        <v>3.6</v>
      </c>
      <c r="BR157" s="498">
        <v>0</v>
      </c>
      <c r="BS157" s="611">
        <v>0</v>
      </c>
      <c r="BT157" s="604">
        <v>0</v>
      </c>
      <c r="BU157" s="498">
        <v>0.2</v>
      </c>
      <c r="BV157" s="498">
        <f>SUM(BR157:BU157)</f>
        <v>0.2</v>
      </c>
      <c r="BW157" s="498">
        <v>0.1</v>
      </c>
      <c r="BX157" s="498">
        <v>0</v>
      </c>
      <c r="BY157" s="604">
        <v>0</v>
      </c>
      <c r="BZ157" s="498">
        <v>0.1</v>
      </c>
      <c r="CA157" s="498">
        <f>SUM(BW157:BZ157)</f>
        <v>0.2</v>
      </c>
      <c r="CB157" s="498">
        <v>0</v>
      </c>
      <c r="CC157" s="611">
        <v>0</v>
      </c>
      <c r="CD157" s="604">
        <v>0</v>
      </c>
      <c r="CE157" s="604">
        <v>0</v>
      </c>
      <c r="CF157" s="498">
        <f>SUM(CB157:CE157)</f>
        <v>0</v>
      </c>
      <c r="CG157" s="498">
        <v>0</v>
      </c>
      <c r="CH157" s="498">
        <v>0</v>
      </c>
      <c r="CI157" s="604">
        <v>2.2000000000000002</v>
      </c>
      <c r="CJ157" s="498">
        <f>CK157-SUM(CG157:CI157)</f>
        <v>0.69999999999999973</v>
      </c>
      <c r="CK157" s="498">
        <v>2.9</v>
      </c>
      <c r="CL157" s="613">
        <v>1.4</v>
      </c>
      <c r="CM157" s="615"/>
      <c r="CN157" s="614"/>
    </row>
    <row r="158" spans="2:93">
      <c r="B158" s="498" t="s">
        <v>95</v>
      </c>
      <c r="C158" s="498">
        <v>184.8</v>
      </c>
      <c r="D158" s="498">
        <v>192.1</v>
      </c>
      <c r="E158" s="498">
        <v>211.3</v>
      </c>
      <c r="F158" s="498">
        <v>227.5</v>
      </c>
      <c r="G158" s="498">
        <v>250.2</v>
      </c>
      <c r="H158" s="498">
        <v>253.9</v>
      </c>
      <c r="I158" s="498">
        <v>274.89999999999998</v>
      </c>
      <c r="J158" s="498">
        <v>84.9</v>
      </c>
      <c r="K158" s="498">
        <v>92.6</v>
      </c>
      <c r="L158" s="498">
        <v>88.3</v>
      </c>
      <c r="M158" s="498">
        <f>N158-SUM(J158:L158)</f>
        <v>88.784999999999968</v>
      </c>
      <c r="N158" s="498">
        <v>354.58499999999998</v>
      </c>
      <c r="O158" s="498">
        <v>93.4</v>
      </c>
      <c r="P158" s="498">
        <v>98.2</v>
      </c>
      <c r="Q158" s="498">
        <v>88.7</v>
      </c>
      <c r="R158" s="498">
        <f>S158-SUM(O158:Q158)</f>
        <v>85.5</v>
      </c>
      <c r="S158" s="498">
        <v>365.8</v>
      </c>
      <c r="T158" s="498">
        <v>87.7</v>
      </c>
      <c r="U158" s="498">
        <v>88.6</v>
      </c>
      <c r="V158" s="498">
        <v>76.5</v>
      </c>
      <c r="W158" s="498">
        <f>X158-SUM(T158:V158)</f>
        <v>59.300000000000011</v>
      </c>
      <c r="X158" s="498">
        <v>312.10000000000002</v>
      </c>
      <c r="Y158" s="498">
        <f t="shared" ref="Y158:AS158" si="140">SUM(Y156:Y157)</f>
        <v>74.100000000000009</v>
      </c>
      <c r="Z158" s="498">
        <f t="shared" si="140"/>
        <v>75.899999999999991</v>
      </c>
      <c r="AA158" s="498">
        <f t="shared" si="140"/>
        <v>67.899999999999991</v>
      </c>
      <c r="AB158" s="498">
        <f t="shared" si="140"/>
        <v>75.7</v>
      </c>
      <c r="AC158" s="498">
        <f t="shared" si="140"/>
        <v>293.60000000000002</v>
      </c>
      <c r="AD158" s="498">
        <f t="shared" si="140"/>
        <v>78.399999999999991</v>
      </c>
      <c r="AE158" s="498">
        <f t="shared" si="140"/>
        <v>85.8</v>
      </c>
      <c r="AF158" s="498">
        <f t="shared" si="140"/>
        <v>79.3</v>
      </c>
      <c r="AG158" s="498">
        <f t="shared" si="140"/>
        <v>69.2</v>
      </c>
      <c r="AH158" s="498">
        <f t="shared" si="140"/>
        <v>312.7</v>
      </c>
      <c r="AI158" s="498">
        <f t="shared" si="140"/>
        <v>76.2</v>
      </c>
      <c r="AJ158" s="498">
        <f t="shared" si="140"/>
        <v>64.800000000000011</v>
      </c>
      <c r="AK158" s="498">
        <f t="shared" si="140"/>
        <v>55.1</v>
      </c>
      <c r="AL158" s="498">
        <f t="shared" si="140"/>
        <v>56.5</v>
      </c>
      <c r="AM158" s="498">
        <f t="shared" si="140"/>
        <v>252.60000000000002</v>
      </c>
      <c r="AN158" s="498">
        <f t="shared" si="140"/>
        <v>38.5</v>
      </c>
      <c r="AO158" s="498">
        <f t="shared" si="140"/>
        <v>64.7</v>
      </c>
      <c r="AP158" s="498">
        <f t="shared" si="140"/>
        <v>62.5</v>
      </c>
      <c r="AQ158" s="498">
        <f t="shared" si="140"/>
        <v>52.699999999999996</v>
      </c>
      <c r="AR158" s="498">
        <f t="shared" si="140"/>
        <v>218.4</v>
      </c>
      <c r="AS158" s="498">
        <f t="shared" si="140"/>
        <v>54.300000000000004</v>
      </c>
      <c r="AT158" s="498">
        <v>64.2</v>
      </c>
      <c r="AU158" s="604">
        <v>63.5</v>
      </c>
      <c r="AV158" s="498">
        <f>SUM(AV156:AV157)</f>
        <v>67.5</v>
      </c>
      <c r="AW158" s="498">
        <f>SUM(AW156:AW157)</f>
        <v>249.49999999999997</v>
      </c>
      <c r="AX158" s="498">
        <f>+AX157+AX156</f>
        <v>72.899999999999991</v>
      </c>
      <c r="AY158" s="498">
        <f t="shared" ref="AY158:BV158" si="141">SUM(AY156:AY157)</f>
        <v>77.599999999999994</v>
      </c>
      <c r="AZ158" s="498">
        <f t="shared" si="141"/>
        <v>66.900000000000006</v>
      </c>
      <c r="BA158" s="498">
        <f t="shared" si="141"/>
        <v>59.7</v>
      </c>
      <c r="BB158" s="708">
        <f t="shared" si="141"/>
        <v>277.10000000000002</v>
      </c>
      <c r="BC158" s="708">
        <f t="shared" si="141"/>
        <v>51.599999999999994</v>
      </c>
      <c r="BD158" s="708">
        <f t="shared" si="141"/>
        <v>55.900000000000006</v>
      </c>
      <c r="BE158" s="708">
        <f t="shared" si="141"/>
        <v>55.9</v>
      </c>
      <c r="BF158" s="708">
        <f t="shared" si="141"/>
        <v>54.4</v>
      </c>
      <c r="BG158" s="708">
        <f t="shared" si="141"/>
        <v>217.8</v>
      </c>
      <c r="BH158" s="708">
        <f t="shared" si="141"/>
        <v>62.9</v>
      </c>
      <c r="BI158" s="709">
        <f t="shared" si="141"/>
        <v>69.8</v>
      </c>
      <c r="BJ158" s="708">
        <f t="shared" si="141"/>
        <v>66.900000000000006</v>
      </c>
      <c r="BK158" s="708">
        <f t="shared" si="141"/>
        <v>64.8</v>
      </c>
      <c r="BL158" s="708">
        <f t="shared" si="141"/>
        <v>264.39999999999998</v>
      </c>
      <c r="BM158" s="708">
        <f t="shared" si="141"/>
        <v>62.6</v>
      </c>
      <c r="BN158" s="708">
        <f t="shared" si="141"/>
        <v>63</v>
      </c>
      <c r="BO158" s="708">
        <f t="shared" si="141"/>
        <v>57</v>
      </c>
      <c r="BP158" s="708">
        <f t="shared" si="141"/>
        <v>55.4</v>
      </c>
      <c r="BQ158" s="708">
        <f t="shared" si="141"/>
        <v>238</v>
      </c>
      <c r="BR158" s="708">
        <f t="shared" si="141"/>
        <v>68.099999999999994</v>
      </c>
      <c r="BS158" s="708">
        <f t="shared" si="141"/>
        <v>72.3</v>
      </c>
      <c r="BT158" s="708">
        <f t="shared" si="141"/>
        <v>58.4</v>
      </c>
      <c r="BU158" s="708">
        <f t="shared" si="141"/>
        <v>54.5</v>
      </c>
      <c r="BV158" s="708">
        <f t="shared" si="141"/>
        <v>253.29999999999995</v>
      </c>
      <c r="BW158" s="708">
        <v>54.9</v>
      </c>
      <c r="BX158" s="708">
        <f t="shared" ref="BX158:CL158" si="142">SUM(BX156:BX157)</f>
        <v>54.5</v>
      </c>
      <c r="BY158" s="708">
        <f t="shared" si="142"/>
        <v>56.2</v>
      </c>
      <c r="BZ158" s="708">
        <f t="shared" si="142"/>
        <v>54.2</v>
      </c>
      <c r="CA158" s="708">
        <f t="shared" si="142"/>
        <v>219.79999999999998</v>
      </c>
      <c r="CB158" s="708">
        <f t="shared" si="142"/>
        <v>67.3</v>
      </c>
      <c r="CC158" s="708">
        <f t="shared" si="142"/>
        <v>72</v>
      </c>
      <c r="CD158" s="708">
        <f t="shared" si="142"/>
        <v>77</v>
      </c>
      <c r="CE158" s="708">
        <f t="shared" si="142"/>
        <v>77.900000000000006</v>
      </c>
      <c r="CF158" s="708">
        <f t="shared" si="142"/>
        <v>294.20000000000005</v>
      </c>
      <c r="CG158" s="708">
        <f t="shared" si="142"/>
        <v>86.6</v>
      </c>
      <c r="CH158" s="708">
        <f t="shared" si="142"/>
        <v>80.7</v>
      </c>
      <c r="CI158" s="708">
        <f t="shared" si="142"/>
        <v>76.8</v>
      </c>
      <c r="CJ158" s="708">
        <f t="shared" si="142"/>
        <v>69.199999999999974</v>
      </c>
      <c r="CK158" s="708">
        <f t="shared" si="142"/>
        <v>313.29999999999995</v>
      </c>
      <c r="CL158" s="604">
        <f t="shared" si="142"/>
        <v>66.5</v>
      </c>
      <c r="CM158" s="604"/>
      <c r="CN158" s="604"/>
      <c r="CO158" s="604"/>
    </row>
    <row r="159" spans="2:93">
      <c r="AU159" s="604"/>
      <c r="BF159" s="604"/>
      <c r="BI159" s="611"/>
      <c r="BJ159" s="604"/>
      <c r="BN159" s="611"/>
      <c r="BO159" s="604"/>
      <c r="BS159" s="611"/>
      <c r="BT159" s="604"/>
      <c r="BY159" s="604"/>
      <c r="CC159" s="611"/>
      <c r="CD159" s="604"/>
      <c r="CH159" s="611"/>
      <c r="CI159" s="604"/>
      <c r="CM159" s="611"/>
      <c r="CN159" s="604"/>
    </row>
    <row r="160" spans="2:93">
      <c r="B160" s="637" t="s">
        <v>90</v>
      </c>
      <c r="Y160" s="498">
        <v>52.3</v>
      </c>
      <c r="Z160" s="498">
        <v>45.6</v>
      </c>
      <c r="AA160" s="498">
        <v>46.4</v>
      </c>
      <c r="AB160" s="498">
        <v>50</v>
      </c>
      <c r="AC160" s="498">
        <f>SUM(Y160:AB160)</f>
        <v>194.3</v>
      </c>
      <c r="AD160" s="498">
        <f>175.4-SUM(AE160:AF160)</f>
        <v>57.2</v>
      </c>
      <c r="AE160" s="498">
        <v>59.7</v>
      </c>
      <c r="AF160" s="498">
        <v>58.5</v>
      </c>
      <c r="AG160" s="498">
        <v>60.5</v>
      </c>
      <c r="AH160" s="498">
        <f>SUM(AD160:AG160)</f>
        <v>235.9</v>
      </c>
      <c r="AI160" s="498">
        <v>59.4</v>
      </c>
      <c r="AJ160" s="498">
        <v>55.3</v>
      </c>
      <c r="AK160" s="498">
        <v>54.5</v>
      </c>
      <c r="AL160" s="498">
        <v>51.4</v>
      </c>
      <c r="AM160" s="498">
        <f>SUM(AI160:AL160)</f>
        <v>220.6</v>
      </c>
      <c r="AN160" s="498">
        <v>53.1</v>
      </c>
      <c r="AO160" s="498">
        <v>60.7</v>
      </c>
      <c r="AP160" s="498">
        <v>52.6</v>
      </c>
      <c r="AQ160" s="498">
        <v>62.9</v>
      </c>
      <c r="AR160" s="498">
        <f>SUM(AN160:AQ160)</f>
        <v>229.3</v>
      </c>
      <c r="AS160" s="498">
        <v>59.9</v>
      </c>
      <c r="AT160" s="498">
        <v>62.5</v>
      </c>
      <c r="AU160" s="604">
        <v>60.7</v>
      </c>
      <c r="AV160" s="611">
        <v>58.2</v>
      </c>
      <c r="AW160" s="611">
        <f>SUM(AS160:AV160)</f>
        <v>241.3</v>
      </c>
      <c r="AX160" s="498">
        <v>63.9</v>
      </c>
      <c r="AY160" s="611">
        <v>67.2</v>
      </c>
      <c r="AZ160" s="611">
        <v>68.7</v>
      </c>
      <c r="BA160" s="498">
        <v>68.900000000000006</v>
      </c>
      <c r="BB160" s="498">
        <f>SUM(AX160:BA160)</f>
        <v>268.70000000000005</v>
      </c>
      <c r="BC160" s="498">
        <v>72.8</v>
      </c>
      <c r="BD160" s="498">
        <v>70.3</v>
      </c>
      <c r="BE160" s="498">
        <v>67.599999999999994</v>
      </c>
      <c r="BF160" s="604">
        <v>61.2</v>
      </c>
      <c r="BG160" s="498">
        <f>SUM(BC160:BF160)</f>
        <v>271.89999999999998</v>
      </c>
      <c r="BH160" s="498">
        <v>68.599999999999994</v>
      </c>
      <c r="BI160" s="611">
        <v>66.8</v>
      </c>
      <c r="BJ160" s="604">
        <v>64.099999999999994</v>
      </c>
      <c r="BK160" s="498">
        <v>72.099999999999994</v>
      </c>
      <c r="BL160" s="498">
        <f>SUM(BH160:BK160)</f>
        <v>271.59999999999997</v>
      </c>
      <c r="BM160" s="498">
        <v>69.7</v>
      </c>
      <c r="BN160" s="611">
        <v>67.400000000000006</v>
      </c>
      <c r="BO160" s="604">
        <v>59.7</v>
      </c>
      <c r="BP160" s="498">
        <v>67.8</v>
      </c>
      <c r="BQ160" s="498">
        <f>SUM(BM160:BP160)</f>
        <v>264.60000000000002</v>
      </c>
      <c r="BR160" s="498">
        <v>63.4</v>
      </c>
      <c r="BS160" s="611">
        <v>65</v>
      </c>
      <c r="BT160" s="604">
        <v>63.8</v>
      </c>
      <c r="BU160" s="498">
        <v>64.2</v>
      </c>
      <c r="BV160" s="498">
        <f>SUM(BR160:BU160)</f>
        <v>256.39999999999998</v>
      </c>
      <c r="BW160" s="498">
        <v>63.2</v>
      </c>
      <c r="BX160" s="498">
        <v>69</v>
      </c>
      <c r="BY160" s="604">
        <v>65.599999999999994</v>
      </c>
      <c r="BZ160" s="498">
        <v>78.599999999999994</v>
      </c>
      <c r="CA160" s="498">
        <f>SUM(BW160:BZ160)</f>
        <v>276.39999999999998</v>
      </c>
      <c r="CB160" s="498">
        <v>74.099999999999994</v>
      </c>
      <c r="CC160" s="611">
        <v>73.2</v>
      </c>
      <c r="CD160" s="604">
        <v>70.099999999999994</v>
      </c>
      <c r="CE160" s="498">
        <v>76</v>
      </c>
      <c r="CF160" s="498">
        <f>SUM(CB160:CE160)</f>
        <v>293.39999999999998</v>
      </c>
      <c r="CG160" s="498">
        <v>77.7</v>
      </c>
      <c r="CH160" s="611">
        <v>79.599999999999994</v>
      </c>
      <c r="CI160" s="604">
        <v>78.900000000000006</v>
      </c>
      <c r="CJ160" s="498">
        <f>CK160-SUM(CG160:CI160)</f>
        <v>81.900000000000006</v>
      </c>
      <c r="CK160" s="498">
        <v>318.10000000000002</v>
      </c>
      <c r="CL160" s="498">
        <v>73.2</v>
      </c>
      <c r="CM160" s="611"/>
      <c r="CN160" s="604"/>
    </row>
    <row r="161" spans="1:97">
      <c r="B161" s="637" t="s">
        <v>91</v>
      </c>
      <c r="C161" s="613"/>
      <c r="D161" s="613"/>
      <c r="E161" s="613"/>
      <c r="F161" s="613"/>
      <c r="G161" s="613"/>
      <c r="H161" s="613"/>
      <c r="I161" s="613"/>
      <c r="J161" s="613"/>
      <c r="K161" s="613"/>
      <c r="L161" s="613"/>
      <c r="M161" s="613"/>
      <c r="N161" s="613"/>
      <c r="O161" s="613"/>
      <c r="P161" s="613"/>
      <c r="Q161" s="613"/>
      <c r="R161" s="613"/>
      <c r="S161" s="613"/>
      <c r="T161" s="613"/>
      <c r="U161" s="613"/>
      <c r="V161" s="613"/>
      <c r="W161" s="613"/>
      <c r="X161" s="613"/>
      <c r="Y161" s="613">
        <v>12.2</v>
      </c>
      <c r="Z161" s="613">
        <v>13.6</v>
      </c>
      <c r="AA161" s="613">
        <v>14</v>
      </c>
      <c r="AB161" s="613">
        <v>21.6</v>
      </c>
      <c r="AC161" s="613">
        <f>SUM(Y161:AB161)</f>
        <v>61.4</v>
      </c>
      <c r="AD161" s="613">
        <f>49.4-SUM(AE161:AF161)</f>
        <v>16.999999999999993</v>
      </c>
      <c r="AE161" s="613">
        <v>15.3</v>
      </c>
      <c r="AF161" s="613">
        <v>17.100000000000001</v>
      </c>
      <c r="AG161" s="613">
        <v>16.600000000000001</v>
      </c>
      <c r="AH161" s="613">
        <f>SUM(AD161:AG161)</f>
        <v>66</v>
      </c>
      <c r="AI161" s="613">
        <v>17.899999999999999</v>
      </c>
      <c r="AJ161" s="613">
        <v>19.399999999999999</v>
      </c>
      <c r="AK161" s="613">
        <v>20</v>
      </c>
      <c r="AL161" s="613">
        <v>21.6</v>
      </c>
      <c r="AM161" s="613">
        <f>SUM(AI161:AL161)</f>
        <v>78.900000000000006</v>
      </c>
      <c r="AN161" s="613">
        <v>19.399999999999999</v>
      </c>
      <c r="AO161" s="613">
        <v>18.7</v>
      </c>
      <c r="AP161" s="613">
        <v>21.8</v>
      </c>
      <c r="AQ161" s="613">
        <v>21.3</v>
      </c>
      <c r="AR161" s="613">
        <f>SUM(AN161:AQ161)</f>
        <v>81.199999999999989</v>
      </c>
      <c r="AS161" s="613">
        <v>19.8</v>
      </c>
      <c r="AT161" s="613">
        <v>19.2</v>
      </c>
      <c r="AU161" s="614">
        <v>20.2</v>
      </c>
      <c r="AV161" s="615">
        <v>18.899999999999999</v>
      </c>
      <c r="AW161" s="615">
        <f>SUM(AS161:AV161)</f>
        <v>78.099999999999994</v>
      </c>
      <c r="AX161" s="614">
        <v>21</v>
      </c>
      <c r="AY161" s="615">
        <v>20.9</v>
      </c>
      <c r="AZ161" s="615">
        <v>21.9</v>
      </c>
      <c r="BA161" s="615">
        <v>24.5</v>
      </c>
      <c r="BB161" s="498">
        <f>SUM(AX161:BA161)</f>
        <v>88.3</v>
      </c>
      <c r="BC161" s="498">
        <v>23.2</v>
      </c>
      <c r="BD161" s="498">
        <v>26.4</v>
      </c>
      <c r="BE161" s="498">
        <v>26.8</v>
      </c>
      <c r="BF161" s="604">
        <v>27.6</v>
      </c>
      <c r="BG161" s="498">
        <f>SUM(BC161:BF161)</f>
        <v>104</v>
      </c>
      <c r="BH161" s="498">
        <v>27</v>
      </c>
      <c r="BI161" s="611">
        <v>25.3</v>
      </c>
      <c r="BJ161" s="604">
        <v>24.4</v>
      </c>
      <c r="BK161" s="498">
        <v>27.5</v>
      </c>
      <c r="BL161" s="498">
        <f>SUM(BH161:BK161)</f>
        <v>104.19999999999999</v>
      </c>
      <c r="BM161" s="498">
        <v>19.2</v>
      </c>
      <c r="BN161" s="611">
        <v>20.6</v>
      </c>
      <c r="BO161" s="604">
        <v>17.600000000000001</v>
      </c>
      <c r="BP161" s="498">
        <v>15.3</v>
      </c>
      <c r="BQ161" s="498">
        <f>SUM(BM161:BP161)</f>
        <v>72.7</v>
      </c>
      <c r="BR161" s="498">
        <v>15.9</v>
      </c>
      <c r="BS161" s="611">
        <v>16.8</v>
      </c>
      <c r="BT161" s="604">
        <v>17.7</v>
      </c>
      <c r="BU161" s="498">
        <v>14.9</v>
      </c>
      <c r="BV161" s="498">
        <f>SUM(BR161:BU161)</f>
        <v>65.300000000000011</v>
      </c>
      <c r="BW161" s="498">
        <v>13.5</v>
      </c>
      <c r="BX161" s="498">
        <v>18.8</v>
      </c>
      <c r="BY161" s="604">
        <v>17.100000000000001</v>
      </c>
      <c r="BZ161" s="498">
        <v>17.8</v>
      </c>
      <c r="CA161" s="498">
        <f>SUM(BW161:BZ161)</f>
        <v>67.2</v>
      </c>
      <c r="CB161" s="498">
        <v>16</v>
      </c>
      <c r="CC161" s="611">
        <v>18.5</v>
      </c>
      <c r="CD161" s="604">
        <v>20.3</v>
      </c>
      <c r="CE161" s="498">
        <v>21.7</v>
      </c>
      <c r="CF161" s="498">
        <f>SUM(CB161:CE161)</f>
        <v>76.5</v>
      </c>
      <c r="CG161" s="498">
        <v>30.1</v>
      </c>
      <c r="CH161" s="611">
        <v>32.200000000000003</v>
      </c>
      <c r="CI161" s="604">
        <v>30.9</v>
      </c>
      <c r="CJ161" s="498">
        <f>CK161-SUM(CG161:CI161)</f>
        <v>33.399999999999991</v>
      </c>
      <c r="CK161" s="498">
        <v>126.6</v>
      </c>
      <c r="CL161" s="613">
        <v>38.4</v>
      </c>
      <c r="CM161" s="615"/>
      <c r="CN161" s="614"/>
    </row>
    <row r="162" spans="1:97">
      <c r="B162" s="498" t="s">
        <v>109</v>
      </c>
      <c r="C162" s="498">
        <v>88.3</v>
      </c>
      <c r="D162" s="498">
        <v>141.6</v>
      </c>
      <c r="E162" s="498">
        <v>132.19999999999999</v>
      </c>
      <c r="F162" s="498">
        <v>118.2</v>
      </c>
      <c r="G162" s="498">
        <v>143.30000000000001</v>
      </c>
      <c r="H162" s="498">
        <v>147.5</v>
      </c>
      <c r="I162" s="498">
        <v>179.3</v>
      </c>
      <c r="J162" s="498">
        <v>51.6</v>
      </c>
      <c r="K162" s="498">
        <v>49.5</v>
      </c>
      <c r="L162" s="498">
        <v>41.7</v>
      </c>
      <c r="M162" s="498">
        <f>N162-SUM(J162:L162)</f>
        <v>50.609999999999985</v>
      </c>
      <c r="N162" s="498">
        <v>193.41</v>
      </c>
      <c r="O162" s="498">
        <v>49.2</v>
      </c>
      <c r="P162" s="498">
        <v>53.8</v>
      </c>
      <c r="Q162" s="498">
        <v>50.7</v>
      </c>
      <c r="R162" s="498">
        <f>S162-SUM(O162:Q162)</f>
        <v>55.600000000000023</v>
      </c>
      <c r="S162" s="498">
        <v>209.3</v>
      </c>
      <c r="T162" s="498">
        <v>52</v>
      </c>
      <c r="U162" s="498">
        <v>54.2</v>
      </c>
      <c r="V162" s="498">
        <v>50</v>
      </c>
      <c r="W162" s="498">
        <f>X162-SUM(T162:V162)</f>
        <v>55</v>
      </c>
      <c r="X162" s="498">
        <v>211.2</v>
      </c>
      <c r="Y162" s="498">
        <f t="shared" ref="Y162:AS162" si="143">SUM(Y160:Y161)</f>
        <v>64.5</v>
      </c>
      <c r="Z162" s="498">
        <f t="shared" si="143"/>
        <v>59.2</v>
      </c>
      <c r="AA162" s="498">
        <f t="shared" si="143"/>
        <v>60.4</v>
      </c>
      <c r="AB162" s="498">
        <f t="shared" si="143"/>
        <v>71.599999999999994</v>
      </c>
      <c r="AC162" s="498">
        <f t="shared" si="143"/>
        <v>255.70000000000002</v>
      </c>
      <c r="AD162" s="498">
        <f t="shared" si="143"/>
        <v>74.199999999999989</v>
      </c>
      <c r="AE162" s="498">
        <f t="shared" si="143"/>
        <v>75</v>
      </c>
      <c r="AF162" s="498">
        <f t="shared" si="143"/>
        <v>75.599999999999994</v>
      </c>
      <c r="AG162" s="498">
        <f t="shared" si="143"/>
        <v>77.099999999999994</v>
      </c>
      <c r="AH162" s="498">
        <f t="shared" si="143"/>
        <v>301.89999999999998</v>
      </c>
      <c r="AI162" s="498">
        <f t="shared" si="143"/>
        <v>77.3</v>
      </c>
      <c r="AJ162" s="498">
        <f t="shared" si="143"/>
        <v>74.699999999999989</v>
      </c>
      <c r="AK162" s="498">
        <f t="shared" si="143"/>
        <v>74.5</v>
      </c>
      <c r="AL162" s="498">
        <f t="shared" si="143"/>
        <v>73</v>
      </c>
      <c r="AM162" s="498">
        <f t="shared" si="143"/>
        <v>299.5</v>
      </c>
      <c r="AN162" s="498">
        <f t="shared" si="143"/>
        <v>72.5</v>
      </c>
      <c r="AO162" s="498">
        <f t="shared" si="143"/>
        <v>79.400000000000006</v>
      </c>
      <c r="AP162" s="498">
        <f t="shared" si="143"/>
        <v>74.400000000000006</v>
      </c>
      <c r="AQ162" s="498">
        <f t="shared" si="143"/>
        <v>84.2</v>
      </c>
      <c r="AR162" s="498">
        <f t="shared" si="143"/>
        <v>310.5</v>
      </c>
      <c r="AS162" s="498">
        <f t="shared" si="143"/>
        <v>79.7</v>
      </c>
      <c r="AT162" s="498">
        <v>81.7</v>
      </c>
      <c r="AU162" s="604">
        <v>80.900000000000006</v>
      </c>
      <c r="AV162" s="498">
        <f>SUM(AV160:AV161)</f>
        <v>77.099999999999994</v>
      </c>
      <c r="AW162" s="498">
        <f>SUM(AW160:AW161)</f>
        <v>319.39999999999998</v>
      </c>
      <c r="AX162" s="498">
        <f>+AX161+AX160</f>
        <v>84.9</v>
      </c>
      <c r="AY162" s="498">
        <f t="shared" ref="AY162:BV162" si="144">SUM(AY160:AY161)</f>
        <v>88.1</v>
      </c>
      <c r="AZ162" s="498">
        <f t="shared" si="144"/>
        <v>90.6</v>
      </c>
      <c r="BA162" s="498">
        <f t="shared" si="144"/>
        <v>93.4</v>
      </c>
      <c r="BB162" s="708">
        <f t="shared" si="144"/>
        <v>357.00000000000006</v>
      </c>
      <c r="BC162" s="708">
        <f t="shared" si="144"/>
        <v>96</v>
      </c>
      <c r="BD162" s="708">
        <f t="shared" si="144"/>
        <v>96.699999999999989</v>
      </c>
      <c r="BE162" s="708">
        <f t="shared" si="144"/>
        <v>94.399999999999991</v>
      </c>
      <c r="BF162" s="708">
        <f t="shared" si="144"/>
        <v>88.800000000000011</v>
      </c>
      <c r="BG162" s="708">
        <f t="shared" si="144"/>
        <v>375.9</v>
      </c>
      <c r="BH162" s="708">
        <f t="shared" si="144"/>
        <v>95.6</v>
      </c>
      <c r="BI162" s="708">
        <f t="shared" si="144"/>
        <v>92.1</v>
      </c>
      <c r="BJ162" s="708">
        <f t="shared" si="144"/>
        <v>88.5</v>
      </c>
      <c r="BK162" s="708">
        <f t="shared" si="144"/>
        <v>99.6</v>
      </c>
      <c r="BL162" s="708">
        <f t="shared" si="144"/>
        <v>375.79999999999995</v>
      </c>
      <c r="BM162" s="708">
        <f t="shared" si="144"/>
        <v>88.9</v>
      </c>
      <c r="BN162" s="708">
        <f t="shared" si="144"/>
        <v>88</v>
      </c>
      <c r="BO162" s="708">
        <f t="shared" si="144"/>
        <v>77.300000000000011</v>
      </c>
      <c r="BP162" s="708">
        <f t="shared" si="144"/>
        <v>83.1</v>
      </c>
      <c r="BQ162" s="708">
        <f t="shared" si="144"/>
        <v>337.3</v>
      </c>
      <c r="BR162" s="708">
        <f t="shared" si="144"/>
        <v>79.3</v>
      </c>
      <c r="BS162" s="708">
        <f t="shared" si="144"/>
        <v>81.8</v>
      </c>
      <c r="BT162" s="708">
        <f t="shared" si="144"/>
        <v>81.5</v>
      </c>
      <c r="BU162" s="708">
        <f t="shared" si="144"/>
        <v>79.100000000000009</v>
      </c>
      <c r="BV162" s="708">
        <f t="shared" si="144"/>
        <v>321.7</v>
      </c>
      <c r="BW162" s="708">
        <v>76.7</v>
      </c>
      <c r="BX162" s="708">
        <f t="shared" ref="BX162:CL162" si="145">SUM(BX160:BX161)</f>
        <v>87.8</v>
      </c>
      <c r="BY162" s="708">
        <f t="shared" si="145"/>
        <v>82.699999999999989</v>
      </c>
      <c r="BZ162" s="708">
        <f t="shared" si="145"/>
        <v>96.399999999999991</v>
      </c>
      <c r="CA162" s="708">
        <f t="shared" si="145"/>
        <v>343.59999999999997</v>
      </c>
      <c r="CB162" s="708">
        <f t="shared" si="145"/>
        <v>90.1</v>
      </c>
      <c r="CC162" s="708">
        <f t="shared" si="145"/>
        <v>91.7</v>
      </c>
      <c r="CD162" s="708">
        <f t="shared" si="145"/>
        <v>90.399999999999991</v>
      </c>
      <c r="CE162" s="708">
        <f t="shared" si="145"/>
        <v>97.7</v>
      </c>
      <c r="CF162" s="708">
        <f t="shared" si="145"/>
        <v>369.9</v>
      </c>
      <c r="CG162" s="708">
        <f t="shared" si="145"/>
        <v>107.80000000000001</v>
      </c>
      <c r="CH162" s="708">
        <f t="shared" si="145"/>
        <v>111.8</v>
      </c>
      <c r="CI162" s="708">
        <f t="shared" si="145"/>
        <v>109.80000000000001</v>
      </c>
      <c r="CJ162" s="708">
        <f t="shared" si="145"/>
        <v>115.3</v>
      </c>
      <c r="CK162" s="708">
        <f t="shared" si="145"/>
        <v>444.70000000000005</v>
      </c>
      <c r="CL162" s="604">
        <f t="shared" si="145"/>
        <v>111.6</v>
      </c>
      <c r="CM162" s="604"/>
      <c r="CN162" s="604"/>
      <c r="CO162" s="604"/>
    </row>
    <row r="163" spans="1:97" ht="15" thickBot="1">
      <c r="AU163" s="604"/>
      <c r="BF163" s="604"/>
    </row>
    <row r="164" spans="1:97" hidden="1" outlineLevel="1">
      <c r="B164" s="498" t="s">
        <v>105</v>
      </c>
      <c r="C164" s="613">
        <v>66.400000000000006</v>
      </c>
      <c r="D164" s="613">
        <v>85.2</v>
      </c>
      <c r="E164" s="613">
        <v>166.4</v>
      </c>
      <c r="F164" s="613">
        <v>181.2</v>
      </c>
      <c r="G164" s="613">
        <v>77</v>
      </c>
      <c r="H164" s="613">
        <v>58.3</v>
      </c>
      <c r="I164" s="613">
        <v>52.8</v>
      </c>
      <c r="J164" s="613">
        <v>15.8</v>
      </c>
      <c r="K164" s="613">
        <v>15.5</v>
      </c>
      <c r="L164" s="613">
        <v>16.600000000000001</v>
      </c>
      <c r="M164" s="613">
        <f>N164-SUM(J164:L164)</f>
        <v>16.569999999999993</v>
      </c>
      <c r="N164" s="613">
        <v>64.47</v>
      </c>
      <c r="O164" s="613">
        <v>16.8</v>
      </c>
      <c r="P164" s="613">
        <v>15.4</v>
      </c>
      <c r="Q164" s="613">
        <v>12.4</v>
      </c>
      <c r="R164" s="613">
        <f>S164-SUM(O164:Q164)</f>
        <v>12.299999999999997</v>
      </c>
      <c r="S164" s="613">
        <v>56.9</v>
      </c>
      <c r="T164" s="613">
        <v>14.1</v>
      </c>
      <c r="U164" s="613">
        <v>13</v>
      </c>
      <c r="V164" s="613">
        <v>12.7</v>
      </c>
      <c r="W164" s="613">
        <f>X164-SUM(T164:V164)</f>
        <v>12</v>
      </c>
      <c r="X164" s="613">
        <v>51.8</v>
      </c>
      <c r="Y164" s="613"/>
      <c r="Z164" s="613"/>
      <c r="AA164" s="613"/>
      <c r="AB164" s="613"/>
      <c r="AC164" s="613"/>
      <c r="AD164" s="613"/>
      <c r="AE164" s="613"/>
      <c r="AF164" s="613"/>
      <c r="AG164" s="613"/>
      <c r="AH164" s="613"/>
      <c r="AI164" s="613"/>
      <c r="AJ164" s="613"/>
      <c r="AK164" s="613"/>
      <c r="AQ164" s="613"/>
      <c r="AU164" s="604"/>
      <c r="BF164" s="604"/>
    </row>
    <row r="165" spans="1:97" collapsed="1">
      <c r="B165" s="526" t="s">
        <v>93</v>
      </c>
      <c r="C165" s="526">
        <f t="shared" ref="C165:X165" si="146">C154+C158+C162+C164</f>
        <v>936.9</v>
      </c>
      <c r="D165" s="526">
        <f t="shared" si="146"/>
        <v>1089</v>
      </c>
      <c r="E165" s="526">
        <f t="shared" si="146"/>
        <v>1151.5000000000002</v>
      </c>
      <c r="F165" s="526">
        <f t="shared" si="146"/>
        <v>1055.7</v>
      </c>
      <c r="G165" s="526">
        <f t="shared" si="146"/>
        <v>1009.3999999999999</v>
      </c>
      <c r="H165" s="526">
        <f t="shared" si="146"/>
        <v>850.8</v>
      </c>
      <c r="I165" s="526">
        <f t="shared" si="146"/>
        <v>896.89999999999986</v>
      </c>
      <c r="J165" s="526">
        <f t="shared" si="146"/>
        <v>262.8</v>
      </c>
      <c r="K165" s="526">
        <f t="shared" si="146"/>
        <v>272.2</v>
      </c>
      <c r="L165" s="526">
        <f t="shared" si="146"/>
        <v>263.10000000000002</v>
      </c>
      <c r="M165" s="526">
        <f t="shared" si="146"/>
        <v>276.39999999999992</v>
      </c>
      <c r="N165" s="526">
        <f t="shared" si="146"/>
        <v>1074.5</v>
      </c>
      <c r="O165" s="526">
        <f t="shared" si="146"/>
        <v>290.60000000000002</v>
      </c>
      <c r="P165" s="526">
        <f t="shared" si="146"/>
        <v>311.3</v>
      </c>
      <c r="Q165" s="526">
        <f t="shared" si="146"/>
        <v>276.59999999999997</v>
      </c>
      <c r="R165" s="526">
        <f t="shared" si="146"/>
        <v>282.89999999999998</v>
      </c>
      <c r="S165" s="526">
        <f t="shared" si="146"/>
        <v>1161.4000000000001</v>
      </c>
      <c r="T165" s="526">
        <f t="shared" si="146"/>
        <v>307</v>
      </c>
      <c r="U165" s="526">
        <f t="shared" si="146"/>
        <v>316</v>
      </c>
      <c r="V165" s="526">
        <f t="shared" si="146"/>
        <v>289.09999999999997</v>
      </c>
      <c r="W165" s="526">
        <f t="shared" si="146"/>
        <v>281.00000000000006</v>
      </c>
      <c r="X165" s="526">
        <f t="shared" si="146"/>
        <v>1193.0999999999999</v>
      </c>
      <c r="Y165" s="526">
        <f t="shared" ref="Y165:BD165" si="147">Y154+Y158+Y162</f>
        <v>282.60000000000002</v>
      </c>
      <c r="Z165" s="526">
        <f t="shared" si="147"/>
        <v>289.79999999999995</v>
      </c>
      <c r="AA165" s="526">
        <f t="shared" si="147"/>
        <v>281.09999999999997</v>
      </c>
      <c r="AB165" s="526">
        <f t="shared" si="147"/>
        <v>317.60000000000002</v>
      </c>
      <c r="AC165" s="526">
        <f t="shared" si="147"/>
        <v>1171.1000000000001</v>
      </c>
      <c r="AD165" s="526">
        <f t="shared" si="147"/>
        <v>344.5</v>
      </c>
      <c r="AE165" s="526">
        <f t="shared" si="147"/>
        <v>359.5</v>
      </c>
      <c r="AF165" s="526">
        <f t="shared" si="147"/>
        <v>331.4</v>
      </c>
      <c r="AG165" s="526">
        <f t="shared" si="147"/>
        <v>289.5</v>
      </c>
      <c r="AH165" s="526">
        <f t="shared" si="147"/>
        <v>1324.9</v>
      </c>
      <c r="AI165" s="526">
        <f t="shared" si="147"/>
        <v>307.3</v>
      </c>
      <c r="AJ165" s="526">
        <f t="shared" si="147"/>
        <v>277.3</v>
      </c>
      <c r="AK165" s="526">
        <f t="shared" si="147"/>
        <v>257.10000000000002</v>
      </c>
      <c r="AL165" s="526">
        <f t="shared" si="147"/>
        <v>266.60000000000002</v>
      </c>
      <c r="AM165" s="526">
        <f t="shared" si="147"/>
        <v>1108.3</v>
      </c>
      <c r="AN165" s="526">
        <f t="shared" si="147"/>
        <v>263</v>
      </c>
      <c r="AO165" s="526">
        <f t="shared" si="147"/>
        <v>305.10000000000002</v>
      </c>
      <c r="AP165" s="526">
        <f t="shared" si="147"/>
        <v>294.5</v>
      </c>
      <c r="AQ165" s="526">
        <f t="shared" si="147"/>
        <v>311</v>
      </c>
      <c r="AR165" s="526">
        <f t="shared" si="147"/>
        <v>1173.5999999999999</v>
      </c>
      <c r="AS165" s="526">
        <f t="shared" si="147"/>
        <v>331.6</v>
      </c>
      <c r="AT165" s="526">
        <f t="shared" si="147"/>
        <v>353.7</v>
      </c>
      <c r="AU165" s="603">
        <f t="shared" si="147"/>
        <v>351.79999999999995</v>
      </c>
      <c r="AV165" s="526">
        <f t="shared" si="147"/>
        <v>355.29999999999995</v>
      </c>
      <c r="AW165" s="526">
        <f t="shared" si="147"/>
        <v>1392.4</v>
      </c>
      <c r="AX165" s="526">
        <f t="shared" si="147"/>
        <v>400.1</v>
      </c>
      <c r="AY165" s="526">
        <f t="shared" si="147"/>
        <v>399.20000000000005</v>
      </c>
      <c r="AZ165" s="617">
        <f t="shared" si="147"/>
        <v>391.6</v>
      </c>
      <c r="BA165" s="617">
        <f t="shared" si="147"/>
        <v>387.29999999999995</v>
      </c>
      <c r="BB165" s="712">
        <f t="shared" si="147"/>
        <v>1578.2</v>
      </c>
      <c r="BC165" s="712">
        <f t="shared" si="147"/>
        <v>416.5</v>
      </c>
      <c r="BD165" s="712">
        <f t="shared" si="147"/>
        <v>422.59999999999997</v>
      </c>
      <c r="BE165" s="712">
        <f t="shared" ref="BE165:CL165" si="148">BE154+BE158+BE162</f>
        <v>412.29999999999995</v>
      </c>
      <c r="BF165" s="712">
        <f t="shared" si="148"/>
        <v>426.8</v>
      </c>
      <c r="BG165" s="712">
        <f t="shared" si="148"/>
        <v>1678.1999999999998</v>
      </c>
      <c r="BH165" s="712">
        <f t="shared" si="148"/>
        <v>461.70000000000005</v>
      </c>
      <c r="BI165" s="712">
        <f t="shared" si="148"/>
        <v>470.1</v>
      </c>
      <c r="BJ165" s="712">
        <f t="shared" si="148"/>
        <v>451.9</v>
      </c>
      <c r="BK165" s="712">
        <f t="shared" si="148"/>
        <v>471.79999999999995</v>
      </c>
      <c r="BL165" s="712">
        <f t="shared" si="148"/>
        <v>1855.5000000000002</v>
      </c>
      <c r="BM165" s="712">
        <f t="shared" si="148"/>
        <v>471.80000000000007</v>
      </c>
      <c r="BN165" s="712">
        <f t="shared" si="148"/>
        <v>475.7</v>
      </c>
      <c r="BO165" s="712">
        <f t="shared" si="148"/>
        <v>448.8</v>
      </c>
      <c r="BP165" s="712">
        <f t="shared" si="148"/>
        <v>464.9</v>
      </c>
      <c r="BQ165" s="712">
        <f t="shared" si="148"/>
        <v>1861.2</v>
      </c>
      <c r="BR165" s="712">
        <f t="shared" si="148"/>
        <v>497.7</v>
      </c>
      <c r="BS165" s="712">
        <f t="shared" si="148"/>
        <v>522.6</v>
      </c>
      <c r="BT165" s="712">
        <f t="shared" si="148"/>
        <v>500.5</v>
      </c>
      <c r="BU165" s="712">
        <f t="shared" si="148"/>
        <v>483.5</v>
      </c>
      <c r="BV165" s="712">
        <f t="shared" si="148"/>
        <v>2004.3</v>
      </c>
      <c r="BW165" s="712">
        <f t="shared" si="148"/>
        <v>478.79999999999995</v>
      </c>
      <c r="BX165" s="712">
        <f t="shared" si="148"/>
        <v>491.3</v>
      </c>
      <c r="BY165" s="712">
        <f t="shared" si="148"/>
        <v>491.5</v>
      </c>
      <c r="BZ165" s="712">
        <f t="shared" si="148"/>
        <v>511.7</v>
      </c>
      <c r="CA165" s="712">
        <f t="shared" si="148"/>
        <v>1973.2999999999997</v>
      </c>
      <c r="CB165" s="712">
        <f t="shared" si="148"/>
        <v>540.1</v>
      </c>
      <c r="CC165" s="712">
        <f t="shared" si="148"/>
        <v>547.5</v>
      </c>
      <c r="CD165" s="712">
        <f t="shared" si="148"/>
        <v>540.5</v>
      </c>
      <c r="CE165" s="712">
        <f t="shared" si="148"/>
        <v>561</v>
      </c>
      <c r="CF165" s="712">
        <f t="shared" si="148"/>
        <v>2189.1</v>
      </c>
      <c r="CG165" s="712">
        <f t="shared" si="148"/>
        <v>609.90000000000009</v>
      </c>
      <c r="CH165" s="712">
        <f t="shared" si="148"/>
        <v>609</v>
      </c>
      <c r="CI165" s="712">
        <f t="shared" si="148"/>
        <v>572.5</v>
      </c>
      <c r="CJ165" s="712">
        <f t="shared" si="148"/>
        <v>564.30000000000007</v>
      </c>
      <c r="CK165" s="712">
        <f t="shared" si="148"/>
        <v>2355.6999999999998</v>
      </c>
      <c r="CL165" s="618">
        <f t="shared" si="148"/>
        <v>541</v>
      </c>
      <c r="CM165" s="603"/>
      <c r="CN165" s="603"/>
      <c r="CO165" s="603"/>
    </row>
    <row r="166" spans="1:97" ht="5.25" customHeight="1">
      <c r="C166" s="628"/>
      <c r="D166" s="628"/>
      <c r="E166" s="628"/>
      <c r="F166" s="628"/>
      <c r="G166" s="628"/>
      <c r="H166" s="628"/>
      <c r="I166" s="628"/>
      <c r="J166" s="628"/>
      <c r="K166" s="628"/>
      <c r="L166" s="628"/>
      <c r="M166" s="628"/>
      <c r="N166" s="628"/>
      <c r="O166" s="628"/>
      <c r="P166" s="628"/>
      <c r="Q166" s="628"/>
      <c r="R166" s="628"/>
      <c r="S166" s="628"/>
      <c r="T166" s="628"/>
      <c r="U166" s="628"/>
      <c r="V166" s="628"/>
      <c r="W166" s="628"/>
      <c r="X166" s="628"/>
      <c r="Y166" s="628"/>
      <c r="Z166" s="628"/>
      <c r="AA166" s="628"/>
      <c r="AB166" s="628"/>
      <c r="AC166" s="628"/>
      <c r="AD166" s="628"/>
      <c r="AE166" s="628"/>
      <c r="AF166" s="628"/>
      <c r="AG166" s="628"/>
      <c r="AH166" s="628"/>
      <c r="AI166" s="628"/>
      <c r="AJ166" s="628"/>
      <c r="AK166" s="628"/>
    </row>
    <row r="167" spans="1:97">
      <c r="B167" s="678" t="s">
        <v>573</v>
      </c>
      <c r="C167" s="679">
        <v>1997</v>
      </c>
      <c r="D167" s="679">
        <v>1998</v>
      </c>
      <c r="E167" s="679">
        <v>1999</v>
      </c>
      <c r="F167" s="679">
        <v>2000</v>
      </c>
      <c r="G167" s="679">
        <v>2001</v>
      </c>
      <c r="H167" s="679">
        <v>2002</v>
      </c>
      <c r="I167" s="679">
        <v>2003</v>
      </c>
      <c r="J167" s="680" t="s">
        <v>0</v>
      </c>
      <c r="K167" s="680" t="s">
        <v>1</v>
      </c>
      <c r="L167" s="680" t="s">
        <v>2</v>
      </c>
      <c r="M167" s="680" t="s">
        <v>3</v>
      </c>
      <c r="N167" s="679">
        <v>2004</v>
      </c>
      <c r="O167" s="680" t="s">
        <v>4</v>
      </c>
      <c r="P167" s="680" t="s">
        <v>5</v>
      </c>
      <c r="Q167" s="680" t="s">
        <v>6</v>
      </c>
      <c r="R167" s="680" t="s">
        <v>7</v>
      </c>
      <c r="S167" s="679">
        <v>2005</v>
      </c>
      <c r="T167" s="680" t="s">
        <v>8</v>
      </c>
      <c r="U167" s="680" t="s">
        <v>9</v>
      </c>
      <c r="V167" s="680" t="s">
        <v>10</v>
      </c>
      <c r="W167" s="680" t="s">
        <v>11</v>
      </c>
      <c r="X167" s="679">
        <v>2006</v>
      </c>
      <c r="Y167" s="680" t="s">
        <v>12</v>
      </c>
      <c r="Z167" s="680" t="s">
        <v>13</v>
      </c>
      <c r="AA167" s="680" t="s">
        <v>14</v>
      </c>
      <c r="AB167" s="680" t="s">
        <v>15</v>
      </c>
      <c r="AC167" s="679">
        <v>2007</v>
      </c>
      <c r="AD167" s="680" t="s">
        <v>16</v>
      </c>
      <c r="AE167" s="680" t="s">
        <v>17</v>
      </c>
      <c r="AF167" s="680" t="s">
        <v>18</v>
      </c>
      <c r="AG167" s="680" t="s">
        <v>19</v>
      </c>
      <c r="AH167" s="679">
        <v>2008</v>
      </c>
      <c r="AI167" s="680" t="s">
        <v>20</v>
      </c>
      <c r="AJ167" s="680" t="s">
        <v>21</v>
      </c>
      <c r="AK167" s="680" t="s">
        <v>22</v>
      </c>
      <c r="AL167" s="680" t="s">
        <v>23</v>
      </c>
      <c r="AM167" s="679">
        <v>2009</v>
      </c>
      <c r="AN167" s="680" t="s">
        <v>208</v>
      </c>
      <c r="AO167" s="680" t="s">
        <v>209</v>
      </c>
      <c r="AP167" s="680" t="s">
        <v>210</v>
      </c>
      <c r="AQ167" s="680" t="s">
        <v>211</v>
      </c>
      <c r="AR167" s="679">
        <v>2010</v>
      </c>
      <c r="AS167" s="680" t="s">
        <v>212</v>
      </c>
      <c r="AT167" s="680" t="s">
        <v>213</v>
      </c>
      <c r="AU167" s="680" t="s">
        <v>214</v>
      </c>
      <c r="AV167" s="680" t="s">
        <v>215</v>
      </c>
      <c r="AW167" s="679">
        <v>2011</v>
      </c>
      <c r="AX167" s="680" t="s">
        <v>282</v>
      </c>
      <c r="AY167" s="680" t="s">
        <v>283</v>
      </c>
      <c r="AZ167" s="680" t="s">
        <v>284</v>
      </c>
      <c r="BA167" s="680" t="s">
        <v>285</v>
      </c>
      <c r="BB167" s="679">
        <v>2012</v>
      </c>
      <c r="BC167" s="680" t="s">
        <v>308</v>
      </c>
      <c r="BD167" s="680" t="s">
        <v>309</v>
      </c>
      <c r="BE167" s="680" t="s">
        <v>310</v>
      </c>
      <c r="BF167" s="680" t="s">
        <v>311</v>
      </c>
      <c r="BG167" s="679">
        <v>2013</v>
      </c>
      <c r="BH167" s="680" t="s">
        <v>312</v>
      </c>
      <c r="BI167" s="680" t="s">
        <v>313</v>
      </c>
      <c r="BJ167" s="680" t="s">
        <v>314</v>
      </c>
      <c r="BK167" s="680" t="s">
        <v>315</v>
      </c>
      <c r="BL167" s="679">
        <v>2014</v>
      </c>
      <c r="BM167" s="680" t="s">
        <v>382</v>
      </c>
      <c r="BN167" s="680" t="s">
        <v>383</v>
      </c>
      <c r="BO167" s="680" t="s">
        <v>384</v>
      </c>
      <c r="BP167" s="680" t="s">
        <v>385</v>
      </c>
      <c r="BQ167" s="679">
        <v>2015</v>
      </c>
      <c r="BR167" s="680" t="s">
        <v>386</v>
      </c>
      <c r="BS167" s="680" t="s">
        <v>387</v>
      </c>
      <c r="BT167" s="680" t="s">
        <v>388</v>
      </c>
      <c r="BU167" s="680" t="s">
        <v>389</v>
      </c>
      <c r="BV167" s="679">
        <v>2016</v>
      </c>
      <c r="BW167" s="680" t="s">
        <v>390</v>
      </c>
      <c r="BX167" s="680" t="s">
        <v>391</v>
      </c>
      <c r="BY167" s="680" t="s">
        <v>392</v>
      </c>
      <c r="BZ167" s="680" t="s">
        <v>393</v>
      </c>
      <c r="CA167" s="679">
        <v>2017</v>
      </c>
      <c r="CB167" s="680" t="s">
        <v>445</v>
      </c>
      <c r="CC167" s="680" t="s">
        <v>446</v>
      </c>
      <c r="CD167" s="680" t="s">
        <v>447</v>
      </c>
      <c r="CE167" s="680" t="s">
        <v>448</v>
      </c>
      <c r="CF167" s="679">
        <v>2018</v>
      </c>
      <c r="CG167" s="680" t="s">
        <v>459</v>
      </c>
      <c r="CH167" s="680" t="s">
        <v>460</v>
      </c>
      <c r="CI167" s="680" t="s">
        <v>461</v>
      </c>
      <c r="CJ167" s="680" t="s">
        <v>462</v>
      </c>
      <c r="CK167" s="679">
        <v>2019</v>
      </c>
    </row>
    <row r="168" spans="1:97">
      <c r="B168" s="681" t="s">
        <v>187</v>
      </c>
      <c r="C168" s="641"/>
      <c r="D168" s="641"/>
      <c r="E168" s="641"/>
      <c r="F168" s="641"/>
      <c r="G168" s="641"/>
      <c r="H168" s="641"/>
      <c r="I168" s="641"/>
      <c r="J168" s="641"/>
      <c r="K168" s="641"/>
      <c r="L168" s="641"/>
      <c r="M168" s="641"/>
      <c r="N168" s="641"/>
      <c r="O168" s="641"/>
      <c r="P168" s="641"/>
      <c r="Q168" s="642"/>
      <c r="R168" s="641"/>
      <c r="S168" s="641"/>
      <c r="T168" s="641"/>
      <c r="U168" s="641"/>
      <c r="V168" s="641"/>
      <c r="W168" s="641"/>
      <c r="X168" s="641"/>
      <c r="Y168" s="641"/>
      <c r="Z168" s="641"/>
      <c r="AA168" s="641"/>
      <c r="AB168" s="641"/>
      <c r="AC168" s="641"/>
      <c r="AD168" s="641"/>
      <c r="AE168" s="641"/>
      <c r="AF168" s="641"/>
      <c r="AG168" s="641"/>
      <c r="AH168" s="641"/>
      <c r="AI168" s="641"/>
      <c r="AJ168" s="641"/>
      <c r="AK168" s="641"/>
      <c r="AS168" s="643"/>
    </row>
    <row r="169" spans="1:97" s="529" customFormat="1">
      <c r="A169" s="498"/>
      <c r="B169" s="606" t="s">
        <v>188</v>
      </c>
      <c r="C169" s="529">
        <f>598.555/936.855</f>
        <v>0.63889822864797641</v>
      </c>
      <c r="D169" s="529">
        <f>687.566/1089.044</f>
        <v>0.63134822835440985</v>
      </c>
      <c r="E169" s="529">
        <f>785.2/896.9</f>
        <v>0.87545991749358909</v>
      </c>
      <c r="F169" s="529">
        <f>650.7/1055.7</f>
        <v>0.61636828644501285</v>
      </c>
      <c r="G169" s="529">
        <f>595.1/1009.4</f>
        <v>0.58955815335843076</v>
      </c>
      <c r="H169" s="529">
        <f>479.5/850.8</f>
        <v>0.56358721203573114</v>
      </c>
      <c r="I169" s="529">
        <f>489.4/896.9</f>
        <v>0.54565726390901992</v>
      </c>
      <c r="N169" s="529">
        <f>603/1074.5</f>
        <v>0.56119125174499762</v>
      </c>
      <c r="Q169" s="644"/>
      <c r="S169" s="529">
        <f>618.5/1161.4</f>
        <v>0.53254692612364385</v>
      </c>
      <c r="X169" s="529">
        <f>614.4/1193.1</f>
        <v>0.51496102589891879</v>
      </c>
      <c r="AC169" s="529">
        <f>552.2/1171.1</f>
        <v>0.47152250021347458</v>
      </c>
      <c r="AH169" s="529">
        <f>640.4/1324.9</f>
        <v>0.48335723450826473</v>
      </c>
      <c r="AM169" s="529">
        <f>532.6/$AM$6</f>
        <v>0.48055580618965976</v>
      </c>
      <c r="AR169" s="529">
        <f>614.8/$AR$6</f>
        <v>0.52385821404226307</v>
      </c>
      <c r="AS169" s="643"/>
      <c r="AW169" s="529">
        <v>0.52</v>
      </c>
      <c r="BB169" s="719">
        <f>801.4/BB6</f>
        <v>0.50779368901279931</v>
      </c>
      <c r="BC169" s="590"/>
      <c r="BD169" s="590"/>
      <c r="BE169" s="590"/>
      <c r="BF169" s="590"/>
      <c r="BG169" s="719">
        <f>871/BG6</f>
        <v>0.51900846144678825</v>
      </c>
      <c r="BH169" s="590"/>
      <c r="BI169" s="590"/>
      <c r="BJ169" s="590"/>
      <c r="BK169" s="590"/>
      <c r="BL169" s="719">
        <f>933.2/1855.5</f>
        <v>0.50293721368903266</v>
      </c>
      <c r="BM169" s="590"/>
      <c r="BN169" s="590"/>
      <c r="BO169" s="590"/>
      <c r="BP169" s="590"/>
      <c r="BQ169" s="719">
        <f>955.4/$BQ$6</f>
        <v>0.51332473672899204</v>
      </c>
      <c r="BR169" s="590"/>
      <c r="BS169" s="590"/>
      <c r="BT169" s="590"/>
      <c r="BU169" s="590"/>
      <c r="BV169" s="719">
        <f>957.8/$BV$6</f>
        <v>0.47787257396597316</v>
      </c>
      <c r="BW169" s="590"/>
      <c r="BX169" s="590"/>
      <c r="BY169" s="590"/>
      <c r="BZ169" s="590"/>
      <c r="CA169" s="719">
        <f>937.3/CA$6</f>
        <v>0.47499113160695283</v>
      </c>
      <c r="CB169" s="590"/>
      <c r="CC169" s="590"/>
      <c r="CD169" s="590"/>
      <c r="CE169" s="590"/>
      <c r="CF169" s="719">
        <f>1055.9/CF$6</f>
        <v>0.48234434242382723</v>
      </c>
      <c r="CG169" s="590"/>
      <c r="CH169" s="590"/>
      <c r="CI169" s="590"/>
      <c r="CJ169" s="590"/>
      <c r="CK169" s="719">
        <f>1246.9/CK$6</f>
        <v>0.52931188181856781</v>
      </c>
      <c r="CP169" s="645">
        <f>+CK169</f>
        <v>0.52931188181856781</v>
      </c>
      <c r="CQ169" s="645">
        <f t="shared" ref="CQ169:CS176" si="149">+CP169</f>
        <v>0.52931188181856781</v>
      </c>
      <c r="CR169" s="645">
        <f t="shared" si="149"/>
        <v>0.52931188181856781</v>
      </c>
      <c r="CS169" s="645">
        <f t="shared" si="149"/>
        <v>0.52931188181856781</v>
      </c>
    </row>
    <row r="170" spans="1:97" s="529" customFormat="1">
      <c r="A170" s="498"/>
      <c r="B170" s="606" t="s">
        <v>206</v>
      </c>
      <c r="D170" s="529">
        <f>65.999/1089.044</f>
        <v>6.060269373872864E-2</v>
      </c>
      <c r="E170" s="529">
        <f>50/896.9</f>
        <v>5.5747574980488351E-2</v>
      </c>
      <c r="F170" s="529">
        <f>75/1055.7</f>
        <v>7.1042909917590227E-2</v>
      </c>
      <c r="G170" s="529">
        <f>71.5/1009.4</f>
        <v>7.0834158906280961E-2</v>
      </c>
      <c r="H170" s="529">
        <f>60.5/850.8</f>
        <v>7.1109543958627175E-2</v>
      </c>
      <c r="I170" s="529">
        <f>74.7/896.9</f>
        <v>8.3286877020849595E-2</v>
      </c>
      <c r="N170" s="529">
        <f>91.3/1074.5</f>
        <v>8.4969753373662166E-2</v>
      </c>
      <c r="Q170" s="644"/>
      <c r="S170" s="529">
        <f>96.3/1161.4</f>
        <v>8.2917168934045105E-2</v>
      </c>
      <c r="X170" s="529">
        <f>96.4/1193.1</f>
        <v>8.0797921381275672E-2</v>
      </c>
      <c r="AC170" s="529">
        <f>100.8/1171.1</f>
        <v>8.6072922893006582E-2</v>
      </c>
      <c r="AH170" s="529">
        <f>111.5/1324.9</f>
        <v>8.4157294890180381E-2</v>
      </c>
      <c r="AM170" s="529">
        <f>79.8/$AM$6</f>
        <v>7.2002165478660993E-2</v>
      </c>
      <c r="AR170" s="529">
        <f>85.9/$AR$6</f>
        <v>7.3193592365371513E-2</v>
      </c>
      <c r="AS170" s="643"/>
      <c r="AW170" s="529">
        <f>102.1/AW6</f>
        <v>7.3326630278655561E-2</v>
      </c>
      <c r="BB170" s="719">
        <f>114.7/BB6</f>
        <v>7.2677734127487015E-2</v>
      </c>
      <c r="BC170" s="590"/>
      <c r="BD170" s="590"/>
      <c r="BE170" s="590"/>
      <c r="BF170" s="590"/>
      <c r="BG170" s="719">
        <f>110.9/BG6</f>
        <v>6.6082707662972237E-2</v>
      </c>
      <c r="BH170" s="590"/>
      <c r="BI170" s="590"/>
      <c r="BJ170" s="590"/>
      <c r="BK170" s="590"/>
      <c r="BL170" s="719">
        <f>135.8/1855.5</f>
        <v>7.3187819994610617E-2</v>
      </c>
      <c r="BM170" s="590"/>
      <c r="BN170" s="590"/>
      <c r="BO170" s="590"/>
      <c r="BP170" s="590"/>
      <c r="BQ170" s="719">
        <f>125.1/$BQ$6</f>
        <v>6.7214700193423599E-2</v>
      </c>
      <c r="BR170" s="590"/>
      <c r="BS170" s="590"/>
      <c r="BT170" s="590"/>
      <c r="BU170" s="590"/>
      <c r="BV170" s="719">
        <f>154.2/$BV$6</f>
        <v>7.6934590630145183E-2</v>
      </c>
      <c r="BW170" s="590"/>
      <c r="BX170" s="590"/>
      <c r="BY170" s="590"/>
      <c r="BZ170" s="590"/>
      <c r="CA170" s="719">
        <f>160.4/CA$6</f>
        <v>8.1285156843865614E-2</v>
      </c>
      <c r="CB170" s="590"/>
      <c r="CC170" s="590"/>
      <c r="CD170" s="590"/>
      <c r="CE170" s="590"/>
      <c r="CF170" s="719">
        <f>167.3/CF$6</f>
        <v>7.6424101228815502E-2</v>
      </c>
      <c r="CG170" s="590"/>
      <c r="CH170" s="590"/>
      <c r="CI170" s="590"/>
      <c r="CJ170" s="590"/>
      <c r="CK170" s="719">
        <f>168.9/CK$6</f>
        <v>7.1698433586619703E-2</v>
      </c>
      <c r="CP170" s="645">
        <f>+CK170</f>
        <v>7.1698433586619703E-2</v>
      </c>
      <c r="CQ170" s="645">
        <f t="shared" si="149"/>
        <v>7.1698433586619703E-2</v>
      </c>
      <c r="CR170" s="645">
        <f t="shared" si="149"/>
        <v>7.1698433586619703E-2</v>
      </c>
      <c r="CS170" s="645">
        <f t="shared" si="149"/>
        <v>7.1698433586619703E-2</v>
      </c>
    </row>
    <row r="171" spans="1:97" s="529" customFormat="1">
      <c r="A171" s="498"/>
      <c r="B171" s="606" t="s">
        <v>538</v>
      </c>
      <c r="D171" s="529">
        <f>178.878/1089.044</f>
        <v>0.1642523167108032</v>
      </c>
      <c r="E171" s="529">
        <f>38.8/896.9</f>
        <v>4.3260118184858955E-2</v>
      </c>
      <c r="F171" s="529">
        <f>164.6/1055.7</f>
        <v>0.155915506299138</v>
      </c>
      <c r="G171" s="529">
        <f>166.8/1009.4</f>
        <v>0.16524668119675057</v>
      </c>
      <c r="H171" s="529">
        <f>160.6/850.8</f>
        <v>0.18876351669017397</v>
      </c>
      <c r="I171" s="529">
        <f>(171.7)/896.9</f>
        <v>0.19143717248299699</v>
      </c>
      <c r="N171" s="529">
        <f>201.8/1074.5</f>
        <v>0.18780828292228946</v>
      </c>
      <c r="Q171" s="644"/>
      <c r="S171" s="529">
        <f>(230.5+113.4)/1161.4</f>
        <v>0.29610814534182878</v>
      </c>
      <c r="X171" s="529">
        <f>(233.3+136)/1193.1</f>
        <v>0.30952979632889116</v>
      </c>
      <c r="AC171" s="529">
        <f>(238.3+160.2)/1171.1</f>
        <v>0.34027837076253098</v>
      </c>
      <c r="AH171" s="529">
        <f>(288.2+64+193.3)/1324.9</f>
        <v>0.41172918710846101</v>
      </c>
      <c r="AM171" s="529">
        <f>(203.7+95.1+144.4)/$AM$6</f>
        <v>0.39989172606694928</v>
      </c>
      <c r="AR171" s="529">
        <f>(208.8+111+91.4)/$AR$6</f>
        <v>0.35037491479209276</v>
      </c>
      <c r="AW171" s="529">
        <f>+(257.6+142.6+95.5)/AW6</f>
        <v>0.35600402183280672</v>
      </c>
      <c r="BB171" s="719">
        <f>558.5/BB6</f>
        <v>0.35388417184133825</v>
      </c>
      <c r="BC171" s="590"/>
      <c r="BD171" s="590"/>
      <c r="BE171" s="590"/>
      <c r="BF171" s="590"/>
      <c r="BG171" s="719">
        <f>1-SUM(BG169:BG170,BG176)</f>
        <v>0.34685973066380649</v>
      </c>
      <c r="BH171" s="590"/>
      <c r="BI171" s="590"/>
      <c r="BJ171" s="590"/>
      <c r="BK171" s="590"/>
      <c r="BL171" s="719">
        <f>(346.9+183.4+112.6)/1855.5</f>
        <v>0.34648342764753437</v>
      </c>
      <c r="BM171" s="590"/>
      <c r="BN171" s="590"/>
      <c r="BO171" s="590"/>
      <c r="BP171" s="590"/>
      <c r="BQ171" s="590"/>
      <c r="BR171" s="590"/>
      <c r="BS171" s="590"/>
      <c r="BT171" s="590"/>
      <c r="BU171" s="590"/>
      <c r="BV171" s="590"/>
      <c r="BW171" s="590"/>
      <c r="BX171" s="590"/>
      <c r="BY171" s="590"/>
      <c r="BZ171" s="590"/>
      <c r="CA171" s="590"/>
      <c r="CB171" s="590"/>
      <c r="CC171" s="590"/>
      <c r="CD171" s="590"/>
      <c r="CE171" s="590"/>
      <c r="CF171" s="590"/>
      <c r="CG171" s="590"/>
      <c r="CH171" s="590"/>
      <c r="CI171" s="590"/>
      <c r="CJ171" s="590"/>
      <c r="CK171" s="716"/>
      <c r="CP171" s="645"/>
      <c r="CQ171" s="645">
        <f t="shared" si="149"/>
        <v>0</v>
      </c>
      <c r="CR171" s="645">
        <f t="shared" si="149"/>
        <v>0</v>
      </c>
      <c r="CS171" s="645">
        <f t="shared" si="149"/>
        <v>0</v>
      </c>
    </row>
    <row r="172" spans="1:97" s="529" customFormat="1">
      <c r="A172" s="498"/>
      <c r="B172" s="606" t="s">
        <v>299</v>
      </c>
      <c r="Q172" s="644"/>
      <c r="BB172" s="590"/>
      <c r="BC172" s="590"/>
      <c r="BD172" s="590"/>
      <c r="BE172" s="590"/>
      <c r="BF172" s="590"/>
      <c r="BG172" s="590"/>
      <c r="BH172" s="590"/>
      <c r="BI172" s="590"/>
      <c r="BJ172" s="590"/>
      <c r="BK172" s="590"/>
      <c r="BL172" s="590"/>
      <c r="BM172" s="590"/>
      <c r="BN172" s="590"/>
      <c r="BO172" s="590"/>
      <c r="BP172" s="590"/>
      <c r="BQ172" s="719">
        <f>320.6/$BQ$6</f>
        <v>0.17225445948850207</v>
      </c>
      <c r="BR172" s="590"/>
      <c r="BS172" s="590"/>
      <c r="BT172" s="590"/>
      <c r="BU172" s="590"/>
      <c r="BV172" s="719">
        <f>335.2/$BV$6</f>
        <v>0.16724043306890185</v>
      </c>
      <c r="BW172" s="590"/>
      <c r="BX172" s="590"/>
      <c r="BY172" s="590"/>
      <c r="BZ172" s="590"/>
      <c r="CA172" s="719">
        <f>335.7/CA$6</f>
        <v>0.17012111691075862</v>
      </c>
      <c r="CB172" s="590"/>
      <c r="CC172" s="590"/>
      <c r="CD172" s="590"/>
      <c r="CE172" s="590"/>
      <c r="CF172" s="719">
        <f>369.8/CF$6</f>
        <v>0.16892786990087252</v>
      </c>
      <c r="CG172" s="590"/>
      <c r="CH172" s="590"/>
      <c r="CI172" s="590"/>
      <c r="CJ172" s="590"/>
      <c r="CK172" s="719">
        <f>364.3/CK$6</f>
        <v>0.15464617735704889</v>
      </c>
      <c r="CP172" s="645">
        <f>+CK172</f>
        <v>0.15464617735704889</v>
      </c>
      <c r="CQ172" s="645">
        <f t="shared" si="149"/>
        <v>0.15464617735704889</v>
      </c>
      <c r="CR172" s="645">
        <f t="shared" si="149"/>
        <v>0.15464617735704889</v>
      </c>
      <c r="CS172" s="645">
        <f t="shared" si="149"/>
        <v>0.15464617735704889</v>
      </c>
    </row>
    <row r="173" spans="1:97" s="529" customFormat="1">
      <c r="A173" s="498"/>
      <c r="B173" s="606" t="s">
        <v>301</v>
      </c>
      <c r="Q173" s="644"/>
      <c r="BB173" s="590"/>
      <c r="BC173" s="590"/>
      <c r="BD173" s="590"/>
      <c r="BE173" s="590"/>
      <c r="BF173" s="590"/>
      <c r="BG173" s="590"/>
      <c r="BH173" s="590"/>
      <c r="BI173" s="590"/>
      <c r="BJ173" s="590"/>
      <c r="BK173" s="590"/>
      <c r="BL173" s="590"/>
      <c r="BM173" s="590"/>
      <c r="BN173" s="590"/>
      <c r="BO173" s="590"/>
      <c r="BP173" s="590"/>
      <c r="BQ173" s="719">
        <f>217.8/$BQ$6</f>
        <v>0.1170212765957447</v>
      </c>
      <c r="BR173" s="590"/>
      <c r="BS173" s="590"/>
      <c r="BT173" s="590"/>
      <c r="BU173" s="590"/>
      <c r="BV173" s="719">
        <f>219.7/$BV$6</f>
        <v>0.10961432919223668</v>
      </c>
      <c r="BW173" s="590"/>
      <c r="BX173" s="590"/>
      <c r="BY173" s="590"/>
      <c r="BZ173" s="590"/>
      <c r="CA173" s="719">
        <f>187/CA$6</f>
        <v>9.4765114275578988E-2</v>
      </c>
      <c r="CB173" s="590"/>
      <c r="CC173" s="590"/>
      <c r="CD173" s="590"/>
      <c r="CE173" s="590"/>
      <c r="CF173" s="719">
        <f>189.5/CF$6</f>
        <v>8.6565255127678042E-2</v>
      </c>
      <c r="CG173" s="590"/>
      <c r="CH173" s="590"/>
      <c r="CI173" s="590"/>
      <c r="CJ173" s="590"/>
      <c r="CK173" s="719">
        <f>166.6/CK$6</f>
        <v>7.0722078363119251E-2</v>
      </c>
      <c r="CP173" s="645">
        <f>+CK173</f>
        <v>7.0722078363119251E-2</v>
      </c>
      <c r="CQ173" s="645">
        <f t="shared" si="149"/>
        <v>7.0722078363119251E-2</v>
      </c>
      <c r="CR173" s="645">
        <f t="shared" si="149"/>
        <v>7.0722078363119251E-2</v>
      </c>
      <c r="CS173" s="645">
        <f t="shared" si="149"/>
        <v>7.0722078363119251E-2</v>
      </c>
    </row>
    <row r="174" spans="1:97" s="529" customFormat="1">
      <c r="A174" s="498"/>
      <c r="B174" s="606" t="s">
        <v>300</v>
      </c>
      <c r="Q174" s="644"/>
      <c r="BB174" s="590"/>
      <c r="BC174" s="590"/>
      <c r="BD174" s="590"/>
      <c r="BE174" s="590"/>
      <c r="BF174" s="590"/>
      <c r="BG174" s="590"/>
      <c r="BH174" s="590"/>
      <c r="BI174" s="590"/>
      <c r="BJ174" s="590"/>
      <c r="BK174" s="590"/>
      <c r="BL174" s="590"/>
      <c r="BM174" s="590"/>
      <c r="BN174" s="590"/>
      <c r="BO174" s="590"/>
      <c r="BP174" s="590"/>
      <c r="BQ174" s="590"/>
      <c r="BR174" s="590"/>
      <c r="BS174" s="590"/>
      <c r="BT174" s="590"/>
      <c r="BU174" s="590"/>
      <c r="BV174" s="719">
        <f>169.5/$BV$6</f>
        <v>8.4568178416404738E-2</v>
      </c>
      <c r="BW174" s="590"/>
      <c r="BX174" s="590"/>
      <c r="BY174" s="590"/>
      <c r="BZ174" s="590"/>
      <c r="CA174" s="719">
        <f>206/CA$6</f>
        <v>0.10439365529823139</v>
      </c>
      <c r="CB174" s="590"/>
      <c r="CC174" s="590"/>
      <c r="CD174" s="590"/>
      <c r="CE174" s="590"/>
      <c r="CF174" s="719">
        <f>216/CF$6</f>
        <v>9.8670686583527484E-2</v>
      </c>
      <c r="CG174" s="590"/>
      <c r="CH174" s="590"/>
      <c r="CI174" s="590"/>
      <c r="CJ174" s="590"/>
      <c r="CK174" s="719">
        <f>221.3/CK$6</f>
        <v>9.3942352591586384E-2</v>
      </c>
      <c r="CP174" s="645">
        <f>+CK174</f>
        <v>9.3942352591586384E-2</v>
      </c>
      <c r="CQ174" s="645">
        <f t="shared" si="149"/>
        <v>9.3942352591586384E-2</v>
      </c>
      <c r="CR174" s="645">
        <f t="shared" si="149"/>
        <v>9.3942352591586384E-2</v>
      </c>
      <c r="CS174" s="645">
        <f t="shared" si="149"/>
        <v>9.3942352591586384E-2</v>
      </c>
    </row>
    <row r="175" spans="1:97" s="529" customFormat="1">
      <c r="A175" s="498"/>
      <c r="B175" s="606" t="s">
        <v>298</v>
      </c>
      <c r="Q175" s="644"/>
      <c r="BB175" s="590"/>
      <c r="BC175" s="590"/>
      <c r="BD175" s="590"/>
      <c r="BE175" s="590"/>
      <c r="BF175" s="590"/>
      <c r="BG175" s="590"/>
      <c r="BH175" s="590"/>
      <c r="BI175" s="590"/>
      <c r="BJ175" s="590"/>
      <c r="BK175" s="590"/>
      <c r="BL175" s="590"/>
      <c r="BM175" s="590"/>
      <c r="BN175" s="590"/>
      <c r="BO175" s="590"/>
      <c r="BP175" s="590"/>
      <c r="BQ175" s="719">
        <f>93.1/$BQ$6</f>
        <v>5.0021491510853215E-2</v>
      </c>
      <c r="BR175" s="590"/>
      <c r="BS175" s="590"/>
      <c r="BT175" s="590"/>
      <c r="BU175" s="590"/>
      <c r="BV175" s="719">
        <f>92.8/$BV$6</f>
        <v>4.6300454023848726E-2</v>
      </c>
      <c r="BW175" s="590"/>
      <c r="BX175" s="590"/>
      <c r="BY175" s="590"/>
      <c r="BZ175" s="590"/>
      <c r="CA175" s="719">
        <f>86.1/CA$6</f>
        <v>4.3632493792124867E-2</v>
      </c>
      <c r="CB175" s="590"/>
      <c r="CC175" s="590"/>
      <c r="CD175" s="590"/>
      <c r="CE175" s="590"/>
      <c r="CF175" s="719">
        <f>111.4/CF$6</f>
        <v>5.0888492987985937E-2</v>
      </c>
      <c r="CG175" s="590"/>
      <c r="CH175" s="590"/>
      <c r="CI175" s="590"/>
      <c r="CJ175" s="590"/>
      <c r="CK175" s="719">
        <f>110.1/CK$6</f>
        <v>4.6737700046695252E-2</v>
      </c>
      <c r="CP175" s="645">
        <f>+CK175</f>
        <v>4.6737700046695252E-2</v>
      </c>
      <c r="CQ175" s="645">
        <f t="shared" si="149"/>
        <v>4.6737700046695252E-2</v>
      </c>
      <c r="CR175" s="645">
        <f t="shared" si="149"/>
        <v>4.6737700046695252E-2</v>
      </c>
      <c r="CS175" s="645">
        <f t="shared" si="149"/>
        <v>4.6737700046695252E-2</v>
      </c>
    </row>
    <row r="176" spans="1:97" s="647" customFormat="1" ht="15" thickBot="1">
      <c r="A176" s="498"/>
      <c r="B176" s="646" t="s">
        <v>189</v>
      </c>
      <c r="C176" s="647">
        <f>338.3/936.855</f>
        <v>0.36110177135202354</v>
      </c>
      <c r="D176" s="647">
        <f>156.601/1089.044</f>
        <v>0.14379676119605819</v>
      </c>
      <c r="E176" s="647">
        <f>22.9/896.9</f>
        <v>2.5532389341063663E-2</v>
      </c>
      <c r="F176" s="647">
        <f>165.4/1055.7</f>
        <v>0.15667329733825897</v>
      </c>
      <c r="G176" s="647">
        <f>176/1009.4</f>
        <v>0.17436100653853775</v>
      </c>
      <c r="H176" s="647">
        <f>150.2/850.8</f>
        <v>0.1765397273154678</v>
      </c>
      <c r="I176" s="647">
        <f>161.1/896.9</f>
        <v>0.17961868658713345</v>
      </c>
      <c r="N176" s="647">
        <f>178.4/1074.5</f>
        <v>0.16603071195905073</v>
      </c>
      <c r="Q176" s="648"/>
      <c r="S176" s="647">
        <f>102.7/1161.4</f>
        <v>8.8427759600482173E-2</v>
      </c>
      <c r="X176" s="647">
        <f>113/1193.1</f>
        <v>9.4711256390914433E-2</v>
      </c>
      <c r="AC176" s="647">
        <f>119.6/1171.1</f>
        <v>0.10212620613098797</v>
      </c>
      <c r="AH176" s="647">
        <f>27.5/1324.9</f>
        <v>2.0756283493093816E-2</v>
      </c>
      <c r="AM176" s="647">
        <f>52.7/$AM$6</f>
        <v>4.7550302264729762E-2</v>
      </c>
      <c r="AR176" s="647">
        <f>61.7/$AR$6</f>
        <v>5.2573278800272669E-2</v>
      </c>
      <c r="AW176" s="647">
        <f>73.1/AW6</f>
        <v>5.2499281815570238E-2</v>
      </c>
      <c r="BB176" s="719">
        <f>103.6/BB6</f>
        <v>6.564440501837536E-2</v>
      </c>
      <c r="BC176" s="717"/>
      <c r="BD176" s="717"/>
      <c r="BE176" s="717"/>
      <c r="BF176" s="717"/>
      <c r="BG176" s="719">
        <f>114.2/BG6</f>
        <v>6.8049100226433082E-2</v>
      </c>
      <c r="BH176" s="717"/>
      <c r="BI176" s="717"/>
      <c r="BJ176" s="717"/>
      <c r="BK176" s="717"/>
      <c r="BL176" s="719">
        <f>143.6/1855.5</f>
        <v>7.739153866882241E-2</v>
      </c>
      <c r="BM176" s="717"/>
      <c r="BN176" s="717"/>
      <c r="BO176" s="717"/>
      <c r="BP176" s="717"/>
      <c r="BQ176" s="719">
        <f>149.2/$BQ$6</f>
        <v>8.0163335482484416E-2</v>
      </c>
      <c r="BR176" s="590"/>
      <c r="BS176" s="590"/>
      <c r="BT176" s="590"/>
      <c r="BU176" s="590"/>
      <c r="BV176" s="719">
        <f>75.1/$BV$6</f>
        <v>3.7469440702489643E-2</v>
      </c>
      <c r="BW176" s="590"/>
      <c r="BX176" s="590"/>
      <c r="BY176" s="590"/>
      <c r="BZ176" s="590"/>
      <c r="CA176" s="719">
        <f>60.8/CA$6</f>
        <v>3.081133127248771E-2</v>
      </c>
      <c r="CB176" s="590"/>
      <c r="CC176" s="590"/>
      <c r="CD176" s="590"/>
      <c r="CE176" s="590"/>
      <c r="CF176" s="719">
        <f>79.2/CF$6</f>
        <v>3.617925174729341E-2</v>
      </c>
      <c r="CG176" s="590"/>
      <c r="CH176" s="590"/>
      <c r="CI176" s="590"/>
      <c r="CJ176" s="590"/>
      <c r="CK176" s="719">
        <f>77.6/CK$6</f>
        <v>3.2941376236362861E-2</v>
      </c>
      <c r="CP176" s="649">
        <f>+CK176</f>
        <v>3.2941376236362861E-2</v>
      </c>
      <c r="CQ176" s="649">
        <f t="shared" si="149"/>
        <v>3.2941376236362861E-2</v>
      </c>
      <c r="CR176" s="649">
        <f t="shared" si="149"/>
        <v>3.2941376236362861E-2</v>
      </c>
      <c r="CS176" s="649">
        <f t="shared" si="149"/>
        <v>3.2941376236362861E-2</v>
      </c>
    </row>
    <row r="177" spans="1:97" s="529" customFormat="1">
      <c r="A177" s="498"/>
      <c r="B177" s="653" t="s">
        <v>93</v>
      </c>
      <c r="C177" s="528">
        <f t="shared" ref="C177:I177" si="150">SUM(C169:C176)</f>
        <v>1</v>
      </c>
      <c r="D177" s="528">
        <f t="shared" si="150"/>
        <v>0.99999999999999989</v>
      </c>
      <c r="E177" s="528">
        <f t="shared" si="150"/>
        <v>1</v>
      </c>
      <c r="F177" s="528">
        <f t="shared" si="150"/>
        <v>1</v>
      </c>
      <c r="G177" s="528">
        <f t="shared" si="150"/>
        <v>1</v>
      </c>
      <c r="H177" s="528">
        <f t="shared" si="150"/>
        <v>1.0000000000000002</v>
      </c>
      <c r="I177" s="528">
        <f t="shared" si="150"/>
        <v>0.99999999999999989</v>
      </c>
      <c r="J177" s="528"/>
      <c r="K177" s="528"/>
      <c r="L177" s="528"/>
      <c r="M177" s="528"/>
      <c r="N177" s="528">
        <f>SUM(N169:N176)</f>
        <v>1</v>
      </c>
      <c r="O177" s="528"/>
      <c r="P177" s="528"/>
      <c r="Q177" s="724"/>
      <c r="R177" s="528"/>
      <c r="S177" s="528">
        <f>SUM(S169:S176)</f>
        <v>0.99999999999999989</v>
      </c>
      <c r="T177" s="528"/>
      <c r="U177" s="528"/>
      <c r="V177" s="528"/>
      <c r="W177" s="528"/>
      <c r="X177" s="528">
        <f>SUM(X169:X176)</f>
        <v>1.0000000000000002</v>
      </c>
      <c r="Y177" s="528"/>
      <c r="Z177" s="528"/>
      <c r="AA177" s="528"/>
      <c r="AB177" s="528"/>
      <c r="AC177" s="528">
        <f>SUM(AC169:AC176)</f>
        <v>1</v>
      </c>
      <c r="AD177" s="528"/>
      <c r="AE177" s="528"/>
      <c r="AF177" s="528"/>
      <c r="AG177" s="528"/>
      <c r="AH177" s="528">
        <f>SUM(AH169:AH176)</f>
        <v>0.99999999999999989</v>
      </c>
      <c r="AI177" s="528"/>
      <c r="AJ177" s="528"/>
      <c r="AK177" s="528"/>
      <c r="AL177" s="528"/>
      <c r="AM177" s="528">
        <f>SUM(AM169:AM176)</f>
        <v>0.99999999999999989</v>
      </c>
      <c r="AN177" s="528"/>
      <c r="AO177" s="528"/>
      <c r="AP177" s="528"/>
      <c r="AQ177" s="528"/>
      <c r="AR177" s="528">
        <f>SUM(AR169:AR176)</f>
        <v>1</v>
      </c>
      <c r="AS177" s="528"/>
      <c r="AT177" s="528"/>
      <c r="AU177" s="528"/>
      <c r="AV177" s="528"/>
      <c r="AW177" s="528">
        <f>SUM(AW169:AW176)</f>
        <v>1.0018299339270327</v>
      </c>
      <c r="AX177" s="528"/>
      <c r="AY177" s="528"/>
      <c r="AZ177" s="528"/>
      <c r="BA177" s="528"/>
      <c r="BB177" s="725">
        <f>SUM(BB169:BB176)</f>
        <v>0.99999999999999989</v>
      </c>
      <c r="BC177" s="726"/>
      <c r="BD177" s="726"/>
      <c r="BE177" s="726"/>
      <c r="BF177" s="726"/>
      <c r="BG177" s="725">
        <f>SUM(BG169:BG176)</f>
        <v>1</v>
      </c>
      <c r="BH177" s="726"/>
      <c r="BI177" s="726"/>
      <c r="BJ177" s="726"/>
      <c r="BK177" s="726"/>
      <c r="BL177" s="725">
        <f>SUM(BL169:BL176)</f>
        <v>1</v>
      </c>
      <c r="BM177" s="726"/>
      <c r="BN177" s="726"/>
      <c r="BO177" s="726"/>
      <c r="BP177" s="726"/>
      <c r="BQ177" s="725">
        <f>SUM(BQ169:BQ176)</f>
        <v>1</v>
      </c>
      <c r="BR177" s="726"/>
      <c r="BS177" s="726"/>
      <c r="BT177" s="726"/>
      <c r="BU177" s="726"/>
      <c r="BV177" s="725">
        <f>SUM(BV169:BV176)</f>
        <v>1</v>
      </c>
      <c r="BW177" s="726"/>
      <c r="BX177" s="726"/>
      <c r="BY177" s="726"/>
      <c r="BZ177" s="726"/>
      <c r="CA177" s="725">
        <f>SUM(CA169:CA176)</f>
        <v>1</v>
      </c>
      <c r="CB177" s="726"/>
      <c r="CC177" s="726"/>
      <c r="CD177" s="726"/>
      <c r="CE177" s="726"/>
      <c r="CF177" s="725">
        <f>SUM(CF169:CF176)</f>
        <v>1.0000000000000002</v>
      </c>
      <c r="CG177" s="726"/>
      <c r="CH177" s="726"/>
      <c r="CI177" s="726"/>
      <c r="CJ177" s="726"/>
      <c r="CK177" s="725">
        <f>SUM(CK169:CK176)</f>
        <v>1.0000000000000002</v>
      </c>
      <c r="CP177" s="529">
        <f>SUM(CP169:CP176)</f>
        <v>1.0000000000000002</v>
      </c>
      <c r="CQ177" s="529">
        <f>SUM(CQ169:CQ176)</f>
        <v>1.0000000000000002</v>
      </c>
      <c r="CR177" s="529">
        <f>SUM(CR169:CR176)</f>
        <v>1.0000000000000002</v>
      </c>
      <c r="CS177" s="529">
        <f>SUM(CS169:CS176)</f>
        <v>1.0000000000000002</v>
      </c>
    </row>
    <row r="178" spans="1:97" s="529" customFormat="1">
      <c r="A178" s="498"/>
      <c r="B178" s="646"/>
      <c r="Q178" s="644"/>
      <c r="BB178" s="590"/>
      <c r="BC178" s="590"/>
      <c r="BD178" s="590"/>
      <c r="BE178" s="590"/>
      <c r="BF178" s="590"/>
      <c r="BG178" s="590"/>
      <c r="BH178" s="590"/>
      <c r="BI178" s="590"/>
      <c r="BJ178" s="590"/>
      <c r="BK178" s="590"/>
      <c r="BL178" s="590"/>
      <c r="BM178" s="590"/>
      <c r="BN178" s="590"/>
      <c r="BO178" s="590"/>
      <c r="BP178" s="590"/>
      <c r="BQ178" s="590"/>
      <c r="BR178" s="590"/>
      <c r="BS178" s="590"/>
      <c r="BT178" s="590"/>
      <c r="BU178" s="590"/>
      <c r="BV178" s="590"/>
      <c r="BW178" s="590"/>
      <c r="BX178" s="590"/>
      <c r="BY178" s="590"/>
      <c r="BZ178" s="590"/>
      <c r="CA178" s="590"/>
      <c r="CB178" s="590"/>
      <c r="CC178" s="590"/>
      <c r="CD178" s="590"/>
      <c r="CE178" s="590"/>
      <c r="CF178" s="590"/>
      <c r="CG178" s="590"/>
      <c r="CH178" s="590"/>
      <c r="CI178" s="590"/>
      <c r="CJ178" s="590"/>
      <c r="CK178" s="590"/>
    </row>
    <row r="179" spans="1:97" s="529" customFormat="1">
      <c r="A179" s="498"/>
      <c r="B179" s="646" t="s">
        <v>265</v>
      </c>
      <c r="D179" s="529">
        <f>35%-D180</f>
        <v>0.35</v>
      </c>
      <c r="E179" s="529">
        <f>28%-E180</f>
        <v>0.28000000000000003</v>
      </c>
      <c r="F179" s="529">
        <f>20%-F180</f>
        <v>0.17</v>
      </c>
      <c r="G179" s="529">
        <v>0.17</v>
      </c>
      <c r="H179" s="529">
        <f>145.3/H6</f>
        <v>0.17078044193700048</v>
      </c>
      <c r="I179" s="529">
        <f>137.8/I6</f>
        <v>0.15364031664622591</v>
      </c>
      <c r="N179" s="529">
        <f>139.5/N6</f>
        <v>0.12982782689623079</v>
      </c>
      <c r="Q179" s="644"/>
      <c r="S179" s="529">
        <f>154.5/S6</f>
        <v>0.13302910280695712</v>
      </c>
      <c r="X179" s="529">
        <f>191.6/X6</f>
        <v>0.16059005950884253</v>
      </c>
      <c r="AC179" s="529">
        <f>242.6/AC6</f>
        <v>0.20715566561352575</v>
      </c>
      <c r="AH179" s="529">
        <v>0.183</v>
      </c>
      <c r="AM179" s="529">
        <v>0.20799999999999999</v>
      </c>
      <c r="AR179" s="529">
        <v>0.245</v>
      </c>
      <c r="AW179" s="529">
        <v>0.25</v>
      </c>
      <c r="BB179" s="719">
        <v>0.25</v>
      </c>
      <c r="BC179" s="590"/>
      <c r="BD179" s="590"/>
      <c r="BE179" s="590"/>
      <c r="BF179" s="590"/>
      <c r="BG179" s="719">
        <v>0.3</v>
      </c>
      <c r="BH179" s="590"/>
      <c r="BI179" s="590"/>
      <c r="BJ179" s="590"/>
      <c r="BK179" s="590"/>
      <c r="BL179" s="719">
        <v>0.28000000000000003</v>
      </c>
      <c r="BM179" s="590"/>
      <c r="BN179" s="590"/>
      <c r="BO179" s="590"/>
      <c r="BP179" s="590"/>
      <c r="BQ179" s="719">
        <v>0.28999999999999998</v>
      </c>
      <c r="BR179" s="590"/>
      <c r="BS179" s="590"/>
      <c r="BT179" s="590"/>
      <c r="BU179" s="590"/>
      <c r="BV179" s="719">
        <v>0.26</v>
      </c>
      <c r="BW179" s="590"/>
      <c r="BX179" s="590"/>
      <c r="BY179" s="590"/>
      <c r="BZ179" s="590"/>
      <c r="CA179" s="719">
        <v>0.23</v>
      </c>
      <c r="CB179" s="590"/>
      <c r="CC179" s="590"/>
      <c r="CD179" s="590"/>
      <c r="CE179" s="590"/>
      <c r="CF179" s="719">
        <v>0.23</v>
      </c>
      <c r="CG179" s="590"/>
      <c r="CH179" s="590"/>
      <c r="CI179" s="590"/>
      <c r="CJ179" s="590"/>
      <c r="CK179" s="719">
        <v>0.23</v>
      </c>
    </row>
    <row r="180" spans="1:97" s="529" customFormat="1">
      <c r="A180" s="498"/>
      <c r="B180" s="646" t="s">
        <v>266</v>
      </c>
      <c r="F180" s="529">
        <v>0.03</v>
      </c>
      <c r="G180" s="529">
        <v>0.06</v>
      </c>
      <c r="H180" s="529">
        <f>57.6/H6</f>
        <v>6.7700987306064886E-2</v>
      </c>
      <c r="I180" s="529">
        <f>65.4/I6</f>
        <v>7.2917828074478774E-2</v>
      </c>
      <c r="N180" s="529">
        <f>67.4/N6</f>
        <v>6.272684969753374E-2</v>
      </c>
      <c r="Q180" s="644"/>
      <c r="S180" s="529">
        <f>63.3/S6</f>
        <v>5.4503185810229025E-2</v>
      </c>
      <c r="X180" s="529">
        <f>62.9/X6</f>
        <v>5.2719805548570954E-2</v>
      </c>
      <c r="AC180" s="529">
        <f>52.8/AC6</f>
        <v>4.5085816753479634E-2</v>
      </c>
      <c r="AH180" s="529">
        <v>0.05</v>
      </c>
      <c r="AM180" s="529">
        <v>0.06</v>
      </c>
      <c r="AR180" s="529">
        <v>0.06</v>
      </c>
      <c r="AW180" s="529">
        <v>0.05</v>
      </c>
      <c r="BB180" s="719">
        <v>0.04</v>
      </c>
      <c r="BC180" s="590"/>
      <c r="BD180" s="590"/>
      <c r="BE180" s="590"/>
      <c r="BF180" s="590"/>
      <c r="BG180" s="719">
        <v>0.04</v>
      </c>
      <c r="BH180" s="590"/>
      <c r="BI180" s="590"/>
      <c r="BJ180" s="590"/>
      <c r="BK180" s="590"/>
      <c r="BL180" s="719">
        <v>0.04</v>
      </c>
      <c r="BM180" s="590"/>
      <c r="BN180" s="590"/>
      <c r="BO180" s="590"/>
      <c r="BP180" s="590"/>
      <c r="BQ180" s="719">
        <v>0.02</v>
      </c>
      <c r="BR180" s="590"/>
      <c r="BS180" s="590"/>
      <c r="BT180" s="590"/>
      <c r="BU180" s="590"/>
      <c r="BV180" s="719">
        <v>0.02</v>
      </c>
      <c r="BW180" s="590"/>
      <c r="BX180" s="590"/>
      <c r="BY180" s="590"/>
      <c r="BZ180" s="590"/>
      <c r="CA180" s="719">
        <v>0.02</v>
      </c>
      <c r="CB180" s="590"/>
      <c r="CC180" s="590"/>
      <c r="CD180" s="590"/>
      <c r="CE180" s="590"/>
      <c r="CF180" s="719">
        <v>0.02</v>
      </c>
      <c r="CG180" s="590"/>
      <c r="CH180" s="590"/>
      <c r="CI180" s="590"/>
      <c r="CJ180" s="590"/>
      <c r="CK180" s="719">
        <v>0.02</v>
      </c>
    </row>
    <row r="181" spans="1:97" s="529" customFormat="1">
      <c r="A181" s="498"/>
      <c r="B181" s="646" t="s">
        <v>267</v>
      </c>
      <c r="D181" s="529">
        <f>11%-D182</f>
        <v>0.11</v>
      </c>
      <c r="E181" s="529">
        <f>10%-E182</f>
        <v>0.1</v>
      </c>
      <c r="F181" s="529">
        <f>13%-F182</f>
        <v>0.1</v>
      </c>
      <c r="G181" s="529">
        <v>0.16</v>
      </c>
      <c r="H181" s="529">
        <f>120.9/H6</f>
        <v>0.1421015514809591</v>
      </c>
      <c r="I181" s="529">
        <f>145.7/I6</f>
        <v>0.16244843349314303</v>
      </c>
      <c r="N181" s="529">
        <f>187.7/N6</f>
        <v>0.17468590041879944</v>
      </c>
      <c r="Q181" s="644"/>
      <c r="S181" s="529">
        <f>215.9/S6</f>
        <v>0.18589633201308764</v>
      </c>
      <c r="X181" s="529">
        <f>232/X6</f>
        <v>0.19445142905037299</v>
      </c>
      <c r="AC181" s="529">
        <f>219.9/AC6</f>
        <v>0.18777218000170781</v>
      </c>
      <c r="AH181" s="529">
        <v>0.20300000000000001</v>
      </c>
      <c r="AM181" s="529">
        <v>0.188</v>
      </c>
      <c r="AR181" s="529">
        <v>0.21</v>
      </c>
      <c r="AW181" s="529">
        <v>0.24</v>
      </c>
      <c r="BB181" s="719">
        <v>0.25</v>
      </c>
      <c r="BC181" s="590"/>
      <c r="BD181" s="590"/>
      <c r="BE181" s="590"/>
      <c r="BF181" s="590"/>
      <c r="BG181" s="719">
        <v>0.26</v>
      </c>
      <c r="BH181" s="590"/>
      <c r="BI181" s="590"/>
      <c r="BJ181" s="590"/>
      <c r="BK181" s="590"/>
      <c r="BL181" s="719">
        <v>0.27</v>
      </c>
      <c r="BM181" s="590"/>
      <c r="BN181" s="590"/>
      <c r="BO181" s="590"/>
      <c r="BP181" s="590"/>
      <c r="BQ181" s="719">
        <v>0.31</v>
      </c>
      <c r="BR181" s="590"/>
      <c r="BS181" s="590"/>
      <c r="BT181" s="590"/>
      <c r="BU181" s="590"/>
      <c r="BV181" s="719">
        <v>0.37</v>
      </c>
      <c r="BW181" s="590"/>
      <c r="BX181" s="590"/>
      <c r="BY181" s="590"/>
      <c r="BZ181" s="590"/>
      <c r="CA181" s="719">
        <v>0.4</v>
      </c>
      <c r="CB181" s="590"/>
      <c r="CC181" s="590"/>
      <c r="CD181" s="590"/>
      <c r="CE181" s="590"/>
      <c r="CF181" s="719">
        <v>0.38</v>
      </c>
      <c r="CG181" s="590"/>
      <c r="CH181" s="590"/>
      <c r="CI181" s="590"/>
      <c r="CJ181" s="590"/>
      <c r="CK181" s="719">
        <v>0.36</v>
      </c>
    </row>
    <row r="182" spans="1:97" s="529" customFormat="1">
      <c r="A182" s="498"/>
      <c r="B182" s="646" t="s">
        <v>268</v>
      </c>
      <c r="F182" s="529">
        <v>0.03</v>
      </c>
      <c r="G182" s="529">
        <v>0.03</v>
      </c>
      <c r="H182" s="529">
        <f>17.5/H6</f>
        <v>2.056887635166902E-2</v>
      </c>
      <c r="I182" s="529">
        <f>30.2/I6</f>
        <v>3.3671535288214961E-2</v>
      </c>
      <c r="N182" s="529">
        <f>34.4/N6</f>
        <v>3.2014890646812469E-2</v>
      </c>
      <c r="Q182" s="644"/>
      <c r="S182" s="529">
        <f>40.6/S6</f>
        <v>3.4957809540210091E-2</v>
      </c>
      <c r="X182" s="529">
        <f>37.7/X6</f>
        <v>3.1598357220685616E-2</v>
      </c>
      <c r="AC182" s="529">
        <f>38.9/AC6</f>
        <v>3.3216633933908293E-2</v>
      </c>
      <c r="AH182" s="529">
        <v>3.6999999999999998E-2</v>
      </c>
      <c r="AM182" s="529">
        <v>0.03</v>
      </c>
      <c r="AR182" s="529">
        <v>0.03</v>
      </c>
      <c r="AW182" s="529">
        <v>0.03</v>
      </c>
      <c r="BB182" s="719">
        <v>0.03</v>
      </c>
      <c r="BC182" s="590"/>
      <c r="BD182" s="590"/>
      <c r="BE182" s="590"/>
      <c r="BF182" s="590"/>
      <c r="BG182" s="719">
        <v>0.03</v>
      </c>
      <c r="BH182" s="590"/>
      <c r="BI182" s="590"/>
      <c r="BJ182" s="590"/>
      <c r="BK182" s="590"/>
      <c r="BL182" s="719">
        <v>0.04</v>
      </c>
      <c r="BM182" s="590"/>
      <c r="BN182" s="590"/>
      <c r="BO182" s="590"/>
      <c r="BP182" s="590"/>
      <c r="BQ182" s="719">
        <v>0.04</v>
      </c>
      <c r="BR182" s="590"/>
      <c r="BS182" s="590"/>
      <c r="BT182" s="590"/>
      <c r="BU182" s="590"/>
      <c r="BV182" s="719">
        <v>0.04</v>
      </c>
      <c r="BW182" s="590"/>
      <c r="BX182" s="590"/>
      <c r="BY182" s="590"/>
      <c r="BZ182" s="590"/>
      <c r="CA182" s="719">
        <v>0.04</v>
      </c>
      <c r="CB182" s="590"/>
      <c r="CC182" s="590"/>
      <c r="CD182" s="590"/>
      <c r="CE182" s="590"/>
      <c r="CF182" s="719">
        <v>0.03</v>
      </c>
      <c r="CG182" s="590"/>
      <c r="CH182" s="590"/>
      <c r="CI182" s="590"/>
      <c r="CJ182" s="590"/>
      <c r="CK182" s="719">
        <v>0.03</v>
      </c>
    </row>
    <row r="183" spans="1:97" s="529" customFormat="1">
      <c r="A183" s="498"/>
      <c r="B183" s="646" t="s">
        <v>264</v>
      </c>
      <c r="Q183" s="644"/>
      <c r="AC183" s="650" t="s">
        <v>287</v>
      </c>
      <c r="AH183" s="529">
        <v>0.109</v>
      </c>
      <c r="AM183" s="529">
        <v>0.12</v>
      </c>
      <c r="AR183" s="529">
        <v>0.1</v>
      </c>
      <c r="AW183" s="529">
        <v>0.12</v>
      </c>
      <c r="BB183" s="718"/>
      <c r="BC183" s="590"/>
      <c r="BD183" s="590"/>
      <c r="BE183" s="590"/>
      <c r="BF183" s="590"/>
      <c r="BG183" s="590"/>
      <c r="BH183" s="590"/>
      <c r="BI183" s="590"/>
      <c r="BJ183" s="590"/>
      <c r="BK183" s="590"/>
      <c r="BL183" s="590"/>
      <c r="BM183" s="590"/>
      <c r="BN183" s="590"/>
      <c r="BO183" s="590"/>
      <c r="BP183" s="590"/>
      <c r="BQ183" s="590"/>
      <c r="BR183" s="590"/>
      <c r="BS183" s="590"/>
      <c r="BT183" s="590"/>
      <c r="BU183" s="590"/>
      <c r="BV183" s="590"/>
      <c r="BW183" s="590"/>
      <c r="BX183" s="590"/>
      <c r="BY183" s="590"/>
      <c r="BZ183" s="590"/>
      <c r="CA183" s="590"/>
      <c r="CB183" s="590"/>
      <c r="CC183" s="590"/>
      <c r="CD183" s="590"/>
      <c r="CE183" s="590"/>
      <c r="CF183" s="590"/>
      <c r="CG183" s="590"/>
      <c r="CH183" s="590"/>
      <c r="CI183" s="590"/>
      <c r="CJ183" s="590"/>
      <c r="CK183" s="590"/>
    </row>
    <row r="184" spans="1:97" s="529" customFormat="1">
      <c r="A184" s="498"/>
      <c r="B184" s="646" t="s">
        <v>286</v>
      </c>
      <c r="F184" s="529">
        <f>F154/F6-F179-F181</f>
        <v>0.23089987685895605</v>
      </c>
      <c r="G184" s="529">
        <f>G154/G6-G179-G181</f>
        <v>0.20388151377055666</v>
      </c>
      <c r="H184" s="529">
        <f>H154/H6-H179-H181</f>
        <v>0.14680300893276921</v>
      </c>
      <c r="I184" s="529">
        <f>I154/I6-I179-I181</f>
        <v>0.1186308395584792</v>
      </c>
      <c r="N184" s="529">
        <f>N154/N6-N179-N181</f>
        <v>0.12548627268496981</v>
      </c>
      <c r="Q184" s="644"/>
      <c r="S184" s="529">
        <f>S154/S6-S179-S181</f>
        <v>0.13690373686929563</v>
      </c>
      <c r="X184" s="529">
        <f>X154/X6-X179-X181</f>
        <v>0.16293688710082982</v>
      </c>
      <c r="AC184" s="529">
        <f>AC154/AC6-AC179-AC181</f>
        <v>0.1360259585005551</v>
      </c>
      <c r="AH184" s="529">
        <f>AH154/AH6-AH179-AH181</f>
        <v>0.15011593327798323</v>
      </c>
      <c r="AM184" s="529">
        <f>AM154/AM6-AM179-AM181</f>
        <v>0.10584967968961462</v>
      </c>
      <c r="AR184" s="529">
        <f>AR154/AR6-AR179-AR181</f>
        <v>9.4335378323108426E-2</v>
      </c>
      <c r="AW184" s="529">
        <f>AW154/AW6-AW179-AW181</f>
        <v>0.10142487790864696</v>
      </c>
      <c r="BB184" s="719">
        <f>BB154/BB6-BB179-BB181</f>
        <v>9.821315422633381E-2</v>
      </c>
      <c r="BC184" s="590"/>
      <c r="BD184" s="590"/>
      <c r="BE184" s="590"/>
      <c r="BF184" s="590"/>
      <c r="BG184" s="590"/>
      <c r="BH184" s="590"/>
      <c r="BI184" s="590"/>
      <c r="BJ184" s="590"/>
      <c r="BK184" s="590"/>
      <c r="BL184" s="590"/>
      <c r="BM184" s="590"/>
      <c r="BN184" s="590"/>
      <c r="BO184" s="590"/>
      <c r="BP184" s="590"/>
      <c r="BQ184" s="590"/>
      <c r="BR184" s="590"/>
      <c r="BS184" s="590"/>
      <c r="BT184" s="590"/>
      <c r="BU184" s="590"/>
      <c r="BV184" s="590"/>
      <c r="BW184" s="590"/>
      <c r="BX184" s="590"/>
      <c r="BY184" s="590"/>
      <c r="BZ184" s="590"/>
      <c r="CA184" s="590"/>
      <c r="CB184" s="590"/>
      <c r="CC184" s="590"/>
      <c r="CD184" s="590"/>
      <c r="CE184" s="590"/>
      <c r="CF184" s="590"/>
      <c r="CG184" s="590"/>
      <c r="CH184" s="590"/>
      <c r="CI184" s="590"/>
      <c r="CJ184" s="590"/>
      <c r="CK184" s="590"/>
    </row>
    <row r="185" spans="1:97" hidden="1" outlineLevel="1">
      <c r="B185" s="646"/>
      <c r="C185" s="641"/>
      <c r="D185" s="641"/>
      <c r="E185" s="641"/>
      <c r="F185" s="641"/>
      <c r="G185" s="641"/>
      <c r="H185" s="641"/>
      <c r="I185" s="641"/>
      <c r="J185" s="641"/>
      <c r="K185" s="641"/>
      <c r="L185" s="641"/>
      <c r="M185" s="641"/>
      <c r="N185" s="641"/>
      <c r="O185" s="641"/>
      <c r="P185" s="641"/>
      <c r="Q185" s="642"/>
      <c r="R185" s="641"/>
      <c r="S185" s="641"/>
      <c r="T185" s="641"/>
      <c r="U185" s="641"/>
      <c r="V185" s="641"/>
      <c r="W185" s="641"/>
      <c r="X185" s="641"/>
      <c r="Y185" s="641"/>
      <c r="Z185" s="641"/>
      <c r="AA185" s="641"/>
      <c r="AB185" s="641"/>
      <c r="AC185" s="641"/>
      <c r="AD185" s="641"/>
      <c r="AE185" s="641"/>
      <c r="AF185" s="641"/>
      <c r="AG185" s="641"/>
      <c r="AH185" s="641"/>
      <c r="AI185" s="641"/>
      <c r="AJ185" s="641"/>
      <c r="AK185" s="641"/>
    </row>
    <row r="186" spans="1:97" hidden="1" outlineLevel="1">
      <c r="B186" s="610" t="s">
        <v>190</v>
      </c>
      <c r="C186" s="641"/>
      <c r="D186" s="641"/>
      <c r="E186" s="641"/>
      <c r="F186" s="641"/>
      <c r="G186" s="641"/>
      <c r="H186" s="641"/>
      <c r="I186" s="641"/>
      <c r="J186" s="641"/>
      <c r="K186" s="641"/>
      <c r="L186" s="641"/>
      <c r="M186" s="641"/>
      <c r="N186" s="641"/>
      <c r="O186" s="641"/>
      <c r="P186" s="641"/>
      <c r="Q186" s="642"/>
      <c r="R186" s="641"/>
      <c r="S186" s="641"/>
      <c r="T186" s="641"/>
      <c r="U186" s="641"/>
      <c r="V186" s="641"/>
      <c r="W186" s="641"/>
      <c r="X186" s="641"/>
      <c r="Y186" s="641"/>
      <c r="Z186" s="641"/>
      <c r="AA186" s="641"/>
      <c r="AB186" s="641"/>
      <c r="AC186" s="641"/>
      <c r="AD186" s="641"/>
      <c r="AE186" s="641"/>
      <c r="AF186" s="641"/>
      <c r="AG186" s="641"/>
      <c r="AH186" s="641"/>
      <c r="AI186" s="641"/>
      <c r="AJ186" s="641"/>
      <c r="AK186" s="641"/>
    </row>
    <row r="187" spans="1:97" hidden="1" outlineLevel="1">
      <c r="B187" s="646" t="s">
        <v>191</v>
      </c>
      <c r="C187" s="641"/>
      <c r="D187" s="641"/>
      <c r="E187" s="641"/>
      <c r="F187" s="641"/>
      <c r="G187" s="641"/>
      <c r="H187" s="641"/>
      <c r="I187" s="641"/>
      <c r="J187" s="641"/>
      <c r="K187" s="641"/>
      <c r="L187" s="641"/>
      <c r="M187" s="641"/>
      <c r="N187" s="641"/>
      <c r="O187" s="641"/>
      <c r="P187" s="641"/>
      <c r="Q187" s="642"/>
      <c r="R187" s="641"/>
      <c r="S187" s="641"/>
      <c r="T187" s="641"/>
      <c r="U187" s="641"/>
      <c r="V187" s="641"/>
      <c r="W187" s="641">
        <f>0.02916*18.09</f>
        <v>0.52750439999999998</v>
      </c>
      <c r="X187" s="641"/>
      <c r="Y187" s="641"/>
      <c r="Z187" s="641"/>
      <c r="AA187" s="641"/>
      <c r="AB187" s="641"/>
      <c r="AC187" s="641"/>
      <c r="AD187" s="641"/>
      <c r="AE187" s="641"/>
      <c r="AF187" s="641"/>
      <c r="AG187" s="641"/>
      <c r="AH187" s="641"/>
      <c r="AI187" s="641"/>
      <c r="AJ187" s="641"/>
      <c r="AK187" s="641"/>
      <c r="BC187" s="498">
        <v>15</v>
      </c>
      <c r="BD187" s="498">
        <f>BD188*BD189</f>
        <v>35</v>
      </c>
      <c r="BE187" s="498">
        <f>BE188*BE189</f>
        <v>0</v>
      </c>
      <c r="BF187" s="498">
        <f>BF188*BF189</f>
        <v>32.052312809999997</v>
      </c>
      <c r="BG187" s="498">
        <f t="shared" ref="BG187:BG193" si="151">BF187</f>
        <v>32.052312809999997</v>
      </c>
      <c r="BH187" s="498">
        <f>BH188*BH189</f>
        <v>56.233996000000005</v>
      </c>
      <c r="BI187" s="498">
        <f>BI188*BI189</f>
        <v>66.228345899999994</v>
      </c>
      <c r="BJ187" s="498">
        <f>BJ188*BJ189</f>
        <v>45.478980749999998</v>
      </c>
      <c r="BK187" s="498">
        <v>0</v>
      </c>
      <c r="BL187" s="498">
        <f t="shared" ref="BL187:BL193" si="152">BK187</f>
        <v>0</v>
      </c>
      <c r="BM187" s="498">
        <v>0</v>
      </c>
      <c r="BN187" s="498">
        <v>0</v>
      </c>
      <c r="BO187" s="498">
        <f>BO189*BO188</f>
        <v>99.997491150000002</v>
      </c>
      <c r="BP187" s="498">
        <f>BP189*BP188</f>
        <v>46.11095916</v>
      </c>
      <c r="BQ187" s="498">
        <f>SUM(BM187:BP187)</f>
        <v>146.10845030999999</v>
      </c>
      <c r="BR187" s="498">
        <f>BR189*BR188</f>
        <v>34.8331655</v>
      </c>
      <c r="BS187" s="498">
        <f>BS189*BS188</f>
        <v>19.970646080000002</v>
      </c>
      <c r="BT187" s="498">
        <f>BT189*BT188</f>
        <v>30.018209000000002</v>
      </c>
      <c r="BU187" s="498">
        <f>BU189*BU188</f>
        <v>26.218966279999997</v>
      </c>
      <c r="BV187" s="498">
        <f>SUM(BR187:BU187)</f>
        <v>111.04098686</v>
      </c>
      <c r="BW187" s="498">
        <f>BW189*BW188</f>
        <v>63.637053000000002</v>
      </c>
      <c r="BX187" s="498">
        <f>BX189*BX188</f>
        <v>57.171881720000002</v>
      </c>
      <c r="BY187" s="498">
        <f>BY189*BY188</f>
        <v>1.197816</v>
      </c>
      <c r="BZ187" s="498">
        <f>BZ189*BZ188</f>
        <v>28.2393985</v>
      </c>
      <c r="CA187" s="498">
        <f>SUM(BW187:BZ187)</f>
        <v>150.24614922000001</v>
      </c>
      <c r="CB187" s="498">
        <f>CB189*CB188</f>
        <v>30.069582660000005</v>
      </c>
      <c r="CC187" s="498">
        <f>CC189*CC188</f>
        <v>150.90426284</v>
      </c>
      <c r="CD187" s="498">
        <f>CD189*CD188</f>
        <v>101.84655297</v>
      </c>
      <c r="CE187" s="498">
        <f>CE189*CE188</f>
        <v>74.905827000000002</v>
      </c>
      <c r="CF187" s="498">
        <f>SUM(CB187:CE187)</f>
        <v>357.72622546999997</v>
      </c>
      <c r="CG187" s="498">
        <f>CG189*CG188</f>
        <v>11.18057325</v>
      </c>
      <c r="CH187" s="498">
        <f>CH189*CH188</f>
        <v>0</v>
      </c>
      <c r="CI187" s="604">
        <f>CI189*CI188</f>
        <v>55.75700844</v>
      </c>
      <c r="CJ187" s="604">
        <f>CJ189*CJ188</f>
        <v>76.045715460000011</v>
      </c>
      <c r="CK187" s="498">
        <f>SUM(CG187:CJ187)</f>
        <v>142.98329715</v>
      </c>
      <c r="CL187" s="604">
        <f>CL189*CL188</f>
        <v>24.63530883</v>
      </c>
    </row>
    <row r="188" spans="1:97" hidden="1" outlineLevel="1">
      <c r="B188" s="646" t="s">
        <v>192</v>
      </c>
      <c r="C188" s="641"/>
      <c r="D188" s="641"/>
      <c r="E188" s="641"/>
      <c r="F188" s="641"/>
      <c r="G188" s="641"/>
      <c r="H188" s="641"/>
      <c r="I188" s="641"/>
      <c r="J188" s="641"/>
      <c r="K188" s="641"/>
      <c r="L188" s="641"/>
      <c r="M188" s="641"/>
      <c r="N188" s="641"/>
      <c r="O188" s="641"/>
      <c r="P188" s="641"/>
      <c r="Q188" s="642"/>
      <c r="R188" s="641"/>
      <c r="S188" s="641"/>
      <c r="T188" s="641"/>
      <c r="U188" s="641"/>
      <c r="V188" s="641"/>
      <c r="W188" s="641">
        <f>0.02919</f>
        <v>2.9190000000000001E-2</v>
      </c>
      <c r="X188" s="641"/>
      <c r="Y188" s="641"/>
      <c r="Z188" s="641"/>
      <c r="AA188" s="641"/>
      <c r="AB188" s="641"/>
      <c r="AC188" s="641"/>
      <c r="AD188" s="641"/>
      <c r="AE188" s="641"/>
      <c r="AF188" s="641"/>
      <c r="AG188" s="641"/>
      <c r="AH188" s="641"/>
      <c r="AI188" s="641"/>
      <c r="AJ188" s="641"/>
      <c r="AK188" s="641"/>
      <c r="BC188" s="498">
        <v>0.53073000000000004</v>
      </c>
      <c r="BD188" s="498">
        <v>1.573588</v>
      </c>
      <c r="BE188" s="498">
        <v>0</v>
      </c>
      <c r="BF188" s="604">
        <v>0.74766299999999997</v>
      </c>
      <c r="BG188" s="498">
        <f t="shared" si="151"/>
        <v>0.74766299999999997</v>
      </c>
      <c r="BH188" s="604">
        <v>1.300208</v>
      </c>
      <c r="BI188" s="604">
        <v>1.6133580000000001</v>
      </c>
      <c r="BJ188" s="604">
        <v>1.168825</v>
      </c>
      <c r="BK188" s="604">
        <v>0</v>
      </c>
      <c r="BL188" s="498">
        <f t="shared" si="152"/>
        <v>0</v>
      </c>
      <c r="BM188" s="604">
        <v>0</v>
      </c>
      <c r="BN188" s="604">
        <v>0</v>
      </c>
      <c r="BO188" s="604">
        <v>2.0164849999999999</v>
      </c>
      <c r="BP188" s="604">
        <v>1.010319</v>
      </c>
      <c r="BQ188" s="498">
        <f>SUM(BM188:BP188)</f>
        <v>3.0268039999999998</v>
      </c>
      <c r="BR188" s="604">
        <v>0.84484999999999999</v>
      </c>
      <c r="BS188" s="604">
        <v>0.46400200000000003</v>
      </c>
      <c r="BT188" s="604">
        <v>0.679145</v>
      </c>
      <c r="BU188" s="604">
        <v>0.607483</v>
      </c>
      <c r="BV188" s="498">
        <f>SUM(BR188:BU188)</f>
        <v>2.5954800000000002</v>
      </c>
      <c r="BW188" s="604">
        <v>1.1897</v>
      </c>
      <c r="BX188" s="604">
        <v>1.125874</v>
      </c>
      <c r="BY188" s="604">
        <v>2.3199999999999998E-2</v>
      </c>
      <c r="BZ188" s="604">
        <v>0.46045000000000003</v>
      </c>
      <c r="CA188" s="498">
        <f>SUM(BW188:BZ188)</f>
        <v>2.7992239999999997</v>
      </c>
      <c r="CB188" s="604">
        <v>0.45705400000000002</v>
      </c>
      <c r="CC188" s="604">
        <v>2.1474920000000002</v>
      </c>
      <c r="CD188" s="604">
        <v>1.4805429999999999</v>
      </c>
      <c r="CE188" s="604">
        <v>1.2852749999999999</v>
      </c>
      <c r="CF188" s="498">
        <f>SUM(CB188:CE188)</f>
        <v>5.3703640000000004</v>
      </c>
      <c r="CG188" s="604">
        <v>0.193603</v>
      </c>
      <c r="CH188" s="604">
        <v>0</v>
      </c>
      <c r="CI188" s="604">
        <v>0.68430299999999999</v>
      </c>
      <c r="CJ188" s="604">
        <v>1.003374</v>
      </c>
      <c r="CK188" s="498">
        <f>SUM(CG188:CJ188)</f>
        <v>1.8812799999999998</v>
      </c>
      <c r="CL188" s="604">
        <v>0.33205699999999999</v>
      </c>
      <c r="CM188" s="604"/>
      <c r="CN188" s="604"/>
    </row>
    <row r="189" spans="1:97" hidden="1" outlineLevel="1">
      <c r="B189" s="646" t="s">
        <v>193</v>
      </c>
      <c r="C189" s="641"/>
      <c r="D189" s="641"/>
      <c r="E189" s="641"/>
      <c r="F189" s="641"/>
      <c r="G189" s="641"/>
      <c r="H189" s="641"/>
      <c r="I189" s="641"/>
      <c r="J189" s="641"/>
      <c r="K189" s="641"/>
      <c r="L189" s="641"/>
      <c r="M189" s="641"/>
      <c r="N189" s="641"/>
      <c r="O189" s="641"/>
      <c r="P189" s="641"/>
      <c r="Q189" s="642"/>
      <c r="R189" s="641"/>
      <c r="S189" s="641"/>
      <c r="T189" s="641"/>
      <c r="U189" s="641"/>
      <c r="V189" s="641"/>
      <c r="W189" s="641">
        <f>W187/W188</f>
        <v>18.071408016443986</v>
      </c>
      <c r="X189" s="641"/>
      <c r="Y189" s="641"/>
      <c r="Z189" s="641"/>
      <c r="AA189" s="641"/>
      <c r="AB189" s="641"/>
      <c r="AC189" s="641"/>
      <c r="AD189" s="641"/>
      <c r="AE189" s="641"/>
      <c r="AF189" s="641"/>
      <c r="AG189" s="641"/>
      <c r="AH189" s="641"/>
      <c r="AI189" s="641"/>
      <c r="AJ189" s="641"/>
      <c r="AK189" s="641"/>
      <c r="BC189" s="620">
        <f>BC187/BC188</f>
        <v>28.262958566502739</v>
      </c>
      <c r="BD189" s="620">
        <v>22.242162497426264</v>
      </c>
      <c r="BE189" s="498">
        <v>0</v>
      </c>
      <c r="BF189" s="651">
        <f>42.87</f>
        <v>42.87</v>
      </c>
      <c r="BG189" s="498">
        <f t="shared" si="151"/>
        <v>42.87</v>
      </c>
      <c r="BH189" s="498">
        <v>43.25</v>
      </c>
      <c r="BI189" s="604">
        <v>41.05</v>
      </c>
      <c r="BJ189" s="604">
        <v>38.909999999999997</v>
      </c>
      <c r="BK189" s="604">
        <v>0</v>
      </c>
      <c r="BL189" s="498">
        <f t="shared" si="152"/>
        <v>0</v>
      </c>
      <c r="BM189" s="604">
        <v>0</v>
      </c>
      <c r="BN189" s="604">
        <v>0</v>
      </c>
      <c r="BO189" s="604">
        <v>49.59</v>
      </c>
      <c r="BP189" s="604">
        <v>45.64</v>
      </c>
      <c r="BQ189" s="498">
        <f>BP189</f>
        <v>45.64</v>
      </c>
      <c r="BR189" s="604">
        <v>41.23</v>
      </c>
      <c r="BS189" s="604">
        <v>43.04</v>
      </c>
      <c r="BT189" s="604">
        <v>44.2</v>
      </c>
      <c r="BU189" s="604">
        <v>43.16</v>
      </c>
      <c r="BV189" s="498">
        <f>BU189</f>
        <v>43.16</v>
      </c>
      <c r="BW189" s="604">
        <v>53.49</v>
      </c>
      <c r="BX189" s="604">
        <v>50.78</v>
      </c>
      <c r="BY189" s="604">
        <v>51.63</v>
      </c>
      <c r="BZ189" s="604">
        <v>61.33</v>
      </c>
      <c r="CA189" s="498">
        <f>BZ189</f>
        <v>61.33</v>
      </c>
      <c r="CB189" s="604">
        <v>65.790000000000006</v>
      </c>
      <c r="CC189" s="604">
        <v>70.27</v>
      </c>
      <c r="CD189" s="604">
        <v>68.790000000000006</v>
      </c>
      <c r="CE189" s="604">
        <v>58.28</v>
      </c>
      <c r="CF189" s="498">
        <f>CE189</f>
        <v>58.28</v>
      </c>
      <c r="CG189" s="604">
        <v>57.75</v>
      </c>
      <c r="CH189" s="604">
        <v>0</v>
      </c>
      <c r="CI189" s="604">
        <v>81.48</v>
      </c>
      <c r="CJ189" s="604">
        <v>75.790000000000006</v>
      </c>
      <c r="CK189" s="498">
        <f>CJ189</f>
        <v>75.790000000000006</v>
      </c>
      <c r="CL189" s="604">
        <v>74.19</v>
      </c>
      <c r="CM189" s="604"/>
      <c r="CN189" s="604"/>
    </row>
    <row r="190" spans="1:97" hidden="1" outlineLevel="1">
      <c r="B190" s="646" t="s">
        <v>194</v>
      </c>
      <c r="C190" s="641"/>
      <c r="D190" s="641"/>
      <c r="E190" s="641"/>
      <c r="F190" s="641"/>
      <c r="G190" s="641"/>
      <c r="H190" s="641"/>
      <c r="I190" s="641"/>
      <c r="J190" s="641"/>
      <c r="K190" s="641"/>
      <c r="L190" s="641"/>
      <c r="M190" s="641"/>
      <c r="N190" s="641"/>
      <c r="O190" s="641"/>
      <c r="P190" s="641"/>
      <c r="Q190" s="642"/>
      <c r="R190" s="641"/>
      <c r="S190" s="641"/>
      <c r="T190" s="641"/>
      <c r="U190" s="641"/>
      <c r="V190" s="641"/>
      <c r="W190" s="641">
        <f>V193</f>
        <v>0</v>
      </c>
      <c r="X190" s="641"/>
      <c r="Y190" s="641"/>
      <c r="Z190" s="641"/>
      <c r="AA190" s="641"/>
      <c r="AB190" s="641"/>
      <c r="AC190" s="641"/>
      <c r="AD190" s="641"/>
      <c r="AE190" s="641"/>
      <c r="AF190" s="641"/>
      <c r="AG190" s="641"/>
      <c r="AH190" s="641"/>
      <c r="AI190" s="641"/>
      <c r="AJ190" s="641"/>
      <c r="AK190" s="641"/>
      <c r="BA190" s="652"/>
      <c r="BC190" s="652">
        <f>BA193</f>
        <v>50</v>
      </c>
      <c r="BD190" s="652">
        <f>BC193</f>
        <v>35</v>
      </c>
      <c r="BE190" s="498">
        <f>BD193</f>
        <v>0</v>
      </c>
      <c r="BF190" s="498">
        <f>BE193</f>
        <v>150</v>
      </c>
      <c r="BG190" s="498">
        <f t="shared" si="151"/>
        <v>150</v>
      </c>
      <c r="BH190" s="498">
        <f>BG193</f>
        <v>117.94768719000001</v>
      </c>
      <c r="BI190" s="498">
        <f>BH193</f>
        <v>61.713691190000006</v>
      </c>
      <c r="BJ190" s="498">
        <f>BI193</f>
        <v>145.48534529000003</v>
      </c>
      <c r="BK190" s="498">
        <f>BJ193</f>
        <v>100.00636454000002</v>
      </c>
      <c r="BL190" s="498">
        <f t="shared" si="152"/>
        <v>100.00636454000002</v>
      </c>
      <c r="BM190" s="498">
        <f>BL193</f>
        <v>100.00636454000002</v>
      </c>
      <c r="BN190" s="498">
        <f>BM193</f>
        <v>100.00636454000002</v>
      </c>
      <c r="BO190" s="498">
        <f>BN193</f>
        <v>100.00636454000002</v>
      </c>
      <c r="BP190" s="498">
        <f>BO193</f>
        <v>250.00887339000005</v>
      </c>
      <c r="BQ190" s="498">
        <f>BP190</f>
        <v>250.00887339000005</v>
      </c>
      <c r="BR190" s="498">
        <f>BQ193</f>
        <v>203.89791423000005</v>
      </c>
      <c r="BS190" s="498">
        <f>BR193</f>
        <v>169.06474873000005</v>
      </c>
      <c r="BT190" s="498">
        <f>BS193</f>
        <v>149.09410265000005</v>
      </c>
      <c r="BU190" s="498">
        <f>BT193</f>
        <v>119.07589365000005</v>
      </c>
      <c r="BV190" s="498">
        <f>BU190</f>
        <v>119.07589365000005</v>
      </c>
      <c r="BW190" s="498">
        <f>BV193</f>
        <v>92.856927370000051</v>
      </c>
      <c r="BX190" s="498">
        <f>BW193</f>
        <v>329.21987437000007</v>
      </c>
      <c r="BY190" s="498">
        <f>BX193</f>
        <v>272.04799265000008</v>
      </c>
      <c r="BZ190" s="498">
        <f>BY193</f>
        <v>270.85017665000009</v>
      </c>
      <c r="CA190" s="498">
        <f>BZ190</f>
        <v>270.85017665000009</v>
      </c>
      <c r="CB190" s="498">
        <f>CA193</f>
        <v>242.6107781500001</v>
      </c>
      <c r="CC190" s="498">
        <f>CB193</f>
        <v>212.54119549000009</v>
      </c>
      <c r="CD190" s="498">
        <f>CC193</f>
        <v>561.63693265000006</v>
      </c>
      <c r="CE190" s="498">
        <f>CD193</f>
        <v>459.79037968000006</v>
      </c>
      <c r="CF190" s="498">
        <f>CE190</f>
        <v>459.79037968000006</v>
      </c>
      <c r="CG190" s="498">
        <f>CF193</f>
        <v>384.88455268000007</v>
      </c>
      <c r="CH190" s="498">
        <f>CG193</f>
        <v>373.70397943000006</v>
      </c>
      <c r="CI190" s="604">
        <f>CH193</f>
        <v>373.70397943000006</v>
      </c>
      <c r="CJ190" s="604">
        <f>CI193</f>
        <v>317.94697099000007</v>
      </c>
      <c r="CK190" s="498">
        <f>CJ190</f>
        <v>317.94697099000007</v>
      </c>
      <c r="CL190" s="498">
        <f>CK193</f>
        <v>241.90125553000007</v>
      </c>
    </row>
    <row r="191" spans="1:97" hidden="1" outlineLevel="1">
      <c r="B191" s="646" t="s">
        <v>195</v>
      </c>
      <c r="C191" s="641"/>
      <c r="D191" s="641"/>
      <c r="E191" s="641"/>
      <c r="F191" s="641"/>
      <c r="G191" s="641"/>
      <c r="H191" s="641"/>
      <c r="I191" s="641"/>
      <c r="J191" s="641"/>
      <c r="K191" s="641"/>
      <c r="L191" s="641"/>
      <c r="M191" s="641"/>
      <c r="N191" s="641"/>
      <c r="O191" s="641"/>
      <c r="P191" s="641"/>
      <c r="Q191" s="642"/>
      <c r="R191" s="641"/>
      <c r="S191" s="641"/>
      <c r="T191" s="641"/>
      <c r="U191" s="641"/>
      <c r="V191" s="641"/>
      <c r="W191" s="641"/>
      <c r="X191" s="641"/>
      <c r="Y191" s="641"/>
      <c r="Z191" s="641"/>
      <c r="AA191" s="641"/>
      <c r="AB191" s="641"/>
      <c r="AC191" s="641"/>
      <c r="AD191" s="641"/>
      <c r="AE191" s="641"/>
      <c r="AF191" s="641"/>
      <c r="AG191" s="641"/>
      <c r="AH191" s="641"/>
      <c r="AI191" s="641"/>
      <c r="AJ191" s="641"/>
      <c r="AK191" s="641"/>
      <c r="BA191" s="652"/>
      <c r="BC191" s="652"/>
      <c r="BD191" s="652"/>
      <c r="BG191" s="498">
        <f t="shared" si="151"/>
        <v>0</v>
      </c>
      <c r="BL191" s="498">
        <f t="shared" si="152"/>
        <v>0</v>
      </c>
      <c r="BP191" s="604"/>
      <c r="BQ191" s="498">
        <f>BP191</f>
        <v>0</v>
      </c>
      <c r="BV191" s="498">
        <f>BU191</f>
        <v>0</v>
      </c>
      <c r="CA191" s="498">
        <f>BZ191</f>
        <v>0</v>
      </c>
      <c r="CI191" s="604"/>
    </row>
    <row r="192" spans="1:97" hidden="1" outlineLevel="1">
      <c r="B192" s="646" t="s">
        <v>196</v>
      </c>
      <c r="C192" s="641"/>
      <c r="D192" s="641"/>
      <c r="E192" s="641"/>
      <c r="F192" s="641"/>
      <c r="G192" s="641"/>
      <c r="H192" s="641"/>
      <c r="I192" s="641"/>
      <c r="J192" s="641"/>
      <c r="K192" s="641"/>
      <c r="L192" s="641"/>
      <c r="M192" s="641"/>
      <c r="N192" s="641"/>
      <c r="O192" s="641"/>
      <c r="P192" s="641"/>
      <c r="Q192" s="642"/>
      <c r="R192" s="641"/>
      <c r="S192" s="641"/>
      <c r="T192" s="641"/>
      <c r="U192" s="641"/>
      <c r="V192" s="641"/>
      <c r="W192" s="641"/>
      <c r="X192" s="641"/>
      <c r="Y192" s="641"/>
      <c r="Z192" s="641"/>
      <c r="AA192" s="641"/>
      <c r="AB192" s="641"/>
      <c r="AC192" s="641"/>
      <c r="AD192" s="641"/>
      <c r="AE192" s="641"/>
      <c r="AF192" s="641"/>
      <c r="AG192" s="641"/>
      <c r="AH192" s="641"/>
      <c r="AI192" s="641"/>
      <c r="AJ192" s="641"/>
      <c r="AK192" s="641"/>
      <c r="BA192" s="652">
        <v>50</v>
      </c>
      <c r="BC192" s="652"/>
      <c r="BD192" s="652"/>
      <c r="BE192" s="498">
        <v>150</v>
      </c>
      <c r="BG192" s="498">
        <f t="shared" si="151"/>
        <v>0</v>
      </c>
      <c r="BI192" s="498">
        <v>150</v>
      </c>
      <c r="BL192" s="498">
        <f t="shared" si="152"/>
        <v>0</v>
      </c>
      <c r="BO192" s="498">
        <v>250</v>
      </c>
      <c r="BP192" s="604"/>
      <c r="BQ192" s="498">
        <f>BP192</f>
        <v>0</v>
      </c>
      <c r="BV192" s="498">
        <f>BU192</f>
        <v>0</v>
      </c>
      <c r="BW192" s="498">
        <v>300</v>
      </c>
      <c r="CA192" s="498">
        <f>BZ192</f>
        <v>0</v>
      </c>
      <c r="CC192" s="498">
        <v>500</v>
      </c>
      <c r="CI192" s="604"/>
    </row>
    <row r="193" spans="1:92" hidden="1" outlineLevel="1">
      <c r="B193" s="653" t="s">
        <v>197</v>
      </c>
      <c r="C193" s="641"/>
      <c r="D193" s="641"/>
      <c r="E193" s="641"/>
      <c r="F193" s="641"/>
      <c r="G193" s="641"/>
      <c r="H193" s="641"/>
      <c r="I193" s="641"/>
      <c r="J193" s="641"/>
      <c r="K193" s="641"/>
      <c r="L193" s="641"/>
      <c r="M193" s="641"/>
      <c r="N193" s="641"/>
      <c r="O193" s="641"/>
      <c r="P193" s="641"/>
      <c r="Q193" s="642"/>
      <c r="R193" s="641"/>
      <c r="S193" s="641"/>
      <c r="T193" s="641"/>
      <c r="U193" s="641"/>
      <c r="V193" s="641"/>
      <c r="W193" s="641">
        <f>W190-W191-W187+W192</f>
        <v>-0.52750439999999998</v>
      </c>
      <c r="X193" s="641"/>
      <c r="Y193" s="641"/>
      <c r="Z193" s="641"/>
      <c r="AA193" s="641"/>
      <c r="AB193" s="641"/>
      <c r="AC193" s="641"/>
      <c r="AD193" s="641"/>
      <c r="AE193" s="641"/>
      <c r="AF193" s="641"/>
      <c r="AG193" s="641"/>
      <c r="AH193" s="641"/>
      <c r="AI193" s="641"/>
      <c r="AJ193" s="641"/>
      <c r="AK193" s="641"/>
      <c r="BA193" s="652">
        <f>BA190+BA192-BA187</f>
        <v>50</v>
      </c>
      <c r="BC193" s="652">
        <f>BC190+BC192-BC187</f>
        <v>35</v>
      </c>
      <c r="BD193" s="652">
        <f>BD190+BD192-BD187</f>
        <v>0</v>
      </c>
      <c r="BE193" s="652">
        <f>BE190+BE192-BE187</f>
        <v>150</v>
      </c>
      <c r="BF193" s="652">
        <f>BF190+BF192-BF187</f>
        <v>117.94768719000001</v>
      </c>
      <c r="BG193" s="498">
        <f t="shared" si="151"/>
        <v>117.94768719000001</v>
      </c>
      <c r="BH193" s="652">
        <f>BH190+BH192-BH187</f>
        <v>61.713691190000006</v>
      </c>
      <c r="BI193" s="652">
        <f>BI190+BI192-BI187</f>
        <v>145.48534529000003</v>
      </c>
      <c r="BJ193" s="652">
        <f>BJ190+BJ192-BJ187</f>
        <v>100.00636454000002</v>
      </c>
      <c r="BK193" s="652">
        <f>BK190+BK192-BK187</f>
        <v>100.00636454000002</v>
      </c>
      <c r="BL193" s="498">
        <f t="shared" si="152"/>
        <v>100.00636454000002</v>
      </c>
      <c r="BM193" s="652">
        <f>BM190+BM192-BM187</f>
        <v>100.00636454000002</v>
      </c>
      <c r="BN193" s="652">
        <f>BN190+BN192-BN187</f>
        <v>100.00636454000002</v>
      </c>
      <c r="BO193" s="652">
        <f>BO190+BO192-BO187</f>
        <v>250.00887339000005</v>
      </c>
      <c r="BP193" s="652">
        <f>BP190+BP192-BP187</f>
        <v>203.89791423000005</v>
      </c>
      <c r="BQ193" s="498">
        <f>BP193</f>
        <v>203.89791423000005</v>
      </c>
      <c r="BR193" s="652">
        <f>BR190+BR192-BR187</f>
        <v>169.06474873000005</v>
      </c>
      <c r="BS193" s="652">
        <f>BS190+BS192-BS187</f>
        <v>149.09410265000005</v>
      </c>
      <c r="BT193" s="652">
        <f>BT190+BT192-BT187</f>
        <v>119.07589365000005</v>
      </c>
      <c r="BU193" s="652">
        <f>BU190+BU192-BU187</f>
        <v>92.856927370000051</v>
      </c>
      <c r="BV193" s="498">
        <f>BU193</f>
        <v>92.856927370000051</v>
      </c>
      <c r="BW193" s="652">
        <f>BW190+BW192-BW187</f>
        <v>329.21987437000007</v>
      </c>
      <c r="BX193" s="652">
        <f>BX190+BX192-BX187</f>
        <v>272.04799265000008</v>
      </c>
      <c r="BY193" s="652">
        <f>BY190+BY192-BY187</f>
        <v>270.85017665000009</v>
      </c>
      <c r="BZ193" s="652">
        <f>BZ190+BZ192-BZ187</f>
        <v>242.6107781500001</v>
      </c>
      <c r="CA193" s="498">
        <f>BZ193</f>
        <v>242.6107781500001</v>
      </c>
      <c r="CB193" s="652">
        <f>CB190+CB192-CB187</f>
        <v>212.54119549000009</v>
      </c>
      <c r="CC193" s="652">
        <f>CC190+CC192-CC187</f>
        <v>561.63693265000006</v>
      </c>
      <c r="CD193" s="652">
        <f>CD190+CD192-CD187</f>
        <v>459.79037968000006</v>
      </c>
      <c r="CE193" s="652">
        <f>CE190+CE192-CE187</f>
        <v>384.88455268000007</v>
      </c>
      <c r="CF193" s="654">
        <f>CE193</f>
        <v>384.88455268000007</v>
      </c>
      <c r="CG193" s="652">
        <f>CG190+CG192-CG187</f>
        <v>373.70397943000006</v>
      </c>
      <c r="CH193" s="652">
        <f>CH190+CH192-CH187</f>
        <v>373.70397943000006</v>
      </c>
      <c r="CI193" s="655">
        <f>CI190+CI192-CI187</f>
        <v>317.94697099000007</v>
      </c>
      <c r="CJ193" s="655">
        <f>CJ190+CJ192-CJ187</f>
        <v>241.90125553000007</v>
      </c>
      <c r="CK193" s="654">
        <f>CJ193</f>
        <v>241.90125553000007</v>
      </c>
      <c r="CL193" s="652">
        <f>CL190+CL192-CL187</f>
        <v>217.26594670000009</v>
      </c>
      <c r="CM193" s="652"/>
      <c r="CN193" s="652"/>
    </row>
    <row r="194" spans="1:92" hidden="1" outlineLevel="1">
      <c r="B194" s="646"/>
      <c r="C194" s="641"/>
      <c r="D194" s="641"/>
      <c r="E194" s="641"/>
      <c r="F194" s="641"/>
      <c r="G194" s="641"/>
      <c r="H194" s="641"/>
      <c r="I194" s="641"/>
      <c r="J194" s="641"/>
      <c r="K194" s="641"/>
      <c r="L194" s="641"/>
      <c r="M194" s="641"/>
      <c r="N194" s="641"/>
      <c r="O194" s="641"/>
      <c r="P194" s="641"/>
      <c r="Q194" s="642"/>
      <c r="R194" s="641"/>
      <c r="S194" s="641"/>
      <c r="T194" s="641"/>
      <c r="U194" s="641"/>
      <c r="V194" s="641"/>
      <c r="W194" s="641"/>
      <c r="X194" s="641"/>
      <c r="Y194" s="641"/>
      <c r="Z194" s="641"/>
      <c r="AA194" s="641"/>
      <c r="AB194" s="641"/>
      <c r="AC194" s="641"/>
      <c r="AD194" s="641"/>
      <c r="AE194" s="641"/>
      <c r="AF194" s="641"/>
      <c r="AG194" s="641"/>
      <c r="AH194" s="641"/>
      <c r="AI194" s="641"/>
      <c r="AJ194" s="641"/>
      <c r="AK194" s="641"/>
      <c r="BP194" s="604"/>
      <c r="CI194" s="604"/>
    </row>
    <row r="195" spans="1:92" hidden="1" outlineLevel="1">
      <c r="B195" s="610" t="s">
        <v>198</v>
      </c>
      <c r="C195" s="641"/>
      <c r="D195" s="641"/>
      <c r="E195" s="641"/>
      <c r="F195" s="641"/>
      <c r="G195" s="641"/>
      <c r="H195" s="641"/>
      <c r="I195" s="641"/>
      <c r="J195" s="641"/>
      <c r="K195" s="641"/>
      <c r="L195" s="641"/>
      <c r="M195" s="641"/>
      <c r="N195" s="641"/>
      <c r="O195" s="641"/>
      <c r="P195" s="641"/>
      <c r="Q195" s="642"/>
      <c r="R195" s="641"/>
      <c r="S195" s="641"/>
      <c r="T195" s="641"/>
      <c r="U195" s="641"/>
      <c r="V195" s="641"/>
      <c r="W195" s="641"/>
      <c r="X195" s="641"/>
      <c r="Y195" s="641"/>
      <c r="Z195" s="641"/>
      <c r="AA195" s="641"/>
      <c r="AB195" s="641"/>
      <c r="AC195" s="641"/>
      <c r="AD195" s="641"/>
      <c r="AE195" s="641"/>
      <c r="AF195" s="641"/>
      <c r="AG195" s="641"/>
      <c r="AH195" s="641"/>
      <c r="AI195" s="641"/>
      <c r="AJ195" s="641"/>
      <c r="AK195" s="641"/>
      <c r="BP195" s="604"/>
      <c r="CI195" s="604"/>
    </row>
    <row r="196" spans="1:92" hidden="1" outlineLevel="1">
      <c r="B196" s="646" t="s">
        <v>199</v>
      </c>
      <c r="C196" s="641"/>
      <c r="D196" s="641"/>
      <c r="E196" s="641"/>
      <c r="F196" s="641"/>
      <c r="G196" s="641"/>
      <c r="H196" s="641"/>
      <c r="I196" s="641"/>
      <c r="J196" s="641"/>
      <c r="K196" s="641"/>
      <c r="L196" s="641"/>
      <c r="M196" s="641"/>
      <c r="N196" s="641"/>
      <c r="O196" s="641"/>
      <c r="P196" s="641"/>
      <c r="Q196" s="642"/>
      <c r="R196" s="641"/>
      <c r="S196" s="641"/>
      <c r="T196" s="641"/>
      <c r="U196" s="641"/>
      <c r="V196" s="641"/>
      <c r="W196" s="641"/>
      <c r="X196" s="641"/>
      <c r="Y196" s="641"/>
      <c r="Z196" s="641"/>
      <c r="AA196" s="641"/>
      <c r="AB196" s="641"/>
      <c r="AC196" s="641"/>
      <c r="AD196" s="641"/>
      <c r="AE196" s="641"/>
      <c r="AF196" s="641"/>
      <c r="AG196" s="641"/>
      <c r="AH196" s="641"/>
      <c r="AI196" s="641"/>
      <c r="AJ196" s="641"/>
      <c r="AK196" s="641"/>
      <c r="BM196" s="638">
        <v>0.1</v>
      </c>
      <c r="BN196" s="638">
        <v>0.1</v>
      </c>
      <c r="BO196" s="638">
        <v>0.1</v>
      </c>
      <c r="BP196" s="638">
        <v>0.1</v>
      </c>
      <c r="BQ196" s="638">
        <f>SUM(BM196:BP196)</f>
        <v>0.4</v>
      </c>
      <c r="BR196" s="638">
        <v>0.1</v>
      </c>
      <c r="BS196" s="493">
        <v>0.11</v>
      </c>
      <c r="BT196" s="493">
        <v>0.11</v>
      </c>
      <c r="BU196" s="493">
        <v>0.11</v>
      </c>
      <c r="BV196" s="638">
        <f>SUM(BR196:BU196)</f>
        <v>0.43</v>
      </c>
      <c r="BW196" s="493">
        <v>0.11</v>
      </c>
      <c r="BX196" s="493">
        <v>0.11</v>
      </c>
      <c r="BY196" s="493">
        <v>0.125</v>
      </c>
      <c r="BZ196" s="493">
        <v>0.125</v>
      </c>
      <c r="CA196" s="638">
        <f>SUM(BW196:BZ196)</f>
        <v>0.47</v>
      </c>
      <c r="CB196" s="493">
        <v>0.125</v>
      </c>
      <c r="CC196" s="493">
        <v>0.125</v>
      </c>
      <c r="CD196" s="493">
        <v>0.15</v>
      </c>
      <c r="CE196" s="493">
        <v>0.15</v>
      </c>
      <c r="CF196" s="638">
        <f>SUM(CB196:CE196)</f>
        <v>0.55000000000000004</v>
      </c>
      <c r="CG196" s="493">
        <v>0.15</v>
      </c>
      <c r="CH196" s="493">
        <v>0.15</v>
      </c>
      <c r="CI196" s="493">
        <v>0.17</v>
      </c>
      <c r="CJ196" s="493">
        <v>0.17</v>
      </c>
      <c r="CK196" s="638">
        <f>SUM(CG196:CJ196)</f>
        <v>0.64</v>
      </c>
      <c r="CL196" s="493">
        <v>0.17</v>
      </c>
    </row>
    <row r="197" spans="1:92" collapsed="1">
      <c r="B197" s="646"/>
      <c r="C197" s="641"/>
      <c r="D197" s="641"/>
      <c r="E197" s="641"/>
      <c r="F197" s="641"/>
      <c r="G197" s="641"/>
      <c r="H197" s="641"/>
      <c r="I197" s="641"/>
      <c r="J197" s="641"/>
      <c r="K197" s="641"/>
      <c r="L197" s="641"/>
      <c r="M197" s="641"/>
      <c r="N197" s="641"/>
      <c r="O197" s="641"/>
      <c r="P197" s="641"/>
      <c r="Q197" s="642"/>
      <c r="R197" s="641"/>
      <c r="S197" s="641"/>
      <c r="T197" s="641"/>
      <c r="U197" s="641"/>
      <c r="V197" s="641"/>
      <c r="W197" s="641"/>
      <c r="X197" s="641"/>
      <c r="Y197" s="641"/>
      <c r="Z197" s="641"/>
      <c r="AA197" s="641"/>
      <c r="AB197" s="641"/>
      <c r="AC197" s="641"/>
      <c r="AD197" s="641"/>
      <c r="AE197" s="641"/>
      <c r="AF197" s="641"/>
      <c r="AG197" s="641"/>
      <c r="AH197" s="641"/>
      <c r="AI197" s="641"/>
      <c r="AJ197" s="641"/>
      <c r="AK197" s="641"/>
      <c r="BP197" s="604"/>
      <c r="CI197" s="604"/>
    </row>
    <row r="198" spans="1:92" hidden="1" outlineLevel="1">
      <c r="B198" s="710" t="s">
        <v>377</v>
      </c>
      <c r="C198" s="641"/>
      <c r="D198" s="641"/>
      <c r="E198" s="641"/>
      <c r="F198" s="641"/>
      <c r="G198" s="641"/>
      <c r="H198" s="641"/>
      <c r="I198" s="641"/>
      <c r="J198" s="641"/>
      <c r="K198" s="641"/>
      <c r="L198" s="641"/>
      <c r="M198" s="641"/>
      <c r="N198" s="641"/>
      <c r="O198" s="641"/>
      <c r="P198" s="641"/>
      <c r="Q198" s="642"/>
      <c r="R198" s="641"/>
      <c r="S198" s="641"/>
      <c r="T198" s="641"/>
      <c r="U198" s="641"/>
      <c r="V198" s="641"/>
      <c r="W198" s="641"/>
      <c r="X198" s="641"/>
      <c r="Y198" s="641"/>
      <c r="Z198" s="641"/>
      <c r="AA198" s="641"/>
      <c r="AB198" s="641"/>
      <c r="AC198" s="641"/>
      <c r="AD198" s="641"/>
      <c r="AE198" s="641"/>
      <c r="AF198" s="641"/>
      <c r="AG198" s="641"/>
      <c r="AH198" s="641"/>
      <c r="AI198" s="641"/>
      <c r="AJ198" s="641"/>
      <c r="AK198" s="641"/>
      <c r="BP198" s="604"/>
      <c r="CI198" s="604"/>
    </row>
    <row r="199" spans="1:92" hidden="1" outlineLevel="1">
      <c r="B199" s="646"/>
      <c r="C199" s="641"/>
      <c r="D199" s="641"/>
      <c r="E199" s="641"/>
      <c r="F199" s="641"/>
      <c r="G199" s="641"/>
      <c r="H199" s="641"/>
      <c r="I199" s="641"/>
      <c r="J199" s="641"/>
      <c r="K199" s="641"/>
      <c r="L199" s="641"/>
      <c r="M199" s="641"/>
      <c r="N199" s="641"/>
      <c r="O199" s="641"/>
      <c r="P199" s="641"/>
      <c r="Q199" s="642"/>
      <c r="R199" s="641"/>
      <c r="S199" s="641"/>
      <c r="T199" s="641"/>
      <c r="U199" s="641"/>
      <c r="V199" s="641"/>
      <c r="W199" s="641"/>
      <c r="X199" s="641"/>
      <c r="Y199" s="641"/>
      <c r="Z199" s="641"/>
      <c r="AA199" s="641"/>
      <c r="AB199" s="641"/>
      <c r="AC199" s="641"/>
      <c r="AD199" s="641"/>
      <c r="AE199" s="641"/>
      <c r="AF199" s="641"/>
      <c r="AG199" s="641"/>
      <c r="AH199" s="641"/>
      <c r="AI199" s="641"/>
      <c r="AJ199" s="641"/>
      <c r="AK199" s="641"/>
      <c r="BP199" s="604"/>
      <c r="CI199" s="604"/>
    </row>
    <row r="200" spans="1:92" collapsed="1">
      <c r="B200" s="681" t="s">
        <v>200</v>
      </c>
      <c r="C200" s="641"/>
      <c r="D200" s="641"/>
      <c r="E200" s="641"/>
      <c r="F200" s="641"/>
      <c r="G200" s="641"/>
      <c r="H200" s="641"/>
      <c r="I200" s="641"/>
      <c r="J200" s="641"/>
      <c r="K200" s="656"/>
      <c r="L200" s="641"/>
      <c r="M200" s="641"/>
      <c r="N200" s="641"/>
      <c r="O200" s="641"/>
      <c r="P200" s="641"/>
      <c r="Q200" s="642"/>
      <c r="R200" s="641"/>
      <c r="S200" s="641"/>
      <c r="T200" s="641"/>
      <c r="U200" s="641"/>
      <c r="V200" s="641"/>
      <c r="W200" s="641"/>
      <c r="X200" s="641"/>
      <c r="Y200" s="641"/>
      <c r="Z200" s="641"/>
      <c r="AA200" s="641"/>
      <c r="AB200" s="641"/>
      <c r="AC200" s="641"/>
      <c r="AD200" s="641"/>
      <c r="AE200" s="641"/>
      <c r="AF200" s="641"/>
      <c r="AG200" s="641"/>
      <c r="AH200" s="641"/>
      <c r="AI200" s="641"/>
      <c r="AJ200" s="641"/>
      <c r="AK200" s="641"/>
      <c r="BP200" s="604"/>
      <c r="CI200" s="604"/>
    </row>
    <row r="201" spans="1:92">
      <c r="B201" s="646" t="s">
        <v>269</v>
      </c>
      <c r="C201" s="657">
        <f>(2.653+1.304)*-1</f>
        <v>-3.9569999999999999</v>
      </c>
      <c r="D201" s="657">
        <f>(4.256+0.897)*-1</f>
        <v>-5.1530000000000005</v>
      </c>
      <c r="E201" s="657">
        <f>(4.8+1.5)*-1</f>
        <v>-6.3</v>
      </c>
      <c r="F201" s="657">
        <f>(-1.4+0.2)*-1</f>
        <v>1.2</v>
      </c>
      <c r="G201" s="657">
        <f>(2.5+1.6)*-1</f>
        <v>-4.0999999999999996</v>
      </c>
      <c r="H201" s="657">
        <f>(1.9+4.9)*-1</f>
        <v>-6.8000000000000007</v>
      </c>
      <c r="I201" s="657">
        <f>(2.9+3.2)*-1</f>
        <v>-6.1</v>
      </c>
      <c r="J201" s="657">
        <v>-1.8</v>
      </c>
      <c r="K201" s="657">
        <f>(0.8+1)*-1</f>
        <v>-1.8</v>
      </c>
      <c r="L201" s="657">
        <f>(0.9+1)*-1</f>
        <v>-1.9</v>
      </c>
      <c r="M201" s="657">
        <f>(N201-SUM(J201:L201))</f>
        <v>-2</v>
      </c>
      <c r="N201" s="657">
        <f>(3.4+4.1)*-1</f>
        <v>-7.5</v>
      </c>
      <c r="O201" s="657">
        <f>(1+1.1)*-1</f>
        <v>-2.1</v>
      </c>
      <c r="P201" s="657">
        <f>(0.9+1.1)*-1</f>
        <v>-2</v>
      </c>
      <c r="Q201" s="658">
        <f>(1+1)*-1</f>
        <v>-2</v>
      </c>
      <c r="R201" s="657">
        <f>(S201-SUM(O201:Q201))</f>
        <v>-1.7000000000000002</v>
      </c>
      <c r="S201" s="657">
        <f>(3.8+4)*-1</f>
        <v>-7.8</v>
      </c>
      <c r="T201" s="657">
        <v>-1.9</v>
      </c>
      <c r="U201" s="657">
        <v>-2.1</v>
      </c>
      <c r="V201" s="657">
        <f>(1+1)*-1</f>
        <v>-2</v>
      </c>
      <c r="W201" s="657">
        <f>(X201-SUM(T201:V201))</f>
        <v>-2.5</v>
      </c>
      <c r="X201" s="657">
        <f>(4.4+4.1)*-1</f>
        <v>-8.5</v>
      </c>
      <c r="Y201" s="657">
        <f>(1.2+0.9)*-1</f>
        <v>-2.1</v>
      </c>
      <c r="Z201" s="657">
        <f>(1.5+0.9)*-1</f>
        <v>-2.4</v>
      </c>
      <c r="AA201" s="657">
        <f>(1.4+1)*-1</f>
        <v>-2.4</v>
      </c>
      <c r="AB201" s="657">
        <f>(AC201-SUM(Y201:AA201))</f>
        <v>-12.1</v>
      </c>
      <c r="AC201" s="657">
        <f>(14.1+4.9)*-1</f>
        <v>-19</v>
      </c>
      <c r="AD201" s="657">
        <f>(3.4+0.8)*-1</f>
        <v>-4.2</v>
      </c>
      <c r="AE201" s="657">
        <f>(0.6+0.8)*-1</f>
        <v>-1.4</v>
      </c>
      <c r="AF201" s="657">
        <f>(0.8+0.7)*-1</f>
        <v>-1.5</v>
      </c>
      <c r="AG201" s="657">
        <f>(AH201-SUM(AD201:AF201))</f>
        <v>-1.4000000000000004</v>
      </c>
      <c r="AH201" s="657">
        <f>(5.3+3.2)*-1</f>
        <v>-8.5</v>
      </c>
      <c r="AI201" s="657">
        <f>(0.7+0.8)*-1</f>
        <v>-1.5</v>
      </c>
      <c r="AJ201" s="657">
        <f>(0.6+0.9)*-1</f>
        <v>-1.5</v>
      </c>
      <c r="AK201" s="657">
        <f>(1.3)*-1</f>
        <v>-1.3</v>
      </c>
      <c r="AL201" s="657">
        <f>(AM201-SUM(AI201:AK201))</f>
        <v>-3.5000000000000009</v>
      </c>
      <c r="AM201" s="628">
        <f>-3.1-4.7</f>
        <v>-7.8000000000000007</v>
      </c>
      <c r="AN201" s="498">
        <v>-0.7</v>
      </c>
      <c r="AO201" s="498">
        <f>(0.8+1.5)*-1</f>
        <v>-2.2999999999999998</v>
      </c>
      <c r="AP201" s="498">
        <f>(0.8+1.6)*-1</f>
        <v>-2.4000000000000004</v>
      </c>
      <c r="AQ201" s="498">
        <f>(AR201-SUM(AN201:AP201))</f>
        <v>-3.5999999999999996</v>
      </c>
      <c r="AR201" s="657">
        <f>-3.1-5.9</f>
        <v>-9</v>
      </c>
      <c r="AS201" s="498">
        <v>-0.8</v>
      </c>
      <c r="AT201" s="498">
        <f>(0.8+0.1)*-1</f>
        <v>-0.9</v>
      </c>
      <c r="AU201" s="611">
        <v>-1.3</v>
      </c>
      <c r="AV201" s="498">
        <f>+AW201-AS201-AT201-AU201</f>
        <v>3.3</v>
      </c>
      <c r="AW201" s="612">
        <v>0.3</v>
      </c>
      <c r="AX201" s="604">
        <v>-1.2</v>
      </c>
      <c r="AY201" s="604">
        <v>-1.1000000000000001</v>
      </c>
      <c r="AZ201" s="604">
        <v>-1.3</v>
      </c>
      <c r="BA201" s="498">
        <f>-4.7-AZ201-AY201-AX201</f>
        <v>-1.1000000000000003</v>
      </c>
      <c r="BB201" s="498">
        <f>SUM(AX201:BA201)</f>
        <v>-4.7</v>
      </c>
      <c r="BC201" s="604">
        <v>-1.6</v>
      </c>
      <c r="BD201" s="604">
        <v>-1.5</v>
      </c>
      <c r="BE201" s="604">
        <v>-1.8</v>
      </c>
      <c r="BF201" s="498">
        <f>-6.5-SUM(BC201:BE201)</f>
        <v>-1.5999999999999996</v>
      </c>
      <c r="BG201" s="498">
        <f>SUM(BC201:BF201)</f>
        <v>-6.5</v>
      </c>
      <c r="BH201" s="604">
        <v>-2.7</v>
      </c>
      <c r="BI201" s="604">
        <v>-2.8</v>
      </c>
      <c r="BJ201" s="604">
        <v>-0.5</v>
      </c>
      <c r="BK201" s="498">
        <f>-6.5-SUM(BH201:BJ201)</f>
        <v>-0.5</v>
      </c>
      <c r="BL201" s="498">
        <f>SUM(BH201:BK201)</f>
        <v>-6.5</v>
      </c>
      <c r="BM201" s="604">
        <v>-1.2</v>
      </c>
      <c r="BN201" s="604">
        <v>-1.2</v>
      </c>
      <c r="BO201" s="604">
        <v>-0.4</v>
      </c>
      <c r="BP201" s="498">
        <f>BQ201-SUM(BM201:BO201)</f>
        <v>-0.60000000000000009</v>
      </c>
      <c r="BQ201" s="498">
        <v>-3.4</v>
      </c>
      <c r="BR201" s="604">
        <v>-0.5</v>
      </c>
      <c r="BS201" s="604">
        <v>-0.6</v>
      </c>
      <c r="BT201" s="604">
        <v>-0.5</v>
      </c>
      <c r="BU201" s="498">
        <f>BV201-SUM(BR201:BT201)</f>
        <v>-0.69999999999999973</v>
      </c>
      <c r="BV201" s="498">
        <v>-2.2999999999999998</v>
      </c>
      <c r="BW201" s="604">
        <v>-0.6</v>
      </c>
      <c r="BX201" s="604">
        <v>-0.7</v>
      </c>
      <c r="BY201" s="604">
        <v>-0.6</v>
      </c>
      <c r="BZ201" s="498">
        <f>CA201-SUM(BW201:BY201)</f>
        <v>-1.1000000000000001</v>
      </c>
      <c r="CA201" s="498">
        <v>-3</v>
      </c>
      <c r="CB201" s="604">
        <v>-0.4</v>
      </c>
      <c r="CC201" s="604">
        <v>-0.5</v>
      </c>
      <c r="CD201" s="604">
        <v>-0.4</v>
      </c>
      <c r="CE201" s="498">
        <f>CF201-SUM(CB201:CD201)</f>
        <v>-0.7</v>
      </c>
      <c r="CF201" s="498">
        <v>-2</v>
      </c>
      <c r="CG201" s="604">
        <v>-0.5</v>
      </c>
      <c r="CH201" s="604">
        <v>-0.4</v>
      </c>
      <c r="CI201" s="604">
        <v>-0.5</v>
      </c>
      <c r="CJ201" s="498">
        <f>CK201-SUM(CG201:CI201)</f>
        <v>-0.5</v>
      </c>
      <c r="CK201" s="498">
        <v>-1.9</v>
      </c>
      <c r="CL201" s="604">
        <v>-0.5</v>
      </c>
      <c r="CM201" s="604"/>
      <c r="CN201" s="604"/>
    </row>
    <row r="202" spans="1:92">
      <c r="Q202" s="606"/>
      <c r="BP202" s="604"/>
    </row>
    <row r="203" spans="1:92">
      <c r="B203" s="498" t="s">
        <v>201</v>
      </c>
      <c r="C203" s="498">
        <f>13.037+22.813</f>
        <v>35.85</v>
      </c>
      <c r="D203" s="498">
        <f>21.545+47.099</f>
        <v>68.644000000000005</v>
      </c>
      <c r="E203" s="498">
        <f>21.4+45</f>
        <v>66.400000000000006</v>
      </c>
      <c r="F203" s="498">
        <f>24.1+49.8</f>
        <v>73.900000000000006</v>
      </c>
      <c r="G203" s="498">
        <f>27.7+56.3</f>
        <v>84</v>
      </c>
      <c r="H203" s="498">
        <f>25.9+66.5</f>
        <v>92.4</v>
      </c>
      <c r="I203" s="498">
        <f>13.2+59.3</f>
        <v>72.5</v>
      </c>
      <c r="N203" s="498">
        <f>33.7+101.4</f>
        <v>135.10000000000002</v>
      </c>
      <c r="Q203" s="606"/>
      <c r="S203" s="498">
        <f>36.3+106.5</f>
        <v>142.80000000000001</v>
      </c>
      <c r="X203" s="498">
        <f>39.4+132.4</f>
        <v>171.8</v>
      </c>
      <c r="AC203" s="498">
        <f>22.1+131.3</f>
        <v>153.4</v>
      </c>
      <c r="AH203" s="498">
        <f>17.1+97.4</f>
        <v>114.5</v>
      </c>
      <c r="AM203" s="659">
        <f>23.3+134.6</f>
        <v>157.9</v>
      </c>
      <c r="AR203" s="659">
        <f>134.1+27.8</f>
        <v>161.9</v>
      </c>
      <c r="AW203" s="498">
        <f>33.4+139.8</f>
        <v>173.20000000000002</v>
      </c>
      <c r="BB203" s="604">
        <f>38.6+164.8</f>
        <v>203.4</v>
      </c>
      <c r="BG203" s="498">
        <f>41.9+162.7</f>
        <v>204.6</v>
      </c>
      <c r="BL203" s="498">
        <f>19.1+179.8</f>
        <v>198.9</v>
      </c>
      <c r="BP203" s="604"/>
      <c r="BQ203" s="498">
        <f>162.8+17.7</f>
        <v>180.5</v>
      </c>
      <c r="BV203" s="498">
        <f>164.1+19.7</f>
        <v>183.79999999999998</v>
      </c>
      <c r="CA203" s="498">
        <f>21.4+189.5</f>
        <v>210.9</v>
      </c>
      <c r="CF203" s="498">
        <f>18.2+160.9</f>
        <v>179.1</v>
      </c>
      <c r="CK203" s="498">
        <f>20.3+188.6</f>
        <v>208.9</v>
      </c>
    </row>
    <row r="204" spans="1:92">
      <c r="B204" s="498" t="s">
        <v>202</v>
      </c>
      <c r="C204" s="613">
        <f>8.343+5.974</f>
        <v>14.317</v>
      </c>
      <c r="D204" s="613">
        <f>11.545+51.698</f>
        <v>63.243000000000002</v>
      </c>
      <c r="E204" s="613">
        <f>13.6+66.2</f>
        <v>79.8</v>
      </c>
      <c r="F204" s="613">
        <f>14.7+60.4</f>
        <v>75.099999999999994</v>
      </c>
      <c r="G204" s="613">
        <f>14.5+51.9</f>
        <v>66.400000000000006</v>
      </c>
      <c r="H204" s="613">
        <f>11.8+47.5</f>
        <v>59.3</v>
      </c>
      <c r="I204" s="613">
        <f>-3.8+5.3</f>
        <v>1.5</v>
      </c>
      <c r="J204" s="613"/>
      <c r="K204" s="613"/>
      <c r="L204" s="613"/>
      <c r="M204" s="613"/>
      <c r="N204" s="613">
        <f>14.4+72.4</f>
        <v>86.800000000000011</v>
      </c>
      <c r="O204" s="613"/>
      <c r="P204" s="613"/>
      <c r="Q204" s="660"/>
      <c r="R204" s="613"/>
      <c r="S204" s="613">
        <f>15.1+81.9</f>
        <v>97</v>
      </c>
      <c r="T204" s="613"/>
      <c r="U204" s="613"/>
      <c r="V204" s="613"/>
      <c r="W204" s="613"/>
      <c r="X204" s="613">
        <f>16.5+105</f>
        <v>121.5</v>
      </c>
      <c r="Y204" s="613"/>
      <c r="Z204" s="613"/>
      <c r="AA204" s="613"/>
      <c r="AB204" s="613"/>
      <c r="AC204" s="613">
        <f>0.4+119.6</f>
        <v>120</v>
      </c>
      <c r="AD204" s="613"/>
      <c r="AE204" s="613"/>
      <c r="AF204" s="613"/>
      <c r="AG204" s="613"/>
      <c r="AH204" s="613">
        <f>74.2</f>
        <v>74.2</v>
      </c>
      <c r="AM204" s="661">
        <f>0+93.3</f>
        <v>93.3</v>
      </c>
      <c r="AN204" s="613"/>
      <c r="AO204" s="613"/>
      <c r="AP204" s="613"/>
      <c r="AQ204" s="613"/>
      <c r="AR204" s="661">
        <v>106.9</v>
      </c>
      <c r="AS204" s="613"/>
      <c r="AT204" s="613"/>
      <c r="AU204" s="613"/>
      <c r="AV204" s="613"/>
      <c r="AW204" s="613">
        <v>110.8</v>
      </c>
      <c r="AX204" s="613"/>
      <c r="AY204" s="613"/>
      <c r="AZ204" s="613"/>
      <c r="BA204" s="613"/>
      <c r="BB204" s="604">
        <v>128.30000000000001</v>
      </c>
      <c r="BG204" s="498">
        <v>149.30000000000001</v>
      </c>
      <c r="BL204" s="498">
        <v>165.6</v>
      </c>
      <c r="BP204" s="604"/>
      <c r="BQ204" s="498">
        <v>160.4</v>
      </c>
      <c r="BV204" s="498">
        <v>171.4</v>
      </c>
      <c r="CA204" s="498">
        <v>201.8</v>
      </c>
      <c r="CF204" s="498">
        <v>184.3</v>
      </c>
      <c r="CK204" s="498">
        <v>214.3</v>
      </c>
    </row>
    <row r="205" spans="1:92" s="526" customFormat="1">
      <c r="A205" s="498"/>
      <c r="B205" s="526" t="s">
        <v>203</v>
      </c>
      <c r="C205" s="526">
        <f t="shared" ref="C205:I205" si="153">C204-C203</f>
        <v>-21.533000000000001</v>
      </c>
      <c r="D205" s="526">
        <f t="shared" si="153"/>
        <v>-5.4010000000000034</v>
      </c>
      <c r="E205" s="526">
        <f t="shared" si="153"/>
        <v>13.399999999999991</v>
      </c>
      <c r="F205" s="526">
        <f t="shared" si="153"/>
        <v>1.1999999999999886</v>
      </c>
      <c r="G205" s="526">
        <f t="shared" si="153"/>
        <v>-17.599999999999994</v>
      </c>
      <c r="H205" s="526">
        <f t="shared" si="153"/>
        <v>-33.100000000000009</v>
      </c>
      <c r="I205" s="526">
        <f t="shared" si="153"/>
        <v>-71</v>
      </c>
      <c r="N205" s="526">
        <f>N204-N203</f>
        <v>-48.300000000000011</v>
      </c>
      <c r="Q205" s="639"/>
      <c r="S205" s="526">
        <f>S204-S203</f>
        <v>-45.800000000000011</v>
      </c>
      <c r="X205" s="526">
        <f>X204-X203</f>
        <v>-50.300000000000011</v>
      </c>
      <c r="AC205" s="526">
        <f>AC204-AC203</f>
        <v>-33.400000000000006</v>
      </c>
      <c r="AH205" s="526">
        <f>AH204-AH203</f>
        <v>-40.299999999999997</v>
      </c>
      <c r="AM205" s="526">
        <f>AM204-AM203</f>
        <v>-64.600000000000009</v>
      </c>
      <c r="AR205" s="526">
        <f>AR204-AR203</f>
        <v>-55</v>
      </c>
      <c r="AW205" s="526">
        <f>AW204-AW203</f>
        <v>-62.40000000000002</v>
      </c>
      <c r="BB205" s="711">
        <f>BB204-BB203</f>
        <v>-75.099999999999994</v>
      </c>
      <c r="BC205" s="720"/>
      <c r="BD205" s="720"/>
      <c r="BE205" s="720"/>
      <c r="BF205" s="720"/>
      <c r="BG205" s="711">
        <f>BG204-BG203</f>
        <v>-55.299999999999983</v>
      </c>
      <c r="BH205" s="720"/>
      <c r="BI205" s="720"/>
      <c r="BJ205" s="720"/>
      <c r="BK205" s="720"/>
      <c r="BL205" s="711">
        <f>BL204-BL203</f>
        <v>-33.300000000000011</v>
      </c>
      <c r="BM205" s="720"/>
      <c r="BN205" s="720"/>
      <c r="BO205" s="720"/>
      <c r="BP205" s="720"/>
      <c r="BQ205" s="711">
        <f>BQ204-BQ203</f>
        <v>-20.099999999999994</v>
      </c>
      <c r="BR205" s="720"/>
      <c r="BS205" s="720"/>
      <c r="BT205" s="720"/>
      <c r="BU205" s="720"/>
      <c r="BV205" s="711">
        <f>BV204-BV203</f>
        <v>-12.399999999999977</v>
      </c>
      <c r="BW205" s="720"/>
      <c r="BX205" s="720"/>
      <c r="BY205" s="720"/>
      <c r="BZ205" s="720"/>
      <c r="CA205" s="711">
        <f>CA204-CA203</f>
        <v>-9.0999999999999943</v>
      </c>
      <c r="CB205" s="720"/>
      <c r="CC205" s="720"/>
      <c r="CD205" s="720"/>
      <c r="CE205" s="720"/>
      <c r="CF205" s="711">
        <f>CF204-CF203</f>
        <v>5.2000000000000171</v>
      </c>
      <c r="CG205" s="720"/>
      <c r="CH205" s="720"/>
      <c r="CI205" s="720"/>
      <c r="CJ205" s="720"/>
      <c r="CK205" s="711">
        <f>CK204-CK203</f>
        <v>5.4000000000000057</v>
      </c>
    </row>
    <row r="206" spans="1:92" s="526" customFormat="1">
      <c r="A206" s="498"/>
      <c r="B206" s="526" t="s">
        <v>204</v>
      </c>
      <c r="G206" s="526">
        <v>-6.7</v>
      </c>
      <c r="H206" s="526">
        <v>-17.100000000000001</v>
      </c>
      <c r="I206" s="526">
        <v>-8.8000000000000007</v>
      </c>
      <c r="N206" s="526">
        <v>-15.4</v>
      </c>
      <c r="Q206" s="639"/>
      <c r="S206" s="526">
        <v>-11.2</v>
      </c>
      <c r="X206" s="526">
        <f>-15.8-17</f>
        <v>-32.799999999999997</v>
      </c>
      <c r="AC206" s="526">
        <v>-11.4</v>
      </c>
      <c r="AH206" s="526">
        <v>-13</v>
      </c>
      <c r="AM206" s="526">
        <v>-28.1</v>
      </c>
      <c r="AR206" s="526">
        <v>-20.8</v>
      </c>
      <c r="AW206" s="526">
        <v>-30.4</v>
      </c>
      <c r="BB206" s="703">
        <v>-41.2</v>
      </c>
      <c r="BC206" s="699"/>
      <c r="BD206" s="699"/>
      <c r="BE206" s="699"/>
      <c r="BF206" s="699"/>
      <c r="BG206" s="700">
        <v>-24.2</v>
      </c>
      <c r="BH206" s="699"/>
      <c r="BI206" s="699"/>
      <c r="BJ206" s="699"/>
      <c r="BK206" s="699"/>
      <c r="BL206" s="700">
        <v>-27.6</v>
      </c>
      <c r="BM206" s="699"/>
      <c r="BN206" s="699"/>
      <c r="BO206" s="699"/>
      <c r="BP206" s="702"/>
      <c r="BQ206" s="700">
        <v>-22.7</v>
      </c>
      <c r="BR206" s="699"/>
      <c r="BS206" s="699"/>
      <c r="BT206" s="699"/>
      <c r="BU206" s="699"/>
      <c r="BV206" s="700">
        <v>-14.6</v>
      </c>
      <c r="BW206" s="699"/>
      <c r="BX206" s="699"/>
      <c r="BY206" s="699"/>
      <c r="BZ206" s="699"/>
      <c r="CA206" s="700">
        <f>CA69</f>
        <v>-45</v>
      </c>
      <c r="CB206" s="699"/>
      <c r="CC206" s="699"/>
      <c r="CD206" s="699"/>
      <c r="CE206" s="699"/>
      <c r="CF206" s="700">
        <f>CF69</f>
        <v>-108</v>
      </c>
      <c r="CG206" s="699"/>
      <c r="CH206" s="699"/>
      <c r="CI206" s="699"/>
      <c r="CJ206" s="699"/>
      <c r="CK206" s="700">
        <f>CK69</f>
        <v>-118.7</v>
      </c>
    </row>
    <row r="207" spans="1:92">
      <c r="Q207" s="606"/>
      <c r="BP207" s="604"/>
    </row>
    <row r="208" spans="1:92">
      <c r="B208" s="681" t="s">
        <v>318</v>
      </c>
      <c r="Q208" s="606"/>
      <c r="BP208" s="604"/>
    </row>
    <row r="209" spans="2:97" s="611" customFormat="1">
      <c r="B209" s="606" t="s">
        <v>278</v>
      </c>
      <c r="C209" s="611">
        <v>3687</v>
      </c>
      <c r="D209" s="611">
        <v>4092</v>
      </c>
      <c r="E209" s="611">
        <v>4582</v>
      </c>
      <c r="F209" s="611">
        <v>4899</v>
      </c>
      <c r="G209" s="611">
        <v>3973</v>
      </c>
      <c r="H209" s="611">
        <v>4169</v>
      </c>
      <c r="I209" s="611">
        <v>4373</v>
      </c>
      <c r="N209" s="611">
        <v>4574</v>
      </c>
      <c r="S209" s="611">
        <v>3573</v>
      </c>
      <c r="X209" s="611">
        <v>3920</v>
      </c>
      <c r="AC209" s="611">
        <v>4387</v>
      </c>
      <c r="AH209" s="611">
        <v>4594</v>
      </c>
      <c r="AM209" s="611">
        <v>4634</v>
      </c>
      <c r="AR209" s="611">
        <v>4683.3999999999996</v>
      </c>
      <c r="AW209" s="611">
        <f>AW211-AW210</f>
        <v>4862.5</v>
      </c>
      <c r="BB209" s="611">
        <f>BB211-BB210</f>
        <v>1459.1999999999998</v>
      </c>
      <c r="BG209" s="611">
        <f>BG211-BG210</f>
        <v>1661.2</v>
      </c>
      <c r="BL209" s="611">
        <f>BL211-BL210</f>
        <v>1868.7</v>
      </c>
      <c r="BP209" s="604"/>
      <c r="BQ209" s="611">
        <f>BQ211-BQ210</f>
        <v>2099.3999999999996</v>
      </c>
      <c r="BV209" s="611">
        <f>BV211-BV210</f>
        <v>2378.3999999999996</v>
      </c>
      <c r="CA209" s="611">
        <f>CA211-CA210</f>
        <v>2743.9</v>
      </c>
      <c r="CF209" s="611">
        <f>CF211-CF210</f>
        <v>2839.9</v>
      </c>
      <c r="CK209" s="611">
        <f>CK211-CK210</f>
        <v>3075.1</v>
      </c>
      <c r="CP209" s="611">
        <f>CP211-CP210</f>
        <v>3118.3</v>
      </c>
      <c r="CQ209" s="611">
        <f>CQ211-CQ210</f>
        <v>3218.3</v>
      </c>
      <c r="CR209" s="611">
        <f>CR211-CR210</f>
        <v>3328.3</v>
      </c>
      <c r="CS209" s="611">
        <f>CS211-CS210</f>
        <v>3468.3</v>
      </c>
    </row>
    <row r="210" spans="2:97" s="611" customFormat="1" ht="15" thickBot="1">
      <c r="B210" s="606" t="s">
        <v>234</v>
      </c>
      <c r="C210" s="611">
        <f t="shared" ref="C210:I210" si="154">C211-C209</f>
        <v>-3355.5230000000001</v>
      </c>
      <c r="D210" s="611">
        <f t="shared" si="154"/>
        <v>-3659.4270000000001</v>
      </c>
      <c r="E210" s="611">
        <f t="shared" si="154"/>
        <v>-4189.8999999999996</v>
      </c>
      <c r="F210" s="611">
        <f t="shared" si="154"/>
        <v>-4539.3</v>
      </c>
      <c r="G210" s="611">
        <f t="shared" si="154"/>
        <v>-3643.8</v>
      </c>
      <c r="H210" s="611">
        <f t="shared" si="154"/>
        <v>-3859.6</v>
      </c>
      <c r="I210" s="611">
        <f t="shared" si="154"/>
        <v>-4079.1</v>
      </c>
      <c r="N210" s="611">
        <f>N211-N209</f>
        <v>-4287.3999999999996</v>
      </c>
      <c r="S210" s="611">
        <f>S211-S209</f>
        <v>-3287.8</v>
      </c>
      <c r="X210" s="611">
        <f>X211-X209</f>
        <v>-3549.6</v>
      </c>
      <c r="AC210" s="611">
        <f>AC211-AC209</f>
        <v>-3943.9</v>
      </c>
      <c r="AH210" s="611">
        <f>AH211-AH209</f>
        <v>-4041.7</v>
      </c>
      <c r="AM210" s="611">
        <v>-4031.9</v>
      </c>
      <c r="AR210" s="611">
        <v>-4085.1</v>
      </c>
      <c r="AW210" s="611">
        <f>AR210-'Cash Flow'!AW10</f>
        <v>-4140.3999999999996</v>
      </c>
      <c r="BB210" s="611">
        <v>-544.79999999999995</v>
      </c>
      <c r="BG210" s="611">
        <v>-593.79999999999995</v>
      </c>
      <c r="BL210" s="611">
        <v>-630.5</v>
      </c>
      <c r="BP210" s="604"/>
      <c r="BQ210" s="611">
        <v>-673.8</v>
      </c>
      <c r="BV210" s="611">
        <v>-752.8</v>
      </c>
      <c r="CA210" s="611">
        <v>-877.6</v>
      </c>
      <c r="CF210" s="611">
        <v>-963.4</v>
      </c>
      <c r="CK210" s="611">
        <v>-1132.3</v>
      </c>
      <c r="CP210" s="662">
        <f>CK210-'Cash Flow'!CP10</f>
        <v>-1279.8</v>
      </c>
      <c r="CQ210" s="662">
        <f>CP210-'Cash Flow'!CQ10</f>
        <v>-1434.8</v>
      </c>
      <c r="CR210" s="662">
        <f>CQ210-'Cash Flow'!CR10</f>
        <v>-1584.8</v>
      </c>
      <c r="CS210" s="662">
        <f>CR210-'Cash Flow'!CS10</f>
        <v>-1729.8</v>
      </c>
    </row>
    <row r="211" spans="2:97" s="611" customFormat="1">
      <c r="B211" s="721" t="s">
        <v>235</v>
      </c>
      <c r="C211" s="723">
        <f t="shared" ref="C211:I211" si="155">C44</f>
        <v>331.47699999999998</v>
      </c>
      <c r="D211" s="723">
        <f t="shared" si="155"/>
        <v>432.57299999999998</v>
      </c>
      <c r="E211" s="723">
        <f t="shared" si="155"/>
        <v>392.1</v>
      </c>
      <c r="F211" s="723">
        <f t="shared" si="155"/>
        <v>359.7</v>
      </c>
      <c r="G211" s="723">
        <f t="shared" si="155"/>
        <v>329.2</v>
      </c>
      <c r="H211" s="723">
        <f t="shared" si="155"/>
        <v>309.39999999999998</v>
      </c>
      <c r="I211" s="723">
        <f t="shared" si="155"/>
        <v>293.89999999999998</v>
      </c>
      <c r="J211" s="722"/>
      <c r="K211" s="722"/>
      <c r="L211" s="722"/>
      <c r="M211" s="722"/>
      <c r="N211" s="723">
        <f>N44</f>
        <v>286.60000000000002</v>
      </c>
      <c r="O211" s="722"/>
      <c r="P211" s="722"/>
      <c r="Q211" s="722"/>
      <c r="R211" s="722"/>
      <c r="S211" s="723">
        <f>S44</f>
        <v>285.2</v>
      </c>
      <c r="T211" s="722"/>
      <c r="U211" s="722"/>
      <c r="V211" s="722"/>
      <c r="W211" s="722"/>
      <c r="X211" s="723">
        <f>X44</f>
        <v>370.4</v>
      </c>
      <c r="Y211" s="722"/>
      <c r="Z211" s="722"/>
      <c r="AA211" s="722"/>
      <c r="AB211" s="722"/>
      <c r="AC211" s="723">
        <f>AC44</f>
        <v>443.1</v>
      </c>
      <c r="AD211" s="722"/>
      <c r="AE211" s="722"/>
      <c r="AF211" s="722"/>
      <c r="AG211" s="722"/>
      <c r="AH211" s="723">
        <f>AH44</f>
        <v>552.29999999999995</v>
      </c>
      <c r="AI211" s="722"/>
      <c r="AJ211" s="722"/>
      <c r="AK211" s="722"/>
      <c r="AL211" s="722"/>
      <c r="AM211" s="723">
        <v>602.1</v>
      </c>
      <c r="AN211" s="722"/>
      <c r="AO211" s="722"/>
      <c r="AP211" s="722"/>
      <c r="AQ211" s="722"/>
      <c r="AR211" s="723">
        <v>598.29999999999995</v>
      </c>
      <c r="AS211" s="722"/>
      <c r="AT211" s="722"/>
      <c r="AU211" s="722"/>
      <c r="AV211" s="722"/>
      <c r="AW211" s="723">
        <f>'BS (2)'!AW13</f>
        <v>722.1</v>
      </c>
      <c r="AX211" s="722"/>
      <c r="AY211" s="722"/>
      <c r="AZ211" s="722"/>
      <c r="BA211" s="722"/>
      <c r="BB211" s="712">
        <f>'BS (2)'!BB13</f>
        <v>914.4</v>
      </c>
      <c r="BC211" s="712"/>
      <c r="BD211" s="712"/>
      <c r="BE211" s="712"/>
      <c r="BF211" s="712"/>
      <c r="BG211" s="712">
        <f>'BS (2)'!BG13</f>
        <v>1067.4000000000001</v>
      </c>
      <c r="BH211" s="712"/>
      <c r="BI211" s="712"/>
      <c r="BJ211" s="712"/>
      <c r="BK211" s="712"/>
      <c r="BL211" s="712">
        <f>'BS (2)'!BL13</f>
        <v>1238.2</v>
      </c>
      <c r="BM211" s="712"/>
      <c r="BN211" s="712"/>
      <c r="BO211" s="712"/>
      <c r="BP211" s="712"/>
      <c r="BQ211" s="712">
        <f>'BS (2)'!BQ13</f>
        <v>1425.6</v>
      </c>
      <c r="BR211" s="712"/>
      <c r="BS211" s="712"/>
      <c r="BT211" s="712"/>
      <c r="BU211" s="712"/>
      <c r="BV211" s="712">
        <f>'BS (2)'!BV13</f>
        <v>1625.6</v>
      </c>
      <c r="BW211" s="712"/>
      <c r="BX211" s="712"/>
      <c r="BY211" s="712"/>
      <c r="BZ211" s="712"/>
      <c r="CA211" s="712">
        <f>'BS (2)'!CA13</f>
        <v>1866.3</v>
      </c>
      <c r="CB211" s="712"/>
      <c r="CC211" s="712"/>
      <c r="CD211" s="712"/>
      <c r="CE211" s="712"/>
      <c r="CF211" s="712">
        <f>'BS (2)'!CF13</f>
        <v>1876.5</v>
      </c>
      <c r="CG211" s="712"/>
      <c r="CH211" s="712"/>
      <c r="CI211" s="712"/>
      <c r="CJ211" s="712"/>
      <c r="CK211" s="712">
        <f>'BS (2)'!CK13</f>
        <v>1942.8</v>
      </c>
      <c r="CL211" s="712"/>
      <c r="CM211" s="712"/>
      <c r="CN211" s="712"/>
      <c r="CO211" s="712"/>
      <c r="CP211" s="712">
        <f>'BS (2)'!CP13</f>
        <v>1838.5</v>
      </c>
      <c r="CQ211" s="712">
        <f>'BS (2)'!CQ13</f>
        <v>1783.5</v>
      </c>
      <c r="CR211" s="712">
        <f>'BS (2)'!CR13</f>
        <v>1743.5</v>
      </c>
      <c r="CS211" s="712">
        <f>'BS (2)'!CS13</f>
        <v>1738.5</v>
      </c>
    </row>
    <row r="212" spans="2:97" s="611" customFormat="1">
      <c r="B212" s="606"/>
      <c r="BP212" s="604"/>
    </row>
    <row r="213" spans="2:97" s="611" customFormat="1">
      <c r="B213" s="663" t="s">
        <v>375</v>
      </c>
      <c r="X213" s="611">
        <v>101.5</v>
      </c>
      <c r="AC213" s="611">
        <v>88.7</v>
      </c>
      <c r="AH213" s="611">
        <v>88.3</v>
      </c>
      <c r="AM213" s="611">
        <v>85.6</v>
      </c>
      <c r="AR213" s="611">
        <v>63.6</v>
      </c>
      <c r="AS213" s="611">
        <f>AS47</f>
        <v>55.1</v>
      </c>
      <c r="AT213" s="611">
        <f>AT47</f>
        <v>62.9</v>
      </c>
      <c r="AU213" s="611">
        <f>AU47</f>
        <v>29.9</v>
      </c>
      <c r="AV213" s="611">
        <f>AV47</f>
        <v>33</v>
      </c>
      <c r="AW213" s="611">
        <v>33</v>
      </c>
      <c r="AX213" s="611">
        <f>AX47</f>
        <v>26.1</v>
      </c>
      <c r="AY213" s="611">
        <f>AY47</f>
        <v>22.1</v>
      </c>
      <c r="AZ213" s="611">
        <f>AZ47</f>
        <v>28</v>
      </c>
      <c r="BA213" s="611">
        <f>BA47</f>
        <v>15.4</v>
      </c>
      <c r="BB213" s="611">
        <v>15.4</v>
      </c>
      <c r="BC213" s="611">
        <f>BC47</f>
        <v>14.4</v>
      </c>
      <c r="BD213" s="611">
        <f>BD47</f>
        <v>13.9</v>
      </c>
      <c r="BE213" s="611">
        <f>BE47</f>
        <v>14</v>
      </c>
      <c r="BF213" s="611">
        <f>BF47</f>
        <v>10.3</v>
      </c>
      <c r="BG213" s="611">
        <v>10.3</v>
      </c>
      <c r="BH213" s="611">
        <v>10</v>
      </c>
      <c r="BI213" s="604">
        <v>10</v>
      </c>
      <c r="BJ213" s="611">
        <v>10</v>
      </c>
      <c r="BK213" s="611">
        <v>8.5</v>
      </c>
      <c r="BL213" s="611">
        <v>121.4</v>
      </c>
      <c r="BQ213" s="611">
        <v>81.7</v>
      </c>
      <c r="BV213" s="611">
        <v>60.2</v>
      </c>
      <c r="CA213" s="611">
        <v>14.3</v>
      </c>
      <c r="CF213" s="611">
        <v>32.1</v>
      </c>
      <c r="CK213" s="611">
        <f>119.1</f>
        <v>119.1</v>
      </c>
    </row>
    <row r="214" spans="2:97" s="611" customFormat="1" ht="15" thickBot="1">
      <c r="B214" s="663" t="s">
        <v>376</v>
      </c>
      <c r="X214" s="611">
        <v>-2.5</v>
      </c>
      <c r="AC214" s="611">
        <v>-3.9</v>
      </c>
      <c r="AH214" s="611">
        <v>-2.9</v>
      </c>
      <c r="AM214" s="611">
        <v>-1.9</v>
      </c>
      <c r="AR214" s="611">
        <v>-1.8</v>
      </c>
      <c r="AW214" s="611">
        <v>-1.2</v>
      </c>
      <c r="BB214" s="611">
        <v>-15.1</v>
      </c>
      <c r="BF214" s="611">
        <v>-49</v>
      </c>
      <c r="BG214" s="611">
        <v>-48.9</v>
      </c>
      <c r="BL214" s="611">
        <v>-119.8</v>
      </c>
      <c r="BP214" s="604"/>
      <c r="BQ214" s="611">
        <v>-130.30000000000001</v>
      </c>
      <c r="BV214" s="611">
        <v>-173.9</v>
      </c>
      <c r="CA214" s="611">
        <v>-128.69999999999999</v>
      </c>
      <c r="CF214" s="611">
        <v>-144.69999999999999</v>
      </c>
      <c r="CK214" s="611">
        <v>-208.3</v>
      </c>
    </row>
    <row r="215" spans="2:97" s="611" customFormat="1">
      <c r="B215" s="606" t="s">
        <v>374</v>
      </c>
      <c r="AW215" s="611">
        <v>206.6</v>
      </c>
      <c r="BB215" s="712">
        <v>194.8</v>
      </c>
      <c r="BC215" s="712"/>
      <c r="BD215" s="712"/>
      <c r="BE215" s="712"/>
      <c r="BF215" s="712"/>
      <c r="BG215" s="712">
        <v>231.8</v>
      </c>
      <c r="BH215" s="712"/>
      <c r="BI215" s="712"/>
      <c r="BJ215" s="712"/>
      <c r="BK215" s="712"/>
      <c r="BL215" s="712">
        <v>60.5</v>
      </c>
      <c r="BM215" s="712"/>
      <c r="BN215" s="712"/>
      <c r="BO215" s="712"/>
      <c r="BP215" s="712"/>
      <c r="BQ215" s="712">
        <v>60.6</v>
      </c>
      <c r="BR215" s="712"/>
      <c r="BS215" s="712"/>
      <c r="BT215" s="712"/>
      <c r="BU215" s="712"/>
      <c r="BV215" s="712">
        <v>58.9</v>
      </c>
      <c r="BW215" s="712"/>
      <c r="BX215" s="712"/>
      <c r="BY215" s="712"/>
      <c r="BZ215" s="712"/>
      <c r="CA215" s="712"/>
      <c r="CB215" s="712"/>
      <c r="CC215" s="712"/>
      <c r="CD215" s="712"/>
      <c r="CE215" s="712"/>
      <c r="CF215" s="712">
        <v>11.5</v>
      </c>
      <c r="CG215" s="712"/>
      <c r="CH215" s="712"/>
      <c r="CI215" s="712"/>
      <c r="CJ215" s="712"/>
      <c r="CK215" s="712">
        <v>44.7</v>
      </c>
    </row>
    <row r="216" spans="2:97" s="611" customFormat="1">
      <c r="B216" s="606"/>
      <c r="BP216" s="604"/>
    </row>
    <row r="217" spans="2:97" s="611" customFormat="1">
      <c r="B217" s="611" t="s">
        <v>279</v>
      </c>
      <c r="S217" s="611">
        <v>4455</v>
      </c>
      <c r="X217" s="611">
        <v>4459</v>
      </c>
      <c r="AC217" s="611">
        <v>4081</v>
      </c>
      <c r="AH217" s="611">
        <v>4275</v>
      </c>
      <c r="AM217" s="611">
        <v>3734</v>
      </c>
      <c r="AR217" s="611">
        <v>4043</v>
      </c>
      <c r="AW217" s="611">
        <v>4508</v>
      </c>
      <c r="BB217" s="611">
        <v>4973</v>
      </c>
      <c r="BG217" s="611">
        <v>5274</v>
      </c>
      <c r="BL217" s="611">
        <v>5663</v>
      </c>
      <c r="BP217" s="604"/>
      <c r="BQ217" s="611">
        <v>5897</v>
      </c>
      <c r="BV217" s="611">
        <v>6155</v>
      </c>
      <c r="CA217" s="611">
        <v>6259</v>
      </c>
      <c r="CF217" s="611">
        <v>6626</v>
      </c>
    </row>
    <row r="218" spans="2:97" s="611" customFormat="1">
      <c r="B218" s="616"/>
      <c r="BP218" s="604"/>
    </row>
    <row r="219" spans="2:97">
      <c r="B219" s="498" t="s">
        <v>205</v>
      </c>
      <c r="Q219" s="606"/>
      <c r="T219" s="498">
        <v>-3.4</v>
      </c>
      <c r="U219" s="498">
        <v>-2.2999999999999998</v>
      </c>
      <c r="V219" s="498">
        <v>-1.6</v>
      </c>
      <c r="W219" s="498">
        <v>-1.4</v>
      </c>
      <c r="X219" s="498">
        <f>SUM(T219:W219)</f>
        <v>-8.6999999999999993</v>
      </c>
      <c r="Y219" s="498">
        <v>-4.9000000000000004</v>
      </c>
      <c r="Z219" s="498">
        <v>-1.9</v>
      </c>
      <c r="AA219" s="498">
        <v>-1.4</v>
      </c>
      <c r="AB219" s="498">
        <v>-2.2999999999999998</v>
      </c>
      <c r="AC219" s="498">
        <f>SUM(Y219:AB219)</f>
        <v>-10.5</v>
      </c>
      <c r="AD219" s="498">
        <v>-5.2</v>
      </c>
      <c r="AE219" s="498">
        <v>-1.7</v>
      </c>
      <c r="AF219" s="498">
        <v>-1.8</v>
      </c>
      <c r="AG219" s="498">
        <v>-4.3</v>
      </c>
      <c r="AH219" s="498">
        <f>SUM(AD219:AG219)</f>
        <v>-13</v>
      </c>
      <c r="AI219" s="498">
        <v>-4.7</v>
      </c>
      <c r="AJ219" s="498">
        <v>-0.8</v>
      </c>
      <c r="AK219" s="498">
        <v>-1.2</v>
      </c>
      <c r="AL219" s="498">
        <v>-1.6</v>
      </c>
      <c r="AM219" s="498">
        <f>SUM(AI219:AL219)</f>
        <v>-8.3000000000000007</v>
      </c>
      <c r="AN219" s="498">
        <v>-5.7</v>
      </c>
      <c r="AO219" s="498">
        <f>-8.3-AN219</f>
        <v>-2.6000000000000005</v>
      </c>
      <c r="AP219" s="498">
        <f>-10.5-AN219-AO219</f>
        <v>-2.1999999999999993</v>
      </c>
      <c r="AQ219" s="498">
        <f>-12.4-AN219-AO219-AP219</f>
        <v>-1.9000000000000004</v>
      </c>
      <c r="AR219" s="498">
        <f>SUM(AN219:AQ219)</f>
        <v>-12.4</v>
      </c>
      <c r="AS219" s="498">
        <v>-7</v>
      </c>
      <c r="AT219" s="498">
        <v>-2.4</v>
      </c>
      <c r="AU219" s="604">
        <v>-2.5</v>
      </c>
      <c r="AV219" s="498">
        <f>+AW219-AS219-AT219-AU219</f>
        <v>-2</v>
      </c>
      <c r="AW219" s="498">
        <v>-13.9</v>
      </c>
      <c r="AX219" s="612">
        <f>-AX91</f>
        <v>-7.5</v>
      </c>
      <c r="AY219" s="498">
        <v>-3</v>
      </c>
      <c r="AZ219" s="498">
        <f>-'Cash Flow'!AZ18</f>
        <v>-2.5999999999999996</v>
      </c>
      <c r="BA219" s="498">
        <f>-15.8-AZ219-AY219-AX219</f>
        <v>-2.7000000000000011</v>
      </c>
      <c r="BB219" s="498">
        <f>SUM(AX219:BA219)</f>
        <v>-15.8</v>
      </c>
      <c r="BC219" s="498">
        <v>-2</v>
      </c>
      <c r="BD219" s="498">
        <v>-3.3</v>
      </c>
      <c r="BE219" s="498">
        <f>-'Cash Flow'!BE18</f>
        <v>-2.6999999999999993</v>
      </c>
      <c r="BF219" s="498">
        <f>-'Cash Flow'!BF18</f>
        <v>-4.1999999999999993</v>
      </c>
      <c r="BG219" s="498">
        <f>SUM(BC219:BF219)</f>
        <v>-12.2</v>
      </c>
      <c r="BH219" s="498">
        <f>-'Cash Flow'!BH18</f>
        <v>-8.8000000000000007</v>
      </c>
      <c r="BI219" s="498">
        <f>-'Cash Flow'!BI18</f>
        <v>-2.6999999999999993</v>
      </c>
      <c r="BJ219" s="498">
        <f>-'Cash Flow'!BJ18</f>
        <v>-2.5</v>
      </c>
      <c r="BK219" s="498">
        <f>-'Cash Flow'!BK18</f>
        <v>-3.1999999999999993</v>
      </c>
      <c r="BL219" s="498">
        <f>SUM(BH219:BK219)</f>
        <v>-17.2</v>
      </c>
      <c r="BM219" s="498">
        <f>-'Cash Flow'!BM18</f>
        <v>-12</v>
      </c>
      <c r="BN219" s="498">
        <f>-'Cash Flow'!BN18</f>
        <v>-2.4000000000000004</v>
      </c>
      <c r="BO219" s="498">
        <f>-'Cash Flow'!BO18</f>
        <v>-0.79999999999999893</v>
      </c>
      <c r="BP219" s="498">
        <f>-'Cash Flow'!BP18</f>
        <v>-2.7000000000000011</v>
      </c>
      <c r="BQ219" s="498">
        <f>SUM(BM219:BP219)</f>
        <v>-17.899999999999999</v>
      </c>
      <c r="BR219" s="498">
        <f>-'Cash Flow'!BR18</f>
        <v>-10.5</v>
      </c>
      <c r="BS219" s="498">
        <f>-'Cash Flow'!BS18</f>
        <v>-2.3000000000000007</v>
      </c>
      <c r="BT219" s="498">
        <f>-'Cash Flow'!BT18</f>
        <v>-0.79999999999999893</v>
      </c>
      <c r="BU219" s="498">
        <f>-'Cash Flow'!BU18</f>
        <v>-2.5000000000000018</v>
      </c>
      <c r="BV219" s="612">
        <f>SUM(BR219:BU219)</f>
        <v>-16.100000000000001</v>
      </c>
      <c r="BW219" s="498">
        <f>-'Cash Flow'!BW18</f>
        <v>-10.9</v>
      </c>
      <c r="BX219" s="498">
        <f>-'Cash Flow'!BX18</f>
        <v>-2.4000000000000004</v>
      </c>
      <c r="BY219" s="498">
        <f>-'Cash Flow'!BY18</f>
        <v>-2.1999999999999993</v>
      </c>
      <c r="BZ219" s="498">
        <f>+CA219-SUM(BW219:BY219)</f>
        <v>-2</v>
      </c>
      <c r="CA219" s="498">
        <v>-17.5</v>
      </c>
      <c r="CB219" s="498">
        <f>-'Cash Flow'!CB18</f>
        <v>-9.9</v>
      </c>
      <c r="CC219" s="498">
        <f>-'Cash Flow'!CC18</f>
        <v>-2.0999999999999996</v>
      </c>
      <c r="CD219" s="498">
        <f>-'Cash Flow'!CD18</f>
        <v>-2</v>
      </c>
      <c r="CE219" s="498">
        <f>+CF219-SUM(CB219:CD219)</f>
        <v>-2</v>
      </c>
      <c r="CF219" s="498">
        <v>-16</v>
      </c>
      <c r="CG219" s="498">
        <f>-'Cash Flow'!CG18</f>
        <v>-11.1</v>
      </c>
      <c r="CH219" s="498">
        <f>-'Cash Flow'!CH18</f>
        <v>-2.4000000000000004</v>
      </c>
      <c r="CI219" s="604">
        <f>-'Cash Flow'!CI18</f>
        <v>-2.4000000000000004</v>
      </c>
      <c r="CJ219" s="498">
        <f>+CK219-SUM(CG219:CI219)</f>
        <v>-1.7999999999999989</v>
      </c>
      <c r="CK219" s="498">
        <v>-17.7</v>
      </c>
      <c r="CL219" s="498">
        <f>-'Cash Flow'!CL18</f>
        <v>-14.4</v>
      </c>
      <c r="CP219" s="664">
        <v>-20</v>
      </c>
      <c r="CQ219" s="664">
        <v>-20</v>
      </c>
      <c r="CR219" s="664">
        <v>-20</v>
      </c>
      <c r="CS219" s="664">
        <v>-20</v>
      </c>
    </row>
    <row r="220" spans="2:97" s="611" customFormat="1">
      <c r="B220" s="616"/>
      <c r="BP220" s="604"/>
    </row>
    <row r="221" spans="2:97" s="611" customFormat="1">
      <c r="B221" s="665" t="s">
        <v>187</v>
      </c>
      <c r="BP221" s="604"/>
    </row>
    <row r="222" spans="2:97" s="611" customFormat="1">
      <c r="B222" s="611" t="s">
        <v>323</v>
      </c>
      <c r="BG222" s="611">
        <f>(1-BG169)*'BS (2)'!BG7</f>
        <v>31.50494577523537</v>
      </c>
      <c r="BL222" s="611">
        <f>(1-BL169)*'BS (2)'!BL7</f>
        <v>35.241751549447585</v>
      </c>
      <c r="BP222" s="604"/>
      <c r="BQ222" s="611">
        <f>(1-BQ169)*'BS (2)'!BQ7</f>
        <v>25.209778637438212</v>
      </c>
      <c r="BV222" s="611">
        <f>(1-BV169)*'BS (2)'!BV7</f>
        <v>18.378885396397745</v>
      </c>
      <c r="CA222" s="611">
        <f>(1-CA169)*'BS (2)'!CA7</f>
        <v>31.553032990422135</v>
      </c>
      <c r="CF222" s="498">
        <f>(1-CF169)*'BS (2)'!CF7</f>
        <v>16.927340002740852</v>
      </c>
      <c r="CK222" s="498">
        <f>(1-CK169)*'BS (2)'!CK7</f>
        <v>30.312314810884235</v>
      </c>
      <c r="CP222" s="664">
        <f>(1-CP169)*'BS (2)'!CP7</f>
        <v>187.28680222439186</v>
      </c>
      <c r="CQ222" s="664">
        <f>(1-CQ169)*'BS (2)'!CQ7</f>
        <v>119.06997325635689</v>
      </c>
      <c r="CR222" s="664">
        <f>(1-CR169)*'BS (2)'!CR7</f>
        <v>107.19686547523025</v>
      </c>
      <c r="CS222" s="664">
        <f>(1-CS169)*'BS (2)'!CS7</f>
        <v>116.02962219297869</v>
      </c>
    </row>
    <row r="223" spans="2:97" s="611" customFormat="1">
      <c r="B223" s="611" t="s">
        <v>361</v>
      </c>
      <c r="BB223" s="666">
        <f>BB224</f>
        <v>0.50779368901279931</v>
      </c>
      <c r="BG223" s="666">
        <f>BG224</f>
        <v>0.51900846144678825</v>
      </c>
      <c r="BL223" s="666">
        <f>BL224</f>
        <v>0.50293721368903266</v>
      </c>
      <c r="BP223" s="604"/>
      <c r="BQ223" s="666">
        <f>BQ224</f>
        <v>0.51332473672899204</v>
      </c>
      <c r="BV223" s="666">
        <f>BV224</f>
        <v>0.47787257396597316</v>
      </c>
      <c r="CA223" s="666">
        <f>CA224</f>
        <v>0.47499113160695283</v>
      </c>
      <c r="CF223" s="666">
        <f>CF224</f>
        <v>0.48234434242382723</v>
      </c>
      <c r="CK223" s="666">
        <f>CK224</f>
        <v>0.52931188181856781</v>
      </c>
      <c r="CP223" s="666">
        <f>CP224</f>
        <v>0.52931188181856781</v>
      </c>
      <c r="CQ223" s="666">
        <f>CQ224</f>
        <v>0.52931188181856781</v>
      </c>
      <c r="CR223" s="666">
        <f>CR224</f>
        <v>0.52931188181856781</v>
      </c>
      <c r="CS223" s="666">
        <f>CS224</f>
        <v>0.52931188181856781</v>
      </c>
    </row>
    <row r="224" spans="2:97" s="611" customFormat="1">
      <c r="B224" s="667" t="s">
        <v>188</v>
      </c>
      <c r="BB224" s="666">
        <f>BB169</f>
        <v>0.50779368901279931</v>
      </c>
      <c r="BG224" s="666">
        <f>BG169</f>
        <v>0.51900846144678825</v>
      </c>
      <c r="BL224" s="666">
        <f>BL169</f>
        <v>0.50293721368903266</v>
      </c>
      <c r="BP224" s="604"/>
      <c r="BQ224" s="666">
        <f>BQ169</f>
        <v>0.51332473672899204</v>
      </c>
      <c r="BV224" s="666">
        <f>BV169</f>
        <v>0.47787257396597316</v>
      </c>
      <c r="CA224" s="666">
        <f>CA169</f>
        <v>0.47499113160695283</v>
      </c>
      <c r="CF224" s="666">
        <f>CF169</f>
        <v>0.48234434242382723</v>
      </c>
      <c r="CK224" s="666">
        <f>CK169</f>
        <v>0.52931188181856781</v>
      </c>
      <c r="CP224" s="666">
        <f>CP169</f>
        <v>0.52931188181856781</v>
      </c>
      <c r="CQ224" s="666">
        <f>CQ169</f>
        <v>0.52931188181856781</v>
      </c>
      <c r="CR224" s="666">
        <f>CR169</f>
        <v>0.52931188181856781</v>
      </c>
      <c r="CS224" s="666">
        <f>CS169</f>
        <v>0.52931188181856781</v>
      </c>
    </row>
    <row r="225" spans="2:97" s="611" customFormat="1">
      <c r="B225" s="667" t="s">
        <v>222</v>
      </c>
      <c r="BG225" s="666"/>
      <c r="BL225" s="666"/>
      <c r="BP225" s="604"/>
      <c r="BQ225" s="666"/>
      <c r="BV225" s="666"/>
      <c r="CA225" s="666"/>
      <c r="CF225" s="666"/>
      <c r="CK225" s="666"/>
      <c r="CP225" s="666"/>
      <c r="CQ225" s="666"/>
      <c r="CR225" s="666"/>
      <c r="CS225" s="666"/>
    </row>
    <row r="226" spans="2:97" s="611" customFormat="1">
      <c r="B226" s="667" t="s">
        <v>327</v>
      </c>
      <c r="BG226" s="666"/>
      <c r="BL226" s="666"/>
      <c r="BP226" s="604"/>
      <c r="BQ226" s="666"/>
      <c r="BV226" s="666"/>
      <c r="CA226" s="666"/>
      <c r="CF226" s="666"/>
      <c r="CK226" s="666"/>
      <c r="CP226" s="666"/>
      <c r="CQ226" s="666"/>
      <c r="CR226" s="666"/>
      <c r="CS226" s="666"/>
    </row>
    <row r="227" spans="2:97" s="611" customFormat="1">
      <c r="B227" s="667" t="s">
        <v>223</v>
      </c>
      <c r="BG227" s="666"/>
      <c r="BL227" s="666"/>
      <c r="BP227" s="604"/>
      <c r="BQ227" s="666"/>
      <c r="BV227" s="666"/>
      <c r="CA227" s="666"/>
      <c r="CF227" s="666"/>
      <c r="CK227" s="666"/>
      <c r="CP227" s="666"/>
      <c r="CQ227" s="666"/>
      <c r="CR227" s="666"/>
      <c r="CS227" s="666"/>
    </row>
    <row r="228" spans="2:97" s="611" customFormat="1">
      <c r="B228" s="667" t="s">
        <v>328</v>
      </c>
      <c r="BG228" s="666"/>
      <c r="BL228" s="666"/>
      <c r="BP228" s="604"/>
      <c r="BQ228" s="666"/>
      <c r="BV228" s="666"/>
      <c r="CA228" s="666"/>
      <c r="CF228" s="666"/>
      <c r="CK228" s="666"/>
      <c r="CP228" s="666"/>
      <c r="CQ228" s="666"/>
      <c r="CR228" s="666"/>
      <c r="CS228" s="666"/>
    </row>
    <row r="229" spans="2:97" s="611" customFormat="1">
      <c r="B229" s="667" t="s">
        <v>329</v>
      </c>
      <c r="BG229" s="666"/>
      <c r="BL229" s="666"/>
      <c r="BP229" s="604"/>
      <c r="BQ229" s="666"/>
      <c r="BV229" s="666"/>
      <c r="CA229" s="666"/>
      <c r="CF229" s="666"/>
      <c r="CK229" s="666"/>
      <c r="CP229" s="666"/>
      <c r="CQ229" s="666"/>
      <c r="CR229" s="666"/>
      <c r="CS229" s="666"/>
    </row>
    <row r="230" spans="2:97" s="611" customFormat="1">
      <c r="B230" s="667" t="s">
        <v>330</v>
      </c>
      <c r="BG230" s="666"/>
      <c r="BL230" s="666"/>
      <c r="BP230" s="604"/>
      <c r="BQ230" s="666"/>
      <c r="BV230" s="666"/>
      <c r="CA230" s="666"/>
      <c r="CF230" s="666"/>
      <c r="CK230" s="666"/>
      <c r="CP230" s="666"/>
      <c r="CQ230" s="666"/>
      <c r="CR230" s="666"/>
      <c r="CS230" s="666"/>
    </row>
    <row r="231" spans="2:97" s="611" customFormat="1">
      <c r="B231" s="667" t="s">
        <v>331</v>
      </c>
      <c r="BG231" s="666"/>
      <c r="BL231" s="666"/>
      <c r="BQ231" s="666"/>
      <c r="BV231" s="666"/>
      <c r="CA231" s="666"/>
      <c r="CF231" s="666"/>
      <c r="CK231" s="666"/>
      <c r="CP231" s="666"/>
      <c r="CQ231" s="666"/>
      <c r="CR231" s="666"/>
      <c r="CS231" s="666"/>
    </row>
    <row r="232" spans="2:97" s="611" customFormat="1">
      <c r="B232" s="667" t="s">
        <v>224</v>
      </c>
      <c r="BG232" s="666"/>
      <c r="BL232" s="666"/>
      <c r="BQ232" s="666"/>
      <c r="BV232" s="666"/>
      <c r="CA232" s="666"/>
      <c r="CF232" s="666"/>
      <c r="CK232" s="666"/>
      <c r="CP232" s="666"/>
      <c r="CQ232" s="666"/>
      <c r="CR232" s="666"/>
      <c r="CS232" s="666"/>
    </row>
    <row r="233" spans="2:97" s="611" customFormat="1">
      <c r="B233" s="667" t="s">
        <v>225</v>
      </c>
      <c r="BB233" s="666">
        <f>BB234+BB235</f>
        <v>0.42656190596882526</v>
      </c>
      <c r="BG233" s="666">
        <f>BG234+BG235</f>
        <v>0.41294243832677874</v>
      </c>
      <c r="BL233" s="666">
        <f>BL234+BL235</f>
        <v>0.41967124764214497</v>
      </c>
      <c r="BQ233" s="666">
        <f>BQ234+BQ235</f>
        <v>6.7214700193423599E-2</v>
      </c>
      <c r="BV233" s="666">
        <f>BV234+BV235</f>
        <v>7.6934590630145183E-2</v>
      </c>
      <c r="CA233" s="666">
        <f>CA234+CA235</f>
        <v>8.1285156843865614E-2</v>
      </c>
      <c r="CF233" s="666">
        <f>CF234+CF235</f>
        <v>7.6424101228815502E-2</v>
      </c>
      <c r="CK233" s="666">
        <f>CK234+CK235</f>
        <v>7.1698433586619703E-2</v>
      </c>
      <c r="CP233" s="666">
        <f>CP234+CP235</f>
        <v>7.1698433586619703E-2</v>
      </c>
      <c r="CQ233" s="666">
        <f>CQ234+CQ235</f>
        <v>7.1698433586619703E-2</v>
      </c>
      <c r="CR233" s="666">
        <f>CR234+CR235</f>
        <v>7.1698433586619703E-2</v>
      </c>
      <c r="CS233" s="666">
        <f>CS234+CS235</f>
        <v>7.1698433586619703E-2</v>
      </c>
    </row>
    <row r="234" spans="2:97" s="611" customFormat="1">
      <c r="B234" s="667" t="s">
        <v>206</v>
      </c>
      <c r="BB234" s="666">
        <f>BB170</f>
        <v>7.2677734127487015E-2</v>
      </c>
      <c r="BG234" s="666">
        <f>BG170</f>
        <v>6.6082707662972237E-2</v>
      </c>
      <c r="BL234" s="666">
        <f>BL170</f>
        <v>7.3187819994610617E-2</v>
      </c>
      <c r="BQ234" s="666">
        <f>BQ170</f>
        <v>6.7214700193423599E-2</v>
      </c>
      <c r="BV234" s="666">
        <f>BV170</f>
        <v>7.6934590630145183E-2</v>
      </c>
      <c r="CA234" s="666">
        <f>CA170</f>
        <v>8.1285156843865614E-2</v>
      </c>
      <c r="CF234" s="666">
        <f>CF170</f>
        <v>7.6424101228815502E-2</v>
      </c>
      <c r="CK234" s="666">
        <f>CK170</f>
        <v>7.1698433586619703E-2</v>
      </c>
      <c r="CP234" s="666">
        <f t="shared" ref="CP234:CS235" si="156">CP170</f>
        <v>7.1698433586619703E-2</v>
      </c>
      <c r="CQ234" s="666">
        <f t="shared" si="156"/>
        <v>7.1698433586619703E-2</v>
      </c>
      <c r="CR234" s="666">
        <f t="shared" si="156"/>
        <v>7.1698433586619703E-2</v>
      </c>
      <c r="CS234" s="666">
        <f t="shared" si="156"/>
        <v>7.1698433586619703E-2</v>
      </c>
    </row>
    <row r="235" spans="2:97" s="611" customFormat="1">
      <c r="B235" s="667" t="s">
        <v>362</v>
      </c>
      <c r="BB235" s="666">
        <f>BB171</f>
        <v>0.35388417184133825</v>
      </c>
      <c r="BG235" s="666">
        <f>BG171</f>
        <v>0.34685973066380649</v>
      </c>
      <c r="BL235" s="666">
        <f>BL171</f>
        <v>0.34648342764753437</v>
      </c>
      <c r="BQ235" s="666">
        <f>BQ171</f>
        <v>0</v>
      </c>
      <c r="BV235" s="666">
        <f>BV171</f>
        <v>0</v>
      </c>
      <c r="CA235" s="666">
        <f>CA171</f>
        <v>0</v>
      </c>
      <c r="CF235" s="666">
        <f>CF171</f>
        <v>0</v>
      </c>
      <c r="CK235" s="666">
        <f>CK171</f>
        <v>0</v>
      </c>
      <c r="CP235" s="666">
        <f t="shared" si="156"/>
        <v>0</v>
      </c>
      <c r="CQ235" s="666">
        <f t="shared" si="156"/>
        <v>0</v>
      </c>
      <c r="CR235" s="666">
        <f t="shared" si="156"/>
        <v>0</v>
      </c>
      <c r="CS235" s="666">
        <f t="shared" si="156"/>
        <v>0</v>
      </c>
    </row>
    <row r="236" spans="2:97" s="611" customFormat="1">
      <c r="B236" s="667" t="s">
        <v>270</v>
      </c>
      <c r="BG236" s="666"/>
      <c r="BL236" s="666"/>
      <c r="BQ236" s="666"/>
      <c r="BV236" s="666"/>
      <c r="CA236" s="666"/>
      <c r="CF236" s="666"/>
      <c r="CK236" s="666"/>
      <c r="CP236" s="666"/>
      <c r="CQ236" s="666"/>
      <c r="CR236" s="666"/>
      <c r="CS236" s="666"/>
    </row>
    <row r="237" spans="2:97" s="611" customFormat="1">
      <c r="B237" s="667" t="s">
        <v>226</v>
      </c>
      <c r="BG237" s="666"/>
      <c r="BL237" s="666"/>
      <c r="BQ237" s="666"/>
      <c r="BV237" s="666"/>
      <c r="CA237" s="666"/>
      <c r="CF237" s="666"/>
      <c r="CK237" s="666"/>
      <c r="CP237" s="666"/>
      <c r="CQ237" s="666"/>
      <c r="CR237" s="666"/>
      <c r="CS237" s="666"/>
    </row>
    <row r="238" spans="2:97" s="611" customFormat="1">
      <c r="B238" s="667" t="s">
        <v>333</v>
      </c>
      <c r="BG238" s="666"/>
      <c r="BL238" s="666"/>
      <c r="BQ238" s="666"/>
      <c r="BV238" s="666"/>
      <c r="CA238" s="666"/>
      <c r="CF238" s="666"/>
      <c r="CK238" s="666"/>
      <c r="CP238" s="666"/>
      <c r="CQ238" s="666"/>
      <c r="CR238" s="666"/>
      <c r="CS238" s="666"/>
    </row>
    <row r="239" spans="2:97" s="611" customFormat="1">
      <c r="B239" s="667" t="s">
        <v>227</v>
      </c>
      <c r="BG239" s="666"/>
      <c r="BL239" s="666"/>
      <c r="BQ239" s="666"/>
      <c r="BV239" s="666"/>
      <c r="CA239" s="666"/>
      <c r="CF239" s="666"/>
      <c r="CK239" s="666"/>
      <c r="CP239" s="666"/>
      <c r="CQ239" s="666"/>
      <c r="CR239" s="666"/>
      <c r="CS239" s="666"/>
    </row>
    <row r="240" spans="2:97" s="611" customFormat="1">
      <c r="B240" s="667" t="s">
        <v>228</v>
      </c>
      <c r="BG240" s="666"/>
      <c r="BL240" s="666"/>
      <c r="BQ240" s="666"/>
      <c r="BV240" s="666"/>
      <c r="CA240" s="666"/>
      <c r="CF240" s="666"/>
      <c r="CK240" s="666"/>
      <c r="CP240" s="666"/>
      <c r="CQ240" s="666"/>
      <c r="CR240" s="666"/>
      <c r="CS240" s="666"/>
    </row>
    <row r="241" spans="2:100" s="611" customFormat="1">
      <c r="B241" s="667" t="s">
        <v>302</v>
      </c>
      <c r="BG241" s="666"/>
      <c r="BL241" s="666"/>
      <c r="BQ241" s="666"/>
      <c r="BV241" s="666"/>
      <c r="CA241" s="666"/>
      <c r="CF241" s="666"/>
      <c r="CK241" s="666"/>
      <c r="CP241" s="666"/>
      <c r="CQ241" s="666"/>
      <c r="CR241" s="666"/>
      <c r="CS241" s="666"/>
    </row>
    <row r="242" spans="2:100" s="611" customFormat="1">
      <c r="B242" s="667" t="s">
        <v>229</v>
      </c>
      <c r="BG242" s="666"/>
      <c r="BL242" s="666"/>
      <c r="BQ242" s="666"/>
      <c r="BV242" s="666"/>
      <c r="CA242" s="666"/>
      <c r="CF242" s="666"/>
      <c r="CK242" s="666"/>
      <c r="CP242" s="666"/>
      <c r="CQ242" s="666"/>
      <c r="CR242" s="666"/>
      <c r="CS242" s="666"/>
    </row>
    <row r="243" spans="2:100" s="611" customFormat="1">
      <c r="B243" s="667" t="s">
        <v>363</v>
      </c>
      <c r="BG243" s="666"/>
      <c r="BL243" s="666"/>
      <c r="BQ243" s="666"/>
      <c r="BV243" s="666"/>
      <c r="CA243" s="666"/>
      <c r="CF243" s="666"/>
      <c r="CK243" s="666"/>
      <c r="CP243" s="666"/>
      <c r="CQ243" s="666"/>
      <c r="CR243" s="666"/>
      <c r="CS243" s="666"/>
    </row>
    <row r="244" spans="2:100" s="611" customFormat="1">
      <c r="B244" s="667" t="s">
        <v>230</v>
      </c>
      <c r="BG244" s="666"/>
      <c r="BL244" s="666"/>
      <c r="BQ244" s="666"/>
      <c r="BV244" s="666"/>
      <c r="CA244" s="666"/>
      <c r="CF244" s="666"/>
      <c r="CK244" s="666"/>
      <c r="CP244" s="666"/>
      <c r="CQ244" s="666"/>
      <c r="CR244" s="666"/>
      <c r="CS244" s="666"/>
    </row>
    <row r="245" spans="2:100" s="611" customFormat="1">
      <c r="B245" s="667" t="s">
        <v>364</v>
      </c>
      <c r="BG245" s="666"/>
      <c r="BL245" s="666"/>
      <c r="BQ245" s="666"/>
      <c r="BV245" s="666"/>
      <c r="CA245" s="666"/>
      <c r="CF245" s="666"/>
      <c r="CK245" s="666"/>
      <c r="CP245" s="666"/>
      <c r="CQ245" s="666"/>
      <c r="CR245" s="666"/>
      <c r="CS245" s="666"/>
    </row>
    <row r="246" spans="2:100" s="611" customFormat="1">
      <c r="B246" s="667" t="s">
        <v>189</v>
      </c>
      <c r="BG246" s="666"/>
      <c r="BL246" s="666"/>
      <c r="BQ246" s="666"/>
      <c r="BV246" s="666"/>
      <c r="CA246" s="666"/>
      <c r="CF246" s="666"/>
      <c r="CK246" s="666"/>
      <c r="CP246" s="666"/>
      <c r="CQ246" s="666"/>
      <c r="CR246" s="666"/>
      <c r="CS246" s="666"/>
    </row>
    <row r="247" spans="2:100" s="611" customFormat="1">
      <c r="B247" s="667" t="s">
        <v>231</v>
      </c>
      <c r="BB247" s="666">
        <v>0</v>
      </c>
      <c r="BG247" s="666">
        <v>0</v>
      </c>
      <c r="BL247" s="666">
        <v>0</v>
      </c>
      <c r="BQ247" s="666">
        <v>0</v>
      </c>
      <c r="BV247" s="666">
        <v>0</v>
      </c>
      <c r="CA247" s="666">
        <v>0</v>
      </c>
      <c r="CF247" s="666">
        <v>0</v>
      </c>
      <c r="CK247" s="666">
        <v>0</v>
      </c>
      <c r="CP247" s="666">
        <v>0</v>
      </c>
      <c r="CQ247" s="666">
        <v>0</v>
      </c>
      <c r="CR247" s="666">
        <v>0</v>
      </c>
      <c r="CS247" s="666">
        <v>0</v>
      </c>
    </row>
    <row r="248" spans="2:100" s="611" customFormat="1">
      <c r="B248" s="667" t="s">
        <v>232</v>
      </c>
      <c r="BB248" s="666">
        <f>1-BB249</f>
        <v>0.77379292865289573</v>
      </c>
      <c r="BG248" s="666">
        <f>1-BG249</f>
        <v>0.77601001072577758</v>
      </c>
      <c r="BL248" s="666">
        <f>1-BL249</f>
        <v>0.79746699002964161</v>
      </c>
      <c r="BQ248" s="666">
        <f>1-BQ249</f>
        <v>0.81877283473028151</v>
      </c>
      <c r="BV248" s="666">
        <f>1-BV249</f>
        <v>0.83949508556603303</v>
      </c>
      <c r="CA248" s="666">
        <f>1-CA249</f>
        <v>0.82587543708508593</v>
      </c>
      <c r="CF248" s="666">
        <f>1-CF249</f>
        <v>0.83102644922570923</v>
      </c>
      <c r="CK248" s="666">
        <f>1-CK249</f>
        <v>0.81122384004754422</v>
      </c>
      <c r="CP248" s="666">
        <f>1-CP249</f>
        <v>0.7059182818789278</v>
      </c>
      <c r="CQ248" s="666">
        <f>1-CQ249</f>
        <v>0.71235921986569695</v>
      </c>
      <c r="CR248" s="666">
        <f>1-CR249</f>
        <v>0.72063967186028066</v>
      </c>
      <c r="CS248" s="666">
        <f>1-CS249</f>
        <v>0.73475585778016306</v>
      </c>
    </row>
    <row r="249" spans="2:100" s="611" customFormat="1">
      <c r="B249" s="667" t="s">
        <v>233</v>
      </c>
      <c r="BB249" s="666">
        <f>'End Market (2)'!BB21/'End Market (2)'!BB23</f>
        <v>0.22620707134710433</v>
      </c>
      <c r="BG249" s="666">
        <f>'End Market (2)'!BG21/'End Market (2)'!BG23</f>
        <v>0.2239899892742224</v>
      </c>
      <c r="BL249" s="666">
        <f>'End Market (2)'!BL21/'End Market (2)'!BL23</f>
        <v>0.20253300997035834</v>
      </c>
      <c r="BQ249" s="666">
        <f>'End Market (2)'!BQ21/'End Market (2)'!BQ23</f>
        <v>0.18122716526971847</v>
      </c>
      <c r="BV249" s="666">
        <f>'End Market (2)'!BV21/'End Market (2)'!BV23</f>
        <v>0.16050491443396697</v>
      </c>
      <c r="CA249" s="666">
        <f>'End Market (2)'!CA21/'End Market (2)'!CA23</f>
        <v>0.1741245629149141</v>
      </c>
      <c r="CF249" s="666">
        <f>'End Market (2)'!CF21/'End Market (2)'!CF23</f>
        <v>0.1689735507742908</v>
      </c>
      <c r="CK249" s="666">
        <f>'End Market (2)'!CK21/'End Market (2)'!CK23</f>
        <v>0.18877615995245578</v>
      </c>
      <c r="CP249" s="666">
        <f>'End Market (2)'!CP21/'End Market (2)'!CP23</f>
        <v>0.29408171812107226</v>
      </c>
      <c r="CQ249" s="666">
        <f>'End Market (2)'!CQ21/'End Market (2)'!CQ23</f>
        <v>0.28764078013430305</v>
      </c>
      <c r="CR249" s="666">
        <f>'End Market (2)'!CR21/'End Market (2)'!CR23</f>
        <v>0.27936032813971934</v>
      </c>
      <c r="CS249" s="666">
        <f>'End Market (2)'!CS21/'End Market (2)'!CS23</f>
        <v>0.26524414221983694</v>
      </c>
    </row>
    <row r="250" spans="2:100" s="611" customFormat="1">
      <c r="B250" s="667" t="s">
        <v>365</v>
      </c>
      <c r="BB250" s="666">
        <v>0</v>
      </c>
      <c r="BG250" s="666">
        <v>0</v>
      </c>
      <c r="BL250" s="666">
        <v>0</v>
      </c>
      <c r="BQ250" s="666">
        <v>0</v>
      </c>
      <c r="BV250" s="666">
        <v>0</v>
      </c>
      <c r="CA250" s="666">
        <v>0</v>
      </c>
      <c r="CF250" s="666">
        <v>0</v>
      </c>
      <c r="CK250" s="666">
        <v>0</v>
      </c>
      <c r="CP250" s="666">
        <v>0</v>
      </c>
      <c r="CQ250" s="666">
        <v>0</v>
      </c>
      <c r="CR250" s="666">
        <v>0</v>
      </c>
      <c r="CS250" s="666">
        <v>0</v>
      </c>
    </row>
    <row r="251" spans="2:100" s="611" customFormat="1">
      <c r="B251" s="667" t="s">
        <v>444</v>
      </c>
      <c r="BB251" s="666">
        <v>0</v>
      </c>
      <c r="BG251" s="666">
        <v>0</v>
      </c>
      <c r="BL251" s="666">
        <v>0</v>
      </c>
      <c r="BQ251" s="666">
        <v>0</v>
      </c>
      <c r="BV251" s="666">
        <v>0</v>
      </c>
      <c r="CA251" s="666">
        <v>0</v>
      </c>
      <c r="CF251" s="666"/>
      <c r="CK251" s="666"/>
      <c r="CP251" s="666"/>
      <c r="CQ251" s="666"/>
      <c r="CR251" s="666"/>
      <c r="CS251" s="666"/>
    </row>
    <row r="252" spans="2:100" s="611" customFormat="1">
      <c r="B252" s="667" t="s">
        <v>281</v>
      </c>
      <c r="BB252" s="666">
        <v>0</v>
      </c>
      <c r="BG252" s="666">
        <v>0</v>
      </c>
      <c r="BL252" s="666">
        <v>0</v>
      </c>
      <c r="BQ252" s="666">
        <v>0</v>
      </c>
      <c r="BV252" s="666">
        <v>0</v>
      </c>
      <c r="CA252" s="666">
        <v>0</v>
      </c>
      <c r="CF252" s="666">
        <v>0</v>
      </c>
      <c r="CK252" s="666">
        <v>0</v>
      </c>
      <c r="CP252" s="666">
        <v>0</v>
      </c>
      <c r="CQ252" s="666">
        <v>0</v>
      </c>
      <c r="CR252" s="666">
        <v>0</v>
      </c>
      <c r="CS252" s="666">
        <v>0</v>
      </c>
    </row>
    <row r="253" spans="2:100" s="611" customFormat="1">
      <c r="B253" s="667" t="s">
        <v>303</v>
      </c>
      <c r="BB253" s="666">
        <v>0</v>
      </c>
      <c r="BG253" s="666">
        <v>0</v>
      </c>
      <c r="BL253" s="666">
        <v>0</v>
      </c>
      <c r="BQ253" s="666">
        <v>0</v>
      </c>
      <c r="BV253" s="666">
        <v>0</v>
      </c>
      <c r="CA253" s="666">
        <v>0</v>
      </c>
      <c r="CF253" s="666">
        <v>0</v>
      </c>
      <c r="CK253" s="666">
        <v>0</v>
      </c>
      <c r="CP253" s="666">
        <v>0</v>
      </c>
      <c r="CQ253" s="666">
        <v>0</v>
      </c>
      <c r="CR253" s="666">
        <v>0</v>
      </c>
      <c r="CS253" s="666">
        <v>0</v>
      </c>
    </row>
    <row r="254" spans="2:100" s="611" customFormat="1">
      <c r="B254" s="667" t="s">
        <v>304</v>
      </c>
      <c r="BB254" s="666">
        <v>0</v>
      </c>
      <c r="BG254" s="666">
        <v>0</v>
      </c>
      <c r="BL254" s="666">
        <v>0</v>
      </c>
      <c r="BQ254" s="666">
        <v>0</v>
      </c>
      <c r="BV254" s="666">
        <v>0</v>
      </c>
      <c r="CA254" s="666">
        <v>0</v>
      </c>
      <c r="CF254" s="666">
        <v>0</v>
      </c>
      <c r="CK254" s="666">
        <v>0</v>
      </c>
      <c r="CP254" s="666">
        <v>0</v>
      </c>
      <c r="CQ254" s="666">
        <v>0</v>
      </c>
      <c r="CR254" s="666">
        <v>0</v>
      </c>
      <c r="CS254" s="666">
        <v>0</v>
      </c>
    </row>
    <row r="255" spans="2:100" s="611" customFormat="1">
      <c r="B255" s="667"/>
      <c r="BB255" s="666"/>
      <c r="BG255" s="666"/>
      <c r="BL255" s="666"/>
      <c r="BQ255" s="666"/>
      <c r="BV255" s="666"/>
      <c r="CA255" s="666"/>
      <c r="CF255" s="666"/>
      <c r="CK255" s="666"/>
      <c r="CP255" s="666"/>
      <c r="CQ255" s="666"/>
      <c r="CR255" s="666"/>
      <c r="CS255" s="666"/>
    </row>
    <row r="256" spans="2:100" s="526" customFormat="1">
      <c r="B256" s="668" t="s">
        <v>395</v>
      </c>
      <c r="AW256" s="669"/>
      <c r="AX256" s="669"/>
      <c r="AY256" s="669"/>
      <c r="AZ256" s="669"/>
      <c r="BA256" s="669"/>
      <c r="BB256" s="669"/>
      <c r="BC256" s="669"/>
      <c r="BD256" s="669"/>
      <c r="BE256" s="669"/>
      <c r="BF256" s="669"/>
      <c r="BG256" s="669"/>
      <c r="BH256" s="669"/>
      <c r="BI256" s="669"/>
      <c r="BJ256" s="669"/>
      <c r="BK256" s="669"/>
      <c r="BL256" s="669"/>
      <c r="BM256" s="669"/>
      <c r="BN256" s="669"/>
      <c r="BO256" s="669"/>
      <c r="BP256" s="669"/>
      <c r="BQ256" s="669"/>
      <c r="BR256" s="669"/>
      <c r="BS256" s="669"/>
      <c r="BT256" s="669"/>
      <c r="BU256" s="669"/>
      <c r="BV256" s="669"/>
      <c r="BW256" s="669"/>
      <c r="BX256" s="669"/>
      <c r="BY256" s="669"/>
      <c r="BZ256" s="669"/>
      <c r="CA256" s="669"/>
      <c r="CB256" s="669"/>
      <c r="CC256" s="669"/>
      <c r="CD256" s="669"/>
      <c r="CE256" s="669"/>
      <c r="CF256" s="669"/>
      <c r="CG256" s="669"/>
      <c r="CH256" s="669"/>
      <c r="CI256" s="669"/>
      <c r="CJ256" s="669"/>
      <c r="CK256" s="669"/>
      <c r="CL256" s="669"/>
      <c r="CM256" s="669"/>
      <c r="CN256" s="669"/>
      <c r="CO256" s="669"/>
      <c r="CP256" s="669"/>
      <c r="CQ256" s="669"/>
      <c r="CR256" s="669"/>
      <c r="CS256" s="669"/>
      <c r="CT256" s="669"/>
      <c r="CU256" s="669"/>
      <c r="CV256" s="669"/>
    </row>
    <row r="257" spans="2:100" s="526" customFormat="1">
      <c r="B257" s="670" t="s">
        <v>396</v>
      </c>
      <c r="AW257" s="669"/>
      <c r="AX257" s="669"/>
      <c r="AY257" s="669"/>
      <c r="AZ257" s="669"/>
      <c r="BA257" s="669"/>
      <c r="BB257" s="669">
        <v>0</v>
      </c>
      <c r="BC257" s="669"/>
      <c r="BD257" s="669"/>
      <c r="BE257" s="669"/>
      <c r="BF257" s="669"/>
      <c r="BG257" s="669">
        <v>0</v>
      </c>
      <c r="BH257" s="669"/>
      <c r="BI257" s="669"/>
      <c r="BJ257" s="669"/>
      <c r="BK257" s="669"/>
      <c r="BL257" s="669">
        <v>0</v>
      </c>
      <c r="BM257" s="669"/>
      <c r="BN257" s="669"/>
      <c r="BO257" s="669"/>
      <c r="BP257" s="669"/>
      <c r="BQ257" s="669">
        <f>BL257</f>
        <v>0</v>
      </c>
      <c r="BR257" s="669"/>
      <c r="BS257" s="669"/>
      <c r="BT257" s="669"/>
      <c r="BU257" s="669"/>
      <c r="BV257" s="669">
        <f>BQ257</f>
        <v>0</v>
      </c>
      <c r="BW257" s="669"/>
      <c r="BX257" s="669"/>
      <c r="BY257" s="669"/>
      <c r="BZ257" s="669"/>
      <c r="CA257" s="669">
        <f>BV257</f>
        <v>0</v>
      </c>
      <c r="CB257" s="669"/>
      <c r="CC257" s="669"/>
      <c r="CD257" s="669"/>
      <c r="CE257" s="669"/>
      <c r="CF257" s="669">
        <f>CA257</f>
        <v>0</v>
      </c>
      <c r="CG257" s="669"/>
      <c r="CH257" s="669"/>
      <c r="CI257" s="669"/>
      <c r="CJ257" s="669"/>
      <c r="CK257" s="669">
        <f>CF257</f>
        <v>0</v>
      </c>
      <c r="CL257" s="669"/>
      <c r="CM257" s="669"/>
      <c r="CN257" s="669"/>
      <c r="CO257" s="669"/>
      <c r="CP257" s="669">
        <f>CK257</f>
        <v>0</v>
      </c>
      <c r="CQ257" s="669">
        <f t="shared" ref="CQ257:CS276" si="157">+CP257</f>
        <v>0</v>
      </c>
      <c r="CR257" s="669">
        <f t="shared" si="157"/>
        <v>0</v>
      </c>
      <c r="CS257" s="669">
        <f t="shared" si="157"/>
        <v>0</v>
      </c>
      <c r="CT257" s="669"/>
      <c r="CU257" s="669"/>
      <c r="CV257" s="669"/>
    </row>
    <row r="258" spans="2:100" s="526" customFormat="1">
      <c r="B258" s="670" t="s">
        <v>397</v>
      </c>
      <c r="AW258" s="669"/>
      <c r="AX258" s="669"/>
      <c r="AY258" s="669"/>
      <c r="AZ258" s="669"/>
      <c r="BA258" s="669"/>
      <c r="BB258" s="669">
        <v>0.51</v>
      </c>
      <c r="BC258" s="669"/>
      <c r="BD258" s="669"/>
      <c r="BE258" s="669"/>
      <c r="BF258" s="669"/>
      <c r="BG258" s="669">
        <v>0.52</v>
      </c>
      <c r="BH258" s="669"/>
      <c r="BI258" s="669"/>
      <c r="BJ258" s="669"/>
      <c r="BK258" s="669"/>
      <c r="BL258" s="669">
        <v>0.5</v>
      </c>
      <c r="BM258" s="669"/>
      <c r="BN258" s="669"/>
      <c r="BO258" s="669"/>
      <c r="BP258" s="669"/>
      <c r="BQ258" s="669">
        <f>+BQ169</f>
        <v>0.51332473672899204</v>
      </c>
      <c r="BR258" s="669"/>
      <c r="BS258" s="669"/>
      <c r="BT258" s="669"/>
      <c r="BU258" s="669"/>
      <c r="BV258" s="669">
        <f>+BV169</f>
        <v>0.47787257396597316</v>
      </c>
      <c r="BW258" s="669"/>
      <c r="BX258" s="669"/>
      <c r="BY258" s="669"/>
      <c r="BZ258" s="669"/>
      <c r="CA258" s="669">
        <f>+CA169</f>
        <v>0.47499113160695283</v>
      </c>
      <c r="CB258" s="669"/>
      <c r="CC258" s="669"/>
      <c r="CD258" s="669"/>
      <c r="CE258" s="669"/>
      <c r="CF258" s="669">
        <f>+CF169</f>
        <v>0.48234434242382723</v>
      </c>
      <c r="CG258" s="669"/>
      <c r="CH258" s="669"/>
      <c r="CI258" s="669"/>
      <c r="CJ258" s="669"/>
      <c r="CK258" s="669">
        <f>+CK169</f>
        <v>0.52931188181856781</v>
      </c>
      <c r="CL258" s="669"/>
      <c r="CM258" s="669"/>
      <c r="CN258" s="669"/>
      <c r="CO258" s="669"/>
      <c r="CP258" s="669">
        <f>+CP169</f>
        <v>0.52931188181856781</v>
      </c>
      <c r="CQ258" s="669">
        <f t="shared" si="157"/>
        <v>0.52931188181856781</v>
      </c>
      <c r="CR258" s="669">
        <f t="shared" si="157"/>
        <v>0.52931188181856781</v>
      </c>
      <c r="CS258" s="669">
        <f t="shared" si="157"/>
        <v>0.52931188181856781</v>
      </c>
      <c r="CT258" s="669"/>
      <c r="CU258" s="669"/>
      <c r="CV258" s="669"/>
    </row>
    <row r="259" spans="2:100" s="526" customFormat="1">
      <c r="B259" s="670" t="s">
        <v>398</v>
      </c>
      <c r="AW259" s="669"/>
      <c r="AX259" s="669"/>
      <c r="AY259" s="669"/>
      <c r="AZ259" s="669"/>
      <c r="BA259" s="669"/>
      <c r="BB259" s="669">
        <v>0</v>
      </c>
      <c r="BC259" s="669"/>
      <c r="BD259" s="669"/>
      <c r="BE259" s="669"/>
      <c r="BF259" s="669"/>
      <c r="BG259" s="669">
        <v>0</v>
      </c>
      <c r="BH259" s="669"/>
      <c r="BI259" s="669"/>
      <c r="BJ259" s="669"/>
      <c r="BK259" s="669"/>
      <c r="BL259" s="669">
        <v>0</v>
      </c>
      <c r="BM259" s="669"/>
      <c r="BN259" s="669"/>
      <c r="BO259" s="669"/>
      <c r="BP259" s="669"/>
      <c r="BQ259" s="669">
        <f t="shared" ref="BQ259:BQ266" si="158">BL259</f>
        <v>0</v>
      </c>
      <c r="BR259" s="669"/>
      <c r="BS259" s="669"/>
      <c r="BT259" s="669"/>
      <c r="BU259" s="669"/>
      <c r="BV259" s="669">
        <f t="shared" ref="BV259:BV266" si="159">BQ259</f>
        <v>0</v>
      </c>
      <c r="BW259" s="669"/>
      <c r="BX259" s="669"/>
      <c r="BY259" s="669"/>
      <c r="BZ259" s="669"/>
      <c r="CA259" s="669">
        <f t="shared" ref="CA259:CA266" si="160">BV259</f>
        <v>0</v>
      </c>
      <c r="CB259" s="669"/>
      <c r="CC259" s="669"/>
      <c r="CD259" s="669"/>
      <c r="CE259" s="669"/>
      <c r="CF259" s="669">
        <f t="shared" ref="CF259:CF266" si="161">CA259</f>
        <v>0</v>
      </c>
      <c r="CG259" s="669"/>
      <c r="CH259" s="669"/>
      <c r="CI259" s="669"/>
      <c r="CJ259" s="669"/>
      <c r="CK259" s="669">
        <f t="shared" ref="CK259:CK266" si="162">CF259</f>
        <v>0</v>
      </c>
      <c r="CL259" s="669"/>
      <c r="CM259" s="669"/>
      <c r="CN259" s="669"/>
      <c r="CO259" s="669"/>
      <c r="CP259" s="669">
        <f t="shared" ref="CP259:CP266" si="163">CK259</f>
        <v>0</v>
      </c>
      <c r="CQ259" s="669">
        <f t="shared" si="157"/>
        <v>0</v>
      </c>
      <c r="CR259" s="669">
        <f t="shared" si="157"/>
        <v>0</v>
      </c>
      <c r="CS259" s="669">
        <f t="shared" si="157"/>
        <v>0</v>
      </c>
      <c r="CT259" s="669"/>
      <c r="CU259" s="669"/>
      <c r="CV259" s="669"/>
    </row>
    <row r="260" spans="2:100" s="526" customFormat="1">
      <c r="B260" s="670" t="s">
        <v>399</v>
      </c>
      <c r="AW260" s="669"/>
      <c r="AX260" s="669"/>
      <c r="AY260" s="669"/>
      <c r="AZ260" s="669"/>
      <c r="BA260" s="669"/>
      <c r="BB260" s="669">
        <v>0</v>
      </c>
      <c r="BC260" s="669"/>
      <c r="BD260" s="669"/>
      <c r="BE260" s="669"/>
      <c r="BF260" s="669"/>
      <c r="BG260" s="669">
        <v>0</v>
      </c>
      <c r="BH260" s="669"/>
      <c r="BI260" s="669"/>
      <c r="BJ260" s="669"/>
      <c r="BK260" s="669"/>
      <c r="BL260" s="669">
        <v>0</v>
      </c>
      <c r="BM260" s="669"/>
      <c r="BN260" s="669"/>
      <c r="BO260" s="669"/>
      <c r="BP260" s="669"/>
      <c r="BQ260" s="669">
        <f t="shared" si="158"/>
        <v>0</v>
      </c>
      <c r="BR260" s="669"/>
      <c r="BS260" s="669"/>
      <c r="BT260" s="669"/>
      <c r="BU260" s="669"/>
      <c r="BV260" s="669">
        <f t="shared" si="159"/>
        <v>0</v>
      </c>
      <c r="BW260" s="669"/>
      <c r="BX260" s="669"/>
      <c r="BY260" s="669"/>
      <c r="BZ260" s="669"/>
      <c r="CA260" s="669">
        <f t="shared" si="160"/>
        <v>0</v>
      </c>
      <c r="CB260" s="669"/>
      <c r="CC260" s="669"/>
      <c r="CD260" s="669"/>
      <c r="CE260" s="669"/>
      <c r="CF260" s="669">
        <f t="shared" si="161"/>
        <v>0</v>
      </c>
      <c r="CG260" s="669"/>
      <c r="CH260" s="669"/>
      <c r="CI260" s="669"/>
      <c r="CJ260" s="669"/>
      <c r="CK260" s="669">
        <f t="shared" si="162"/>
        <v>0</v>
      </c>
      <c r="CL260" s="669"/>
      <c r="CM260" s="669"/>
      <c r="CN260" s="669"/>
      <c r="CO260" s="669"/>
      <c r="CP260" s="669">
        <f t="shared" si="163"/>
        <v>0</v>
      </c>
      <c r="CQ260" s="669">
        <f t="shared" si="157"/>
        <v>0</v>
      </c>
      <c r="CR260" s="669">
        <f t="shared" si="157"/>
        <v>0</v>
      </c>
      <c r="CS260" s="669">
        <f t="shared" si="157"/>
        <v>0</v>
      </c>
      <c r="CT260" s="669"/>
      <c r="CU260" s="669"/>
      <c r="CV260" s="669"/>
    </row>
    <row r="261" spans="2:100" s="526" customFormat="1">
      <c r="B261" s="670" t="s">
        <v>400</v>
      </c>
      <c r="AW261" s="669"/>
      <c r="AX261" s="669"/>
      <c r="AY261" s="669"/>
      <c r="AZ261" s="669"/>
      <c r="BA261" s="669"/>
      <c r="BB261" s="669">
        <v>0</v>
      </c>
      <c r="BC261" s="669"/>
      <c r="BD261" s="669"/>
      <c r="BE261" s="669"/>
      <c r="BF261" s="669"/>
      <c r="BG261" s="669">
        <v>0</v>
      </c>
      <c r="BH261" s="669"/>
      <c r="BI261" s="669"/>
      <c r="BJ261" s="669"/>
      <c r="BK261" s="669"/>
      <c r="BL261" s="669">
        <v>0</v>
      </c>
      <c r="BM261" s="669"/>
      <c r="BN261" s="669"/>
      <c r="BO261" s="669"/>
      <c r="BP261" s="669"/>
      <c r="BQ261" s="669">
        <f t="shared" si="158"/>
        <v>0</v>
      </c>
      <c r="BR261" s="669"/>
      <c r="BS261" s="669"/>
      <c r="BT261" s="669"/>
      <c r="BU261" s="669"/>
      <c r="BV261" s="669">
        <f t="shared" si="159"/>
        <v>0</v>
      </c>
      <c r="BW261" s="669"/>
      <c r="BX261" s="669"/>
      <c r="BY261" s="669"/>
      <c r="BZ261" s="669"/>
      <c r="CA261" s="669">
        <f t="shared" si="160"/>
        <v>0</v>
      </c>
      <c r="CB261" s="669"/>
      <c r="CC261" s="669"/>
      <c r="CD261" s="669"/>
      <c r="CE261" s="669"/>
      <c r="CF261" s="669">
        <f t="shared" si="161"/>
        <v>0</v>
      </c>
      <c r="CG261" s="669"/>
      <c r="CH261" s="669"/>
      <c r="CI261" s="669"/>
      <c r="CJ261" s="669"/>
      <c r="CK261" s="669">
        <f t="shared" si="162"/>
        <v>0</v>
      </c>
      <c r="CL261" s="669"/>
      <c r="CM261" s="669"/>
      <c r="CN261" s="669"/>
      <c r="CO261" s="669"/>
      <c r="CP261" s="669">
        <f t="shared" si="163"/>
        <v>0</v>
      </c>
      <c r="CQ261" s="669">
        <f t="shared" si="157"/>
        <v>0</v>
      </c>
      <c r="CR261" s="669">
        <f t="shared" si="157"/>
        <v>0</v>
      </c>
      <c r="CS261" s="669">
        <f t="shared" si="157"/>
        <v>0</v>
      </c>
      <c r="CT261" s="669"/>
      <c r="CU261" s="669"/>
      <c r="CV261" s="669"/>
    </row>
    <row r="262" spans="2:100" s="526" customFormat="1">
      <c r="B262" s="670" t="s">
        <v>401</v>
      </c>
      <c r="AW262" s="669"/>
      <c r="AX262" s="669"/>
      <c r="AY262" s="669"/>
      <c r="AZ262" s="669"/>
      <c r="BA262" s="669"/>
      <c r="BB262" s="669">
        <v>0</v>
      </c>
      <c r="BC262" s="669"/>
      <c r="BD262" s="669"/>
      <c r="BE262" s="669"/>
      <c r="BF262" s="669"/>
      <c r="BG262" s="669">
        <v>0</v>
      </c>
      <c r="BH262" s="669"/>
      <c r="BI262" s="669"/>
      <c r="BJ262" s="669"/>
      <c r="BK262" s="669"/>
      <c r="BL262" s="669">
        <v>0</v>
      </c>
      <c r="BM262" s="669"/>
      <c r="BN262" s="669"/>
      <c r="BO262" s="669"/>
      <c r="BP262" s="669"/>
      <c r="BQ262" s="669">
        <f t="shared" si="158"/>
        <v>0</v>
      </c>
      <c r="BR262" s="669"/>
      <c r="BS262" s="669"/>
      <c r="BT262" s="669"/>
      <c r="BU262" s="669"/>
      <c r="BV262" s="669">
        <f t="shared" si="159"/>
        <v>0</v>
      </c>
      <c r="BW262" s="669"/>
      <c r="BX262" s="669"/>
      <c r="BY262" s="669"/>
      <c r="BZ262" s="669"/>
      <c r="CA262" s="669">
        <f t="shared" si="160"/>
        <v>0</v>
      </c>
      <c r="CB262" s="669"/>
      <c r="CC262" s="669"/>
      <c r="CD262" s="669"/>
      <c r="CE262" s="669"/>
      <c r="CF262" s="669">
        <f t="shared" si="161"/>
        <v>0</v>
      </c>
      <c r="CG262" s="669"/>
      <c r="CH262" s="669"/>
      <c r="CI262" s="669"/>
      <c r="CJ262" s="669"/>
      <c r="CK262" s="669">
        <f t="shared" si="162"/>
        <v>0</v>
      </c>
      <c r="CL262" s="669"/>
      <c r="CM262" s="669"/>
      <c r="CN262" s="669"/>
      <c r="CO262" s="669"/>
      <c r="CP262" s="669">
        <f t="shared" si="163"/>
        <v>0</v>
      </c>
      <c r="CQ262" s="669">
        <f t="shared" si="157"/>
        <v>0</v>
      </c>
      <c r="CR262" s="669">
        <f t="shared" si="157"/>
        <v>0</v>
      </c>
      <c r="CS262" s="669">
        <f t="shared" si="157"/>
        <v>0</v>
      </c>
      <c r="CT262" s="669"/>
      <c r="CU262" s="669"/>
      <c r="CV262" s="669"/>
    </row>
    <row r="263" spans="2:100" s="526" customFormat="1">
      <c r="B263" s="670" t="s">
        <v>402</v>
      </c>
      <c r="AW263" s="669"/>
      <c r="AX263" s="669"/>
      <c r="AY263" s="669"/>
      <c r="AZ263" s="669"/>
      <c r="BA263" s="669"/>
      <c r="BB263" s="669">
        <v>0</v>
      </c>
      <c r="BC263" s="669"/>
      <c r="BD263" s="669"/>
      <c r="BE263" s="669"/>
      <c r="BF263" s="669"/>
      <c r="BG263" s="669">
        <v>0</v>
      </c>
      <c r="BH263" s="669"/>
      <c r="BI263" s="669"/>
      <c r="BJ263" s="669"/>
      <c r="BK263" s="669"/>
      <c r="BL263" s="669">
        <v>0</v>
      </c>
      <c r="BM263" s="669"/>
      <c r="BN263" s="669"/>
      <c r="BO263" s="669"/>
      <c r="BP263" s="669"/>
      <c r="BQ263" s="669">
        <f t="shared" si="158"/>
        <v>0</v>
      </c>
      <c r="BR263" s="669"/>
      <c r="BS263" s="669"/>
      <c r="BT263" s="669"/>
      <c r="BU263" s="669"/>
      <c r="BV263" s="669">
        <f t="shared" si="159"/>
        <v>0</v>
      </c>
      <c r="BW263" s="669"/>
      <c r="BX263" s="669"/>
      <c r="BY263" s="669"/>
      <c r="BZ263" s="669"/>
      <c r="CA263" s="669">
        <f t="shared" si="160"/>
        <v>0</v>
      </c>
      <c r="CB263" s="669"/>
      <c r="CC263" s="669"/>
      <c r="CD263" s="669"/>
      <c r="CE263" s="669"/>
      <c r="CF263" s="669">
        <f t="shared" si="161"/>
        <v>0</v>
      </c>
      <c r="CG263" s="669"/>
      <c r="CH263" s="669"/>
      <c r="CI263" s="669"/>
      <c r="CJ263" s="669"/>
      <c r="CK263" s="669">
        <f t="shared" si="162"/>
        <v>0</v>
      </c>
      <c r="CL263" s="669"/>
      <c r="CM263" s="669"/>
      <c r="CN263" s="669"/>
      <c r="CO263" s="669"/>
      <c r="CP263" s="669">
        <f t="shared" si="163"/>
        <v>0</v>
      </c>
      <c r="CQ263" s="669">
        <f t="shared" si="157"/>
        <v>0</v>
      </c>
      <c r="CR263" s="669">
        <f t="shared" si="157"/>
        <v>0</v>
      </c>
      <c r="CS263" s="669">
        <f t="shared" si="157"/>
        <v>0</v>
      </c>
      <c r="CT263" s="669"/>
      <c r="CU263" s="669"/>
      <c r="CV263" s="669"/>
    </row>
    <row r="264" spans="2:100" s="526" customFormat="1">
      <c r="B264" s="670" t="s">
        <v>403</v>
      </c>
      <c r="AW264" s="669"/>
      <c r="AX264" s="669"/>
      <c r="AY264" s="669"/>
      <c r="AZ264" s="669"/>
      <c r="BA264" s="669"/>
      <c r="BB264" s="669">
        <v>0</v>
      </c>
      <c r="BC264" s="669"/>
      <c r="BD264" s="669"/>
      <c r="BE264" s="669"/>
      <c r="BF264" s="669"/>
      <c r="BG264" s="669">
        <v>0</v>
      </c>
      <c r="BH264" s="669"/>
      <c r="BI264" s="669"/>
      <c r="BJ264" s="669"/>
      <c r="BK264" s="669"/>
      <c r="BL264" s="669">
        <v>0</v>
      </c>
      <c r="BM264" s="669"/>
      <c r="BN264" s="669"/>
      <c r="BO264" s="669"/>
      <c r="BP264" s="669"/>
      <c r="BQ264" s="669">
        <f t="shared" si="158"/>
        <v>0</v>
      </c>
      <c r="BR264" s="669"/>
      <c r="BS264" s="669"/>
      <c r="BT264" s="669"/>
      <c r="BU264" s="669"/>
      <c r="BV264" s="669">
        <f t="shared" si="159"/>
        <v>0</v>
      </c>
      <c r="BW264" s="669"/>
      <c r="BX264" s="669"/>
      <c r="BY264" s="669"/>
      <c r="BZ264" s="669"/>
      <c r="CA264" s="669">
        <f t="shared" si="160"/>
        <v>0</v>
      </c>
      <c r="CB264" s="669"/>
      <c r="CC264" s="669"/>
      <c r="CD264" s="669"/>
      <c r="CE264" s="669"/>
      <c r="CF264" s="669">
        <f t="shared" si="161"/>
        <v>0</v>
      </c>
      <c r="CG264" s="669"/>
      <c r="CH264" s="669"/>
      <c r="CI264" s="669"/>
      <c r="CJ264" s="669"/>
      <c r="CK264" s="669">
        <f t="shared" si="162"/>
        <v>0</v>
      </c>
      <c r="CL264" s="669"/>
      <c r="CM264" s="669"/>
      <c r="CN264" s="669"/>
      <c r="CO264" s="669"/>
      <c r="CP264" s="669">
        <f t="shared" si="163"/>
        <v>0</v>
      </c>
      <c r="CQ264" s="669">
        <f t="shared" si="157"/>
        <v>0</v>
      </c>
      <c r="CR264" s="669">
        <f t="shared" si="157"/>
        <v>0</v>
      </c>
      <c r="CS264" s="669">
        <f t="shared" si="157"/>
        <v>0</v>
      </c>
      <c r="CT264" s="669"/>
      <c r="CU264" s="669"/>
      <c r="CV264" s="669"/>
    </row>
    <row r="265" spans="2:100" s="526" customFormat="1">
      <c r="B265" s="670" t="s">
        <v>404</v>
      </c>
      <c r="AW265" s="669"/>
      <c r="AX265" s="669"/>
      <c r="AY265" s="669"/>
      <c r="AZ265" s="669"/>
      <c r="BA265" s="669"/>
      <c r="BB265" s="669">
        <v>0</v>
      </c>
      <c r="BC265" s="669"/>
      <c r="BD265" s="669"/>
      <c r="BE265" s="669"/>
      <c r="BF265" s="669"/>
      <c r="BG265" s="669">
        <v>0</v>
      </c>
      <c r="BH265" s="669"/>
      <c r="BI265" s="669"/>
      <c r="BJ265" s="669"/>
      <c r="BK265" s="669"/>
      <c r="BL265" s="669">
        <v>0</v>
      </c>
      <c r="BM265" s="669"/>
      <c r="BN265" s="669"/>
      <c r="BO265" s="669"/>
      <c r="BP265" s="669"/>
      <c r="BQ265" s="669">
        <f t="shared" si="158"/>
        <v>0</v>
      </c>
      <c r="BR265" s="669"/>
      <c r="BS265" s="669"/>
      <c r="BT265" s="669"/>
      <c r="BU265" s="669"/>
      <c r="BV265" s="669">
        <f t="shared" si="159"/>
        <v>0</v>
      </c>
      <c r="BW265" s="669"/>
      <c r="BX265" s="669"/>
      <c r="BY265" s="669"/>
      <c r="BZ265" s="669"/>
      <c r="CA265" s="669">
        <f t="shared" si="160"/>
        <v>0</v>
      </c>
      <c r="CB265" s="669"/>
      <c r="CC265" s="669"/>
      <c r="CD265" s="669"/>
      <c r="CE265" s="669"/>
      <c r="CF265" s="669">
        <f t="shared" si="161"/>
        <v>0</v>
      </c>
      <c r="CG265" s="669"/>
      <c r="CH265" s="669"/>
      <c r="CI265" s="669"/>
      <c r="CJ265" s="669"/>
      <c r="CK265" s="669">
        <f t="shared" si="162"/>
        <v>0</v>
      </c>
      <c r="CL265" s="669"/>
      <c r="CM265" s="669"/>
      <c r="CN265" s="669"/>
      <c r="CO265" s="669"/>
      <c r="CP265" s="669">
        <f t="shared" si="163"/>
        <v>0</v>
      </c>
      <c r="CQ265" s="669">
        <f t="shared" si="157"/>
        <v>0</v>
      </c>
      <c r="CR265" s="669">
        <f t="shared" si="157"/>
        <v>0</v>
      </c>
      <c r="CS265" s="669">
        <f t="shared" si="157"/>
        <v>0</v>
      </c>
      <c r="CT265" s="669"/>
      <c r="CU265" s="669"/>
      <c r="CV265" s="669"/>
    </row>
    <row r="266" spans="2:100" s="526" customFormat="1">
      <c r="B266" s="670" t="s">
        <v>405</v>
      </c>
      <c r="AW266" s="669"/>
      <c r="AX266" s="669"/>
      <c r="AY266" s="669"/>
      <c r="AZ266" s="669"/>
      <c r="BA266" s="669"/>
      <c r="BB266" s="669">
        <v>0</v>
      </c>
      <c r="BC266" s="669"/>
      <c r="BD266" s="669"/>
      <c r="BE266" s="669"/>
      <c r="BF266" s="669"/>
      <c r="BG266" s="669">
        <v>0</v>
      </c>
      <c r="BH266" s="669"/>
      <c r="BI266" s="669"/>
      <c r="BJ266" s="669"/>
      <c r="BK266" s="669"/>
      <c r="BL266" s="669">
        <v>0</v>
      </c>
      <c r="BM266" s="669"/>
      <c r="BN266" s="669"/>
      <c r="BO266" s="669"/>
      <c r="BP266" s="669"/>
      <c r="BQ266" s="669">
        <f t="shared" si="158"/>
        <v>0</v>
      </c>
      <c r="BR266" s="669"/>
      <c r="BS266" s="669"/>
      <c r="BT266" s="669"/>
      <c r="BU266" s="669"/>
      <c r="BV266" s="669">
        <f t="shared" si="159"/>
        <v>0</v>
      </c>
      <c r="BW266" s="669"/>
      <c r="BX266" s="669"/>
      <c r="BY266" s="669"/>
      <c r="BZ266" s="669"/>
      <c r="CA266" s="669">
        <f t="shared" si="160"/>
        <v>0</v>
      </c>
      <c r="CB266" s="669"/>
      <c r="CC266" s="669"/>
      <c r="CD266" s="669"/>
      <c r="CE266" s="669"/>
      <c r="CF266" s="669">
        <f t="shared" si="161"/>
        <v>0</v>
      </c>
      <c r="CG266" s="669"/>
      <c r="CH266" s="669"/>
      <c r="CI266" s="669"/>
      <c r="CJ266" s="669"/>
      <c r="CK266" s="669">
        <f t="shared" si="162"/>
        <v>0</v>
      </c>
      <c r="CL266" s="669"/>
      <c r="CM266" s="669"/>
      <c r="CN266" s="669"/>
      <c r="CO266" s="669"/>
      <c r="CP266" s="669">
        <f t="shared" si="163"/>
        <v>0</v>
      </c>
      <c r="CQ266" s="669">
        <f t="shared" si="157"/>
        <v>0</v>
      </c>
      <c r="CR266" s="669">
        <f t="shared" si="157"/>
        <v>0</v>
      </c>
      <c r="CS266" s="669">
        <f t="shared" si="157"/>
        <v>0</v>
      </c>
      <c r="CT266" s="669"/>
      <c r="CU266" s="669"/>
      <c r="CV266" s="669"/>
    </row>
    <row r="267" spans="2:100" s="526" customFormat="1">
      <c r="B267" s="670" t="s">
        <v>406</v>
      </c>
      <c r="AW267" s="669"/>
      <c r="AX267" s="669"/>
      <c r="AY267" s="669"/>
      <c r="AZ267" s="669"/>
      <c r="BA267" s="669"/>
      <c r="BB267" s="669">
        <v>0</v>
      </c>
      <c r="BC267" s="669"/>
      <c r="BD267" s="669"/>
      <c r="BE267" s="669"/>
      <c r="BF267" s="669"/>
      <c r="BG267" s="669">
        <v>0</v>
      </c>
      <c r="BH267" s="669"/>
      <c r="BI267" s="669"/>
      <c r="BJ267" s="669"/>
      <c r="BK267" s="669"/>
      <c r="BL267" s="669">
        <v>0</v>
      </c>
      <c r="BM267" s="669"/>
      <c r="BN267" s="669"/>
      <c r="BO267" s="669"/>
      <c r="BP267" s="669"/>
      <c r="BQ267" s="669">
        <f>+BQ175</f>
        <v>5.0021491510853215E-2</v>
      </c>
      <c r="BR267" s="669"/>
      <c r="BS267" s="669"/>
      <c r="BT267" s="669"/>
      <c r="BU267" s="669"/>
      <c r="BV267" s="669">
        <f>+BV175</f>
        <v>4.6300454023848726E-2</v>
      </c>
      <c r="BW267" s="669"/>
      <c r="BX267" s="669"/>
      <c r="BY267" s="669"/>
      <c r="BZ267" s="669"/>
      <c r="CA267" s="669">
        <f>+CA175</f>
        <v>4.3632493792124867E-2</v>
      </c>
      <c r="CB267" s="669"/>
      <c r="CC267" s="669"/>
      <c r="CD267" s="669"/>
      <c r="CE267" s="669"/>
      <c r="CF267" s="669">
        <f>+CF175</f>
        <v>5.0888492987985937E-2</v>
      </c>
      <c r="CG267" s="669"/>
      <c r="CH267" s="669"/>
      <c r="CI267" s="669"/>
      <c r="CJ267" s="669"/>
      <c r="CK267" s="669">
        <f>+CK175</f>
        <v>4.6737700046695252E-2</v>
      </c>
      <c r="CL267" s="669"/>
      <c r="CM267" s="669"/>
      <c r="CN267" s="669"/>
      <c r="CO267" s="669"/>
      <c r="CP267" s="669">
        <f>+CP175</f>
        <v>4.6737700046695252E-2</v>
      </c>
      <c r="CQ267" s="669">
        <f t="shared" si="157"/>
        <v>4.6737700046695252E-2</v>
      </c>
      <c r="CR267" s="669">
        <f t="shared" si="157"/>
        <v>4.6737700046695252E-2</v>
      </c>
      <c r="CS267" s="669">
        <f t="shared" si="157"/>
        <v>4.6737700046695252E-2</v>
      </c>
      <c r="CT267" s="669"/>
      <c r="CU267" s="669"/>
      <c r="CV267" s="669"/>
    </row>
    <row r="268" spans="2:100" s="526" customFormat="1">
      <c r="B268" s="670" t="s">
        <v>407</v>
      </c>
      <c r="AW268" s="669"/>
      <c r="AX268" s="669"/>
      <c r="AY268" s="669"/>
      <c r="AZ268" s="669"/>
      <c r="BA268" s="669"/>
      <c r="BB268" s="669">
        <v>0</v>
      </c>
      <c r="BC268" s="669"/>
      <c r="BD268" s="669"/>
      <c r="BE268" s="669"/>
      <c r="BF268" s="669"/>
      <c r="BG268" s="669">
        <v>0</v>
      </c>
      <c r="BH268" s="669"/>
      <c r="BI268" s="669"/>
      <c r="BJ268" s="669"/>
      <c r="BK268" s="669"/>
      <c r="BL268" s="669">
        <v>0</v>
      </c>
      <c r="BM268" s="669"/>
      <c r="BN268" s="669"/>
      <c r="BO268" s="669"/>
      <c r="BP268" s="669"/>
      <c r="BQ268" s="669">
        <f>BL268</f>
        <v>0</v>
      </c>
      <c r="BR268" s="669"/>
      <c r="BS268" s="669"/>
      <c r="BT268" s="669"/>
      <c r="BU268" s="669"/>
      <c r="BV268" s="669">
        <f>BQ268</f>
        <v>0</v>
      </c>
      <c r="BW268" s="669"/>
      <c r="BX268" s="669"/>
      <c r="BY268" s="669"/>
      <c r="BZ268" s="669"/>
      <c r="CA268" s="669">
        <f>BV268</f>
        <v>0</v>
      </c>
      <c r="CB268" s="669"/>
      <c r="CC268" s="669"/>
      <c r="CD268" s="669"/>
      <c r="CE268" s="669"/>
      <c r="CF268" s="669">
        <f>CA268</f>
        <v>0</v>
      </c>
      <c r="CG268" s="669"/>
      <c r="CH268" s="669"/>
      <c r="CI268" s="669"/>
      <c r="CJ268" s="669"/>
      <c r="CK268" s="669">
        <f>CF268</f>
        <v>0</v>
      </c>
      <c r="CL268" s="669"/>
      <c r="CM268" s="669"/>
      <c r="CN268" s="669"/>
      <c r="CO268" s="669"/>
      <c r="CP268" s="669">
        <f>CK268</f>
        <v>0</v>
      </c>
      <c r="CQ268" s="669">
        <f t="shared" si="157"/>
        <v>0</v>
      </c>
      <c r="CR268" s="669">
        <f t="shared" si="157"/>
        <v>0</v>
      </c>
      <c r="CS268" s="669">
        <f t="shared" si="157"/>
        <v>0</v>
      </c>
      <c r="CT268" s="669"/>
      <c r="CU268" s="669"/>
      <c r="CV268" s="669"/>
    </row>
    <row r="269" spans="2:100" s="526" customFormat="1">
      <c r="B269" s="670" t="s">
        <v>408</v>
      </c>
      <c r="AW269" s="669"/>
      <c r="AX269" s="669"/>
      <c r="AY269" s="669"/>
      <c r="AZ269" s="669"/>
      <c r="BA269" s="669"/>
      <c r="BB269" s="669">
        <v>0.2</v>
      </c>
      <c r="BC269" s="669"/>
      <c r="BD269" s="669"/>
      <c r="BE269" s="669"/>
      <c r="BF269" s="669"/>
      <c r="BG269" s="669">
        <v>0.2</v>
      </c>
      <c r="BH269" s="669"/>
      <c r="BI269" s="669"/>
      <c r="BJ269" s="669"/>
      <c r="BK269" s="669"/>
      <c r="BL269" s="669">
        <v>0.2</v>
      </c>
      <c r="BM269" s="669"/>
      <c r="BN269" s="669"/>
      <c r="BO269" s="669"/>
      <c r="BP269" s="669"/>
      <c r="BQ269" s="669">
        <f>+BQ172</f>
        <v>0.17225445948850207</v>
      </c>
      <c r="BR269" s="669"/>
      <c r="BS269" s="669"/>
      <c r="BT269" s="669"/>
      <c r="BU269" s="669"/>
      <c r="BV269" s="669">
        <f>+BV172</f>
        <v>0.16724043306890185</v>
      </c>
      <c r="BW269" s="669"/>
      <c r="BX269" s="669"/>
      <c r="BY269" s="669"/>
      <c r="BZ269" s="669"/>
      <c r="CA269" s="669">
        <f>+CA172</f>
        <v>0.17012111691075862</v>
      </c>
      <c r="CB269" s="669"/>
      <c r="CC269" s="669"/>
      <c r="CD269" s="669"/>
      <c r="CE269" s="669"/>
      <c r="CF269" s="669">
        <f>+CF172</f>
        <v>0.16892786990087252</v>
      </c>
      <c r="CG269" s="669"/>
      <c r="CH269" s="669"/>
      <c r="CI269" s="669"/>
      <c r="CJ269" s="669"/>
      <c r="CK269" s="669">
        <f>+CK172</f>
        <v>0.15464617735704889</v>
      </c>
      <c r="CL269" s="669"/>
      <c r="CM269" s="669"/>
      <c r="CN269" s="669"/>
      <c r="CO269" s="669"/>
      <c r="CP269" s="669">
        <f>+CP172</f>
        <v>0.15464617735704889</v>
      </c>
      <c r="CQ269" s="669">
        <f t="shared" si="157"/>
        <v>0.15464617735704889</v>
      </c>
      <c r="CR269" s="669">
        <f t="shared" si="157"/>
        <v>0.15464617735704889</v>
      </c>
      <c r="CS269" s="669">
        <f t="shared" si="157"/>
        <v>0.15464617735704889</v>
      </c>
      <c r="CT269" s="669"/>
      <c r="CU269" s="669"/>
      <c r="CV269" s="669"/>
    </row>
    <row r="270" spans="2:100" s="526" customFormat="1">
      <c r="B270" s="670" t="s">
        <v>409</v>
      </c>
      <c r="AW270" s="669"/>
      <c r="AX270" s="669"/>
      <c r="AY270" s="669"/>
      <c r="AZ270" s="669"/>
      <c r="BA270" s="669"/>
      <c r="BB270" s="669">
        <v>0.05</v>
      </c>
      <c r="BC270" s="669"/>
      <c r="BD270" s="669"/>
      <c r="BE270" s="669"/>
      <c r="BF270" s="669"/>
      <c r="BG270" s="669">
        <v>0.05</v>
      </c>
      <c r="BH270" s="669"/>
      <c r="BI270" s="669"/>
      <c r="BJ270" s="669"/>
      <c r="BK270" s="669"/>
      <c r="BL270" s="669">
        <v>0.05</v>
      </c>
      <c r="BM270" s="669"/>
      <c r="BN270" s="669"/>
      <c r="BO270" s="669"/>
      <c r="BP270" s="669"/>
      <c r="BQ270" s="669">
        <f>+BQ174</f>
        <v>0</v>
      </c>
      <c r="BR270" s="669"/>
      <c r="BS270" s="669"/>
      <c r="BT270" s="669"/>
      <c r="BU270" s="669"/>
      <c r="BV270" s="669">
        <f>+BV174</f>
        <v>8.4568178416404738E-2</v>
      </c>
      <c r="BW270" s="669"/>
      <c r="BX270" s="669"/>
      <c r="BY270" s="669"/>
      <c r="BZ270" s="669"/>
      <c r="CA270" s="669">
        <f>+CA174</f>
        <v>0.10439365529823139</v>
      </c>
      <c r="CB270" s="669"/>
      <c r="CC270" s="669"/>
      <c r="CD270" s="669"/>
      <c r="CE270" s="669"/>
      <c r="CF270" s="669">
        <f>+CF174</f>
        <v>9.8670686583527484E-2</v>
      </c>
      <c r="CG270" s="669"/>
      <c r="CH270" s="669"/>
      <c r="CI270" s="669"/>
      <c r="CJ270" s="669"/>
      <c r="CK270" s="669">
        <f>+CK174</f>
        <v>9.3942352591586384E-2</v>
      </c>
      <c r="CL270" s="669"/>
      <c r="CM270" s="669"/>
      <c r="CN270" s="669"/>
      <c r="CO270" s="669"/>
      <c r="CP270" s="669">
        <f>+CP174</f>
        <v>9.3942352591586384E-2</v>
      </c>
      <c r="CQ270" s="669">
        <f t="shared" si="157"/>
        <v>9.3942352591586384E-2</v>
      </c>
      <c r="CR270" s="669">
        <f t="shared" si="157"/>
        <v>9.3942352591586384E-2</v>
      </c>
      <c r="CS270" s="669">
        <f t="shared" si="157"/>
        <v>9.3942352591586384E-2</v>
      </c>
      <c r="CT270" s="669"/>
      <c r="CU270" s="669"/>
      <c r="CV270" s="669"/>
    </row>
    <row r="271" spans="2:100" s="526" customFormat="1">
      <c r="B271" s="670" t="s">
        <v>410</v>
      </c>
      <c r="AW271" s="669"/>
      <c r="AX271" s="669"/>
      <c r="AY271" s="669"/>
      <c r="AZ271" s="669"/>
      <c r="BA271" s="669"/>
      <c r="BB271" s="669">
        <v>0</v>
      </c>
      <c r="BC271" s="669"/>
      <c r="BD271" s="669"/>
      <c r="BE271" s="669"/>
      <c r="BF271" s="669"/>
      <c r="BG271" s="669">
        <v>0</v>
      </c>
      <c r="BH271" s="669"/>
      <c r="BI271" s="669"/>
      <c r="BJ271" s="669"/>
      <c r="BK271" s="669"/>
      <c r="BL271" s="669">
        <v>0</v>
      </c>
      <c r="BM271" s="669"/>
      <c r="BN271" s="669"/>
      <c r="BO271" s="669"/>
      <c r="BP271" s="669"/>
      <c r="BQ271" s="669">
        <f t="shared" ref="BQ271:BQ276" si="164">BL271</f>
        <v>0</v>
      </c>
      <c r="BR271" s="669"/>
      <c r="BS271" s="669"/>
      <c r="BT271" s="669"/>
      <c r="BU271" s="669"/>
      <c r="BV271" s="669">
        <f t="shared" ref="BV271:BV276" si="165">BQ271</f>
        <v>0</v>
      </c>
      <c r="BW271" s="669"/>
      <c r="BX271" s="669"/>
      <c r="BY271" s="669"/>
      <c r="BZ271" s="669"/>
      <c r="CA271" s="669">
        <f t="shared" ref="CA271:CA276" si="166">BV271</f>
        <v>0</v>
      </c>
      <c r="CB271" s="669"/>
      <c r="CC271" s="669"/>
      <c r="CD271" s="669"/>
      <c r="CE271" s="669"/>
      <c r="CF271" s="669">
        <f t="shared" ref="CF271:CF276" si="167">CA271</f>
        <v>0</v>
      </c>
      <c r="CG271" s="669"/>
      <c r="CH271" s="669"/>
      <c r="CI271" s="669"/>
      <c r="CJ271" s="669"/>
      <c r="CK271" s="669">
        <f t="shared" ref="CK271:CK276" si="168">CF271</f>
        <v>0</v>
      </c>
      <c r="CL271" s="669"/>
      <c r="CM271" s="669"/>
      <c r="CN271" s="669"/>
      <c r="CO271" s="669"/>
      <c r="CP271" s="669">
        <f t="shared" ref="CP271:CP276" si="169">CK271</f>
        <v>0</v>
      </c>
      <c r="CQ271" s="669">
        <f t="shared" si="157"/>
        <v>0</v>
      </c>
      <c r="CR271" s="669">
        <f t="shared" si="157"/>
        <v>0</v>
      </c>
      <c r="CS271" s="669">
        <f t="shared" si="157"/>
        <v>0</v>
      </c>
      <c r="CT271" s="669"/>
      <c r="CU271" s="669"/>
      <c r="CV271" s="669"/>
    </row>
    <row r="272" spans="2:100" s="526" customFormat="1">
      <c r="B272" s="670" t="s">
        <v>411</v>
      </c>
      <c r="AW272" s="669"/>
      <c r="AX272" s="669"/>
      <c r="AY272" s="669"/>
      <c r="AZ272" s="669"/>
      <c r="BA272" s="669"/>
      <c r="BB272" s="669">
        <v>0</v>
      </c>
      <c r="BC272" s="669"/>
      <c r="BD272" s="669"/>
      <c r="BE272" s="669"/>
      <c r="BF272" s="669"/>
      <c r="BG272" s="669">
        <v>0</v>
      </c>
      <c r="BH272" s="669"/>
      <c r="BI272" s="669"/>
      <c r="BJ272" s="669"/>
      <c r="BK272" s="669"/>
      <c r="BL272" s="669">
        <v>0</v>
      </c>
      <c r="BM272" s="669"/>
      <c r="BN272" s="669"/>
      <c r="BO272" s="669"/>
      <c r="BP272" s="669"/>
      <c r="BQ272" s="669">
        <f t="shared" si="164"/>
        <v>0</v>
      </c>
      <c r="BR272" s="669"/>
      <c r="BS272" s="669"/>
      <c r="BT272" s="669"/>
      <c r="BU272" s="669"/>
      <c r="BV272" s="669">
        <f t="shared" si="165"/>
        <v>0</v>
      </c>
      <c r="BW272" s="669"/>
      <c r="BX272" s="669"/>
      <c r="BY272" s="669"/>
      <c r="BZ272" s="669"/>
      <c r="CA272" s="669">
        <f t="shared" si="166"/>
        <v>0</v>
      </c>
      <c r="CB272" s="669"/>
      <c r="CC272" s="669"/>
      <c r="CD272" s="669"/>
      <c r="CE272" s="669"/>
      <c r="CF272" s="669">
        <f t="shared" si="167"/>
        <v>0</v>
      </c>
      <c r="CG272" s="669"/>
      <c r="CH272" s="669"/>
      <c r="CI272" s="669"/>
      <c r="CJ272" s="669"/>
      <c r="CK272" s="669">
        <f t="shared" si="168"/>
        <v>0</v>
      </c>
      <c r="CL272" s="669"/>
      <c r="CM272" s="669"/>
      <c r="CN272" s="669"/>
      <c r="CO272" s="669"/>
      <c r="CP272" s="669">
        <f t="shared" si="169"/>
        <v>0</v>
      </c>
      <c r="CQ272" s="669">
        <f t="shared" si="157"/>
        <v>0</v>
      </c>
      <c r="CR272" s="669">
        <f t="shared" si="157"/>
        <v>0</v>
      </c>
      <c r="CS272" s="669">
        <f t="shared" si="157"/>
        <v>0</v>
      </c>
      <c r="CT272" s="669"/>
      <c r="CU272" s="669"/>
      <c r="CV272" s="669"/>
    </row>
    <row r="273" spans="2:100" s="526" customFormat="1">
      <c r="B273" s="670" t="s">
        <v>412</v>
      </c>
      <c r="AW273" s="669"/>
      <c r="AX273" s="669"/>
      <c r="AY273" s="669"/>
      <c r="AZ273" s="669"/>
      <c r="BA273" s="669"/>
      <c r="BB273" s="669">
        <v>0</v>
      </c>
      <c r="BC273" s="669"/>
      <c r="BD273" s="669"/>
      <c r="BE273" s="669"/>
      <c r="BF273" s="669"/>
      <c r="BG273" s="669">
        <v>0</v>
      </c>
      <c r="BH273" s="669"/>
      <c r="BI273" s="669"/>
      <c r="BJ273" s="669"/>
      <c r="BK273" s="669"/>
      <c r="BL273" s="669">
        <v>0</v>
      </c>
      <c r="BM273" s="669"/>
      <c r="BN273" s="669"/>
      <c r="BO273" s="669"/>
      <c r="BP273" s="669"/>
      <c r="BQ273" s="669">
        <f t="shared" si="164"/>
        <v>0</v>
      </c>
      <c r="BR273" s="669"/>
      <c r="BS273" s="669"/>
      <c r="BT273" s="669"/>
      <c r="BU273" s="669"/>
      <c r="BV273" s="669">
        <f t="shared" si="165"/>
        <v>0</v>
      </c>
      <c r="BW273" s="669"/>
      <c r="BX273" s="669"/>
      <c r="BY273" s="669"/>
      <c r="BZ273" s="669"/>
      <c r="CA273" s="669">
        <f t="shared" si="166"/>
        <v>0</v>
      </c>
      <c r="CB273" s="669"/>
      <c r="CC273" s="669"/>
      <c r="CD273" s="669"/>
      <c r="CE273" s="669"/>
      <c r="CF273" s="669">
        <f t="shared" si="167"/>
        <v>0</v>
      </c>
      <c r="CG273" s="669"/>
      <c r="CH273" s="669"/>
      <c r="CI273" s="669"/>
      <c r="CJ273" s="669"/>
      <c r="CK273" s="669">
        <f t="shared" si="168"/>
        <v>0</v>
      </c>
      <c r="CL273" s="669"/>
      <c r="CM273" s="669"/>
      <c r="CN273" s="669"/>
      <c r="CO273" s="669"/>
      <c r="CP273" s="669">
        <f t="shared" si="169"/>
        <v>0</v>
      </c>
      <c r="CQ273" s="669">
        <f t="shared" si="157"/>
        <v>0</v>
      </c>
      <c r="CR273" s="669">
        <f t="shared" si="157"/>
        <v>0</v>
      </c>
      <c r="CS273" s="669">
        <f t="shared" si="157"/>
        <v>0</v>
      </c>
      <c r="CT273" s="669"/>
      <c r="CU273" s="669"/>
      <c r="CV273" s="669"/>
    </row>
    <row r="274" spans="2:100" s="526" customFormat="1">
      <c r="B274" s="670" t="s">
        <v>413</v>
      </c>
      <c r="AW274" s="669"/>
      <c r="AX274" s="669"/>
      <c r="AY274" s="669"/>
      <c r="AZ274" s="669"/>
      <c r="BA274" s="669"/>
      <c r="BB274" s="669">
        <v>0</v>
      </c>
      <c r="BC274" s="669"/>
      <c r="BD274" s="669"/>
      <c r="BE274" s="669"/>
      <c r="BF274" s="669"/>
      <c r="BG274" s="669">
        <v>0</v>
      </c>
      <c r="BH274" s="669"/>
      <c r="BI274" s="669"/>
      <c r="BJ274" s="669"/>
      <c r="BK274" s="669"/>
      <c r="BL274" s="669">
        <v>0</v>
      </c>
      <c r="BM274" s="669"/>
      <c r="BN274" s="669"/>
      <c r="BO274" s="669"/>
      <c r="BP274" s="669"/>
      <c r="BQ274" s="669">
        <f t="shared" si="164"/>
        <v>0</v>
      </c>
      <c r="BR274" s="669"/>
      <c r="BS274" s="669"/>
      <c r="BT274" s="669"/>
      <c r="BU274" s="669"/>
      <c r="BV274" s="669">
        <f t="shared" si="165"/>
        <v>0</v>
      </c>
      <c r="BW274" s="669"/>
      <c r="BX274" s="669"/>
      <c r="BY274" s="669"/>
      <c r="BZ274" s="669"/>
      <c r="CA274" s="669">
        <f t="shared" si="166"/>
        <v>0</v>
      </c>
      <c r="CB274" s="669"/>
      <c r="CC274" s="669"/>
      <c r="CD274" s="669"/>
      <c r="CE274" s="669"/>
      <c r="CF274" s="669">
        <f t="shared" si="167"/>
        <v>0</v>
      </c>
      <c r="CG274" s="669"/>
      <c r="CH274" s="669"/>
      <c r="CI274" s="669"/>
      <c r="CJ274" s="669"/>
      <c r="CK274" s="669">
        <f t="shared" si="168"/>
        <v>0</v>
      </c>
      <c r="CL274" s="669"/>
      <c r="CM274" s="669"/>
      <c r="CN274" s="669"/>
      <c r="CO274" s="669"/>
      <c r="CP274" s="669">
        <f t="shared" si="169"/>
        <v>0</v>
      </c>
      <c r="CQ274" s="669">
        <f t="shared" si="157"/>
        <v>0</v>
      </c>
      <c r="CR274" s="669">
        <f t="shared" si="157"/>
        <v>0</v>
      </c>
      <c r="CS274" s="669">
        <f t="shared" si="157"/>
        <v>0</v>
      </c>
      <c r="CT274" s="669"/>
      <c r="CU274" s="669"/>
      <c r="CV274" s="669"/>
    </row>
    <row r="275" spans="2:100" s="526" customFormat="1">
      <c r="B275" s="670" t="s">
        <v>414</v>
      </c>
      <c r="AW275" s="669"/>
      <c r="AX275" s="669"/>
      <c r="AY275" s="669"/>
      <c r="AZ275" s="669"/>
      <c r="BA275" s="669"/>
      <c r="BB275" s="669">
        <v>0</v>
      </c>
      <c r="BC275" s="669"/>
      <c r="BD275" s="669"/>
      <c r="BE275" s="669"/>
      <c r="BF275" s="669"/>
      <c r="BG275" s="669">
        <v>0</v>
      </c>
      <c r="BH275" s="669"/>
      <c r="BI275" s="669"/>
      <c r="BJ275" s="669"/>
      <c r="BK275" s="669"/>
      <c r="BL275" s="669">
        <v>0</v>
      </c>
      <c r="BM275" s="669"/>
      <c r="BN275" s="669"/>
      <c r="BO275" s="669"/>
      <c r="BP275" s="669"/>
      <c r="BQ275" s="669">
        <f t="shared" si="164"/>
        <v>0</v>
      </c>
      <c r="BR275" s="669"/>
      <c r="BS275" s="669"/>
      <c r="BT275" s="669"/>
      <c r="BU275" s="669"/>
      <c r="BV275" s="669">
        <f t="shared" si="165"/>
        <v>0</v>
      </c>
      <c r="BW275" s="669"/>
      <c r="BX275" s="669"/>
      <c r="BY275" s="669"/>
      <c r="BZ275" s="669"/>
      <c r="CA275" s="669">
        <f t="shared" si="166"/>
        <v>0</v>
      </c>
      <c r="CB275" s="669"/>
      <c r="CC275" s="669"/>
      <c r="CD275" s="669"/>
      <c r="CE275" s="669"/>
      <c r="CF275" s="669">
        <f t="shared" si="167"/>
        <v>0</v>
      </c>
      <c r="CG275" s="669"/>
      <c r="CH275" s="669"/>
      <c r="CI275" s="669"/>
      <c r="CJ275" s="669"/>
      <c r="CK275" s="669">
        <f t="shared" si="168"/>
        <v>0</v>
      </c>
      <c r="CL275" s="669"/>
      <c r="CM275" s="669"/>
      <c r="CN275" s="669"/>
      <c r="CO275" s="669"/>
      <c r="CP275" s="669">
        <f t="shared" si="169"/>
        <v>0</v>
      </c>
      <c r="CQ275" s="669">
        <f t="shared" si="157"/>
        <v>0</v>
      </c>
      <c r="CR275" s="669">
        <f t="shared" si="157"/>
        <v>0</v>
      </c>
      <c r="CS275" s="669">
        <f t="shared" si="157"/>
        <v>0</v>
      </c>
      <c r="CT275" s="669"/>
      <c r="CU275" s="669"/>
      <c r="CV275" s="669"/>
    </row>
    <row r="276" spans="2:100" s="526" customFormat="1">
      <c r="B276" s="670" t="s">
        <v>415</v>
      </c>
      <c r="AW276" s="669"/>
      <c r="AX276" s="669"/>
      <c r="AY276" s="669"/>
      <c r="AZ276" s="669"/>
      <c r="BA276" s="669"/>
      <c r="BB276" s="669">
        <v>0</v>
      </c>
      <c r="BC276" s="669"/>
      <c r="BD276" s="669"/>
      <c r="BE276" s="669"/>
      <c r="BF276" s="669"/>
      <c r="BG276" s="669">
        <v>0</v>
      </c>
      <c r="BH276" s="669"/>
      <c r="BI276" s="669"/>
      <c r="BJ276" s="669"/>
      <c r="BK276" s="669"/>
      <c r="BL276" s="669">
        <v>0</v>
      </c>
      <c r="BM276" s="669"/>
      <c r="BN276" s="669"/>
      <c r="BO276" s="669"/>
      <c r="BP276" s="669"/>
      <c r="BQ276" s="669">
        <f t="shared" si="164"/>
        <v>0</v>
      </c>
      <c r="BR276" s="669"/>
      <c r="BS276" s="669"/>
      <c r="BT276" s="669"/>
      <c r="BU276" s="669"/>
      <c r="BV276" s="669">
        <f t="shared" si="165"/>
        <v>0</v>
      </c>
      <c r="BW276" s="669"/>
      <c r="BX276" s="669"/>
      <c r="BY276" s="669"/>
      <c r="BZ276" s="669"/>
      <c r="CA276" s="669">
        <f t="shared" si="166"/>
        <v>0</v>
      </c>
      <c r="CB276" s="669"/>
      <c r="CC276" s="669"/>
      <c r="CD276" s="669"/>
      <c r="CE276" s="669"/>
      <c r="CF276" s="669">
        <f t="shared" si="167"/>
        <v>0</v>
      </c>
      <c r="CG276" s="669"/>
      <c r="CH276" s="669"/>
      <c r="CI276" s="669"/>
      <c r="CJ276" s="669"/>
      <c r="CK276" s="669">
        <f t="shared" si="168"/>
        <v>0</v>
      </c>
      <c r="CL276" s="669"/>
      <c r="CM276" s="669"/>
      <c r="CN276" s="669"/>
      <c r="CO276" s="669"/>
      <c r="CP276" s="669">
        <f t="shared" si="169"/>
        <v>0</v>
      </c>
      <c r="CQ276" s="669">
        <f t="shared" si="157"/>
        <v>0</v>
      </c>
      <c r="CR276" s="669">
        <f t="shared" si="157"/>
        <v>0</v>
      </c>
      <c r="CS276" s="669">
        <f t="shared" si="157"/>
        <v>0</v>
      </c>
      <c r="CT276" s="669"/>
      <c r="CU276" s="669"/>
      <c r="CV276" s="669"/>
    </row>
    <row r="277" spans="2:100" s="526" customFormat="1">
      <c r="B277" s="670" t="s">
        <v>416</v>
      </c>
      <c r="AW277" s="669"/>
      <c r="AX277" s="669"/>
      <c r="AY277" s="669"/>
      <c r="AZ277" s="669"/>
      <c r="BA277" s="669"/>
      <c r="BB277" s="669">
        <v>0</v>
      </c>
      <c r="BC277" s="669"/>
      <c r="BD277" s="669"/>
      <c r="BE277" s="669"/>
      <c r="BF277" s="669"/>
      <c r="BG277" s="669">
        <v>0</v>
      </c>
      <c r="BH277" s="669"/>
      <c r="BI277" s="669"/>
      <c r="BJ277" s="669"/>
      <c r="BK277" s="669"/>
      <c r="BL277" s="669">
        <v>0</v>
      </c>
      <c r="BM277" s="669"/>
      <c r="BN277" s="669"/>
      <c r="BO277" s="669"/>
      <c r="BP277" s="669"/>
      <c r="BQ277" s="669">
        <f>+BQ173</f>
        <v>0.1170212765957447</v>
      </c>
      <c r="BR277" s="669"/>
      <c r="BS277" s="669"/>
      <c r="BT277" s="669"/>
      <c r="BU277" s="669"/>
      <c r="BV277" s="669">
        <f>+BV173</f>
        <v>0.10961432919223668</v>
      </c>
      <c r="BW277" s="669"/>
      <c r="BX277" s="669"/>
      <c r="BY277" s="669"/>
      <c r="BZ277" s="669"/>
      <c r="CA277" s="669">
        <f>+CA173</f>
        <v>9.4765114275578988E-2</v>
      </c>
      <c r="CB277" s="669"/>
      <c r="CC277" s="669"/>
      <c r="CD277" s="669"/>
      <c r="CE277" s="669"/>
      <c r="CF277" s="669">
        <f>+CF173</f>
        <v>8.6565255127678042E-2</v>
      </c>
      <c r="CG277" s="669"/>
      <c r="CH277" s="669"/>
      <c r="CI277" s="669"/>
      <c r="CJ277" s="669"/>
      <c r="CK277" s="669">
        <f>+CK173</f>
        <v>7.0722078363119251E-2</v>
      </c>
      <c r="CL277" s="669"/>
      <c r="CM277" s="669"/>
      <c r="CN277" s="669"/>
      <c r="CO277" s="669"/>
      <c r="CP277" s="669">
        <f>+CP173</f>
        <v>7.0722078363119251E-2</v>
      </c>
      <c r="CQ277" s="669">
        <f t="shared" ref="CQ277:CS296" si="170">+CP277</f>
        <v>7.0722078363119251E-2</v>
      </c>
      <c r="CR277" s="669">
        <f t="shared" si="170"/>
        <v>7.0722078363119251E-2</v>
      </c>
      <c r="CS277" s="669">
        <f t="shared" si="170"/>
        <v>7.0722078363119251E-2</v>
      </c>
      <c r="CT277" s="669"/>
      <c r="CU277" s="669"/>
      <c r="CV277" s="669"/>
    </row>
    <row r="278" spans="2:100" s="526" customFormat="1">
      <c r="B278" s="670" t="s">
        <v>417</v>
      </c>
      <c r="AW278" s="669"/>
      <c r="AX278" s="669"/>
      <c r="AY278" s="669"/>
      <c r="AZ278" s="669"/>
      <c r="BA278" s="669"/>
      <c r="BB278" s="669">
        <v>0</v>
      </c>
      <c r="BC278" s="669"/>
      <c r="BD278" s="669"/>
      <c r="BE278" s="669"/>
      <c r="BF278" s="669"/>
      <c r="BG278" s="669">
        <v>0</v>
      </c>
      <c r="BH278" s="669"/>
      <c r="BI278" s="669"/>
      <c r="BJ278" s="669"/>
      <c r="BK278" s="669"/>
      <c r="BL278" s="669">
        <v>0</v>
      </c>
      <c r="BM278" s="669"/>
      <c r="BN278" s="669"/>
      <c r="BO278" s="669"/>
      <c r="BP278" s="669"/>
      <c r="BQ278" s="669">
        <f>BL278</f>
        <v>0</v>
      </c>
      <c r="BR278" s="669"/>
      <c r="BS278" s="669"/>
      <c r="BT278" s="669"/>
      <c r="BU278" s="669"/>
      <c r="BV278" s="669">
        <f>BQ278</f>
        <v>0</v>
      </c>
      <c r="BW278" s="669"/>
      <c r="BX278" s="669"/>
      <c r="BY278" s="669"/>
      <c r="BZ278" s="669"/>
      <c r="CA278" s="669">
        <f>BV278</f>
        <v>0</v>
      </c>
      <c r="CB278" s="669"/>
      <c r="CC278" s="669"/>
      <c r="CD278" s="669"/>
      <c r="CE278" s="669"/>
      <c r="CF278" s="669">
        <f>CA278</f>
        <v>0</v>
      </c>
      <c r="CG278" s="669"/>
      <c r="CH278" s="669"/>
      <c r="CI278" s="669"/>
      <c r="CJ278" s="669"/>
      <c r="CK278" s="669">
        <f>CF278</f>
        <v>0</v>
      </c>
      <c r="CL278" s="669"/>
      <c r="CM278" s="669"/>
      <c r="CN278" s="669"/>
      <c r="CO278" s="669"/>
      <c r="CP278" s="669">
        <f>CK278</f>
        <v>0</v>
      </c>
      <c r="CQ278" s="669">
        <f t="shared" si="170"/>
        <v>0</v>
      </c>
      <c r="CR278" s="669">
        <f t="shared" si="170"/>
        <v>0</v>
      </c>
      <c r="CS278" s="669">
        <f t="shared" si="170"/>
        <v>0</v>
      </c>
      <c r="CT278" s="669"/>
      <c r="CU278" s="669"/>
      <c r="CV278" s="669"/>
    </row>
    <row r="279" spans="2:100" s="526" customFormat="1">
      <c r="B279" s="670" t="s">
        <v>418</v>
      </c>
      <c r="AW279" s="669"/>
      <c r="AX279" s="669"/>
      <c r="AY279" s="669"/>
      <c r="AZ279" s="669"/>
      <c r="BA279" s="669"/>
      <c r="BB279" s="669">
        <v>0</v>
      </c>
      <c r="BC279" s="669"/>
      <c r="BD279" s="669"/>
      <c r="BE279" s="669"/>
      <c r="BF279" s="669"/>
      <c r="BG279" s="669">
        <v>0</v>
      </c>
      <c r="BH279" s="669"/>
      <c r="BI279" s="669"/>
      <c r="BJ279" s="669"/>
      <c r="BK279" s="669"/>
      <c r="BL279" s="669">
        <v>0</v>
      </c>
      <c r="BM279" s="669"/>
      <c r="BN279" s="669"/>
      <c r="BO279" s="669"/>
      <c r="BP279" s="669"/>
      <c r="BQ279" s="669">
        <f>BL279</f>
        <v>0</v>
      </c>
      <c r="BR279" s="669"/>
      <c r="BS279" s="669"/>
      <c r="BT279" s="669"/>
      <c r="BU279" s="669"/>
      <c r="BV279" s="669">
        <f>BQ279</f>
        <v>0</v>
      </c>
      <c r="BW279" s="669"/>
      <c r="BX279" s="669"/>
      <c r="BY279" s="669"/>
      <c r="BZ279" s="669"/>
      <c r="CA279" s="669">
        <f>BV279</f>
        <v>0</v>
      </c>
      <c r="CB279" s="669"/>
      <c r="CC279" s="669"/>
      <c r="CD279" s="669"/>
      <c r="CE279" s="669"/>
      <c r="CF279" s="669">
        <f>CA279</f>
        <v>0</v>
      </c>
      <c r="CG279" s="669"/>
      <c r="CH279" s="669"/>
      <c r="CI279" s="669"/>
      <c r="CJ279" s="669"/>
      <c r="CK279" s="669">
        <f>CF279</f>
        <v>0</v>
      </c>
      <c r="CL279" s="669"/>
      <c r="CM279" s="669"/>
      <c r="CN279" s="669"/>
      <c r="CO279" s="669"/>
      <c r="CP279" s="669">
        <f>CK279</f>
        <v>0</v>
      </c>
      <c r="CQ279" s="669">
        <f t="shared" si="170"/>
        <v>0</v>
      </c>
      <c r="CR279" s="669">
        <f t="shared" si="170"/>
        <v>0</v>
      </c>
      <c r="CS279" s="669">
        <f t="shared" si="170"/>
        <v>0</v>
      </c>
      <c r="CT279" s="669"/>
      <c r="CU279" s="669"/>
      <c r="CV279" s="669"/>
    </row>
    <row r="280" spans="2:100" s="526" customFormat="1">
      <c r="B280" s="670" t="s">
        <v>419</v>
      </c>
      <c r="AW280" s="669"/>
      <c r="AX280" s="669"/>
      <c r="AY280" s="669"/>
      <c r="AZ280" s="669"/>
      <c r="BA280" s="669"/>
      <c r="BB280" s="669">
        <v>7.0000000000000007E-2</v>
      </c>
      <c r="BC280" s="669"/>
      <c r="BD280" s="669"/>
      <c r="BE280" s="669"/>
      <c r="BF280" s="669"/>
      <c r="BG280" s="669">
        <v>7.0000000000000007E-2</v>
      </c>
      <c r="BH280" s="669"/>
      <c r="BI280" s="669"/>
      <c r="BJ280" s="669"/>
      <c r="BK280" s="669"/>
      <c r="BL280" s="669">
        <v>7.0000000000000007E-2</v>
      </c>
      <c r="BM280" s="669"/>
      <c r="BN280" s="669"/>
      <c r="BO280" s="669"/>
      <c r="BP280" s="669"/>
      <c r="BQ280" s="669">
        <f>+BQ170</f>
        <v>6.7214700193423599E-2</v>
      </c>
      <c r="BR280" s="669"/>
      <c r="BS280" s="669"/>
      <c r="BT280" s="669"/>
      <c r="BU280" s="669"/>
      <c r="BV280" s="669">
        <f>+BV170</f>
        <v>7.6934590630145183E-2</v>
      </c>
      <c r="BW280" s="669"/>
      <c r="BX280" s="669"/>
      <c r="BY280" s="669"/>
      <c r="BZ280" s="669"/>
      <c r="CA280" s="669">
        <f>+CA170</f>
        <v>8.1285156843865614E-2</v>
      </c>
      <c r="CB280" s="669"/>
      <c r="CC280" s="669"/>
      <c r="CD280" s="669"/>
      <c r="CE280" s="669"/>
      <c r="CF280" s="669">
        <f>+CF170</f>
        <v>7.6424101228815502E-2</v>
      </c>
      <c r="CG280" s="669"/>
      <c r="CH280" s="669"/>
      <c r="CI280" s="669"/>
      <c r="CJ280" s="669"/>
      <c r="CK280" s="669">
        <f>+CK170</f>
        <v>7.1698433586619703E-2</v>
      </c>
      <c r="CL280" s="669"/>
      <c r="CM280" s="669"/>
      <c r="CN280" s="669"/>
      <c r="CO280" s="669"/>
      <c r="CP280" s="669">
        <f>+CP170</f>
        <v>7.1698433586619703E-2</v>
      </c>
      <c r="CQ280" s="669">
        <f t="shared" si="170"/>
        <v>7.1698433586619703E-2</v>
      </c>
      <c r="CR280" s="669">
        <f t="shared" si="170"/>
        <v>7.1698433586619703E-2</v>
      </c>
      <c r="CS280" s="669">
        <f t="shared" si="170"/>
        <v>7.1698433586619703E-2</v>
      </c>
      <c r="CT280" s="669"/>
      <c r="CU280" s="669"/>
      <c r="CV280" s="669"/>
    </row>
    <row r="281" spans="2:100" s="526" customFormat="1">
      <c r="B281" s="670" t="s">
        <v>420</v>
      </c>
      <c r="AW281" s="669"/>
      <c r="AX281" s="669"/>
      <c r="AY281" s="669"/>
      <c r="AZ281" s="669"/>
      <c r="BA281" s="669"/>
      <c r="BB281" s="669">
        <v>0.1</v>
      </c>
      <c r="BC281" s="669"/>
      <c r="BD281" s="669"/>
      <c r="BE281" s="669"/>
      <c r="BF281" s="669"/>
      <c r="BG281" s="669">
        <v>0.1</v>
      </c>
      <c r="BH281" s="669"/>
      <c r="BI281" s="669"/>
      <c r="BJ281" s="669"/>
      <c r="BK281" s="669"/>
      <c r="BL281" s="669">
        <v>0.1</v>
      </c>
      <c r="BM281" s="669"/>
      <c r="BN281" s="669"/>
      <c r="BO281" s="669"/>
      <c r="BP281" s="669"/>
      <c r="BQ281" s="669">
        <v>0</v>
      </c>
      <c r="BR281" s="669"/>
      <c r="BS281" s="669"/>
      <c r="BT281" s="669"/>
      <c r="BU281" s="669"/>
      <c r="BV281" s="669">
        <v>0</v>
      </c>
      <c r="BW281" s="669"/>
      <c r="BX281" s="669"/>
      <c r="BY281" s="669"/>
      <c r="BZ281" s="669"/>
      <c r="CA281" s="669">
        <v>0</v>
      </c>
      <c r="CB281" s="669"/>
      <c r="CC281" s="669"/>
      <c r="CD281" s="669"/>
      <c r="CE281" s="669"/>
      <c r="CF281" s="669">
        <v>0</v>
      </c>
      <c r="CG281" s="669"/>
      <c r="CH281" s="669"/>
      <c r="CI281" s="669"/>
      <c r="CJ281" s="669"/>
      <c r="CK281" s="669">
        <v>0</v>
      </c>
      <c r="CL281" s="669"/>
      <c r="CM281" s="669"/>
      <c r="CN281" s="669"/>
      <c r="CO281" s="669"/>
      <c r="CP281" s="669">
        <v>0</v>
      </c>
      <c r="CQ281" s="669">
        <f t="shared" si="170"/>
        <v>0</v>
      </c>
      <c r="CR281" s="669">
        <f t="shared" si="170"/>
        <v>0</v>
      </c>
      <c r="CS281" s="669">
        <f t="shared" si="170"/>
        <v>0</v>
      </c>
      <c r="CT281" s="669"/>
      <c r="CU281" s="669"/>
      <c r="CV281" s="669"/>
    </row>
    <row r="282" spans="2:100" s="526" customFormat="1">
      <c r="B282" s="670" t="s">
        <v>421</v>
      </c>
      <c r="AW282" s="669"/>
      <c r="AX282" s="669"/>
      <c r="AY282" s="669"/>
      <c r="AZ282" s="669"/>
      <c r="BA282" s="669"/>
      <c r="BB282" s="669">
        <v>0</v>
      </c>
      <c r="BC282" s="669"/>
      <c r="BD282" s="669"/>
      <c r="BE282" s="669"/>
      <c r="BF282" s="669"/>
      <c r="BG282" s="669">
        <v>0</v>
      </c>
      <c r="BH282" s="669"/>
      <c r="BI282" s="669"/>
      <c r="BJ282" s="669"/>
      <c r="BK282" s="669"/>
      <c r="BL282" s="669">
        <v>0</v>
      </c>
      <c r="BM282" s="669"/>
      <c r="BN282" s="669"/>
      <c r="BO282" s="669"/>
      <c r="BP282" s="669"/>
      <c r="BQ282" s="669">
        <f t="shared" ref="BQ282:BQ304" si="171">BL282</f>
        <v>0</v>
      </c>
      <c r="BR282" s="669"/>
      <c r="BS282" s="669"/>
      <c r="BT282" s="669"/>
      <c r="BU282" s="669"/>
      <c r="BV282" s="669">
        <f t="shared" ref="BV282:BV304" si="172">BQ282</f>
        <v>0</v>
      </c>
      <c r="BW282" s="669"/>
      <c r="BX282" s="669"/>
      <c r="BY282" s="669"/>
      <c r="BZ282" s="669"/>
      <c r="CA282" s="669">
        <f t="shared" ref="CA282:CA304" si="173">BV282</f>
        <v>0</v>
      </c>
      <c r="CB282" s="669"/>
      <c r="CC282" s="669"/>
      <c r="CD282" s="669"/>
      <c r="CE282" s="669"/>
      <c r="CF282" s="669">
        <f t="shared" ref="CF282:CF304" si="174">CA282</f>
        <v>0</v>
      </c>
      <c r="CG282" s="669"/>
      <c r="CH282" s="669"/>
      <c r="CI282" s="669"/>
      <c r="CJ282" s="669"/>
      <c r="CK282" s="669">
        <f t="shared" ref="CK282:CK304" si="175">CF282</f>
        <v>0</v>
      </c>
      <c r="CL282" s="669"/>
      <c r="CM282" s="669"/>
      <c r="CN282" s="669"/>
      <c r="CO282" s="669"/>
      <c r="CP282" s="669">
        <f t="shared" ref="CP282:CP304" si="176">CK282</f>
        <v>0</v>
      </c>
      <c r="CQ282" s="669">
        <f t="shared" si="170"/>
        <v>0</v>
      </c>
      <c r="CR282" s="669">
        <f t="shared" si="170"/>
        <v>0</v>
      </c>
      <c r="CS282" s="669">
        <f t="shared" si="170"/>
        <v>0</v>
      </c>
      <c r="CT282" s="669"/>
      <c r="CU282" s="669"/>
      <c r="CV282" s="669"/>
    </row>
    <row r="283" spans="2:100" s="526" customFormat="1">
      <c r="B283" s="670" t="s">
        <v>422</v>
      </c>
      <c r="AW283" s="669"/>
      <c r="AX283" s="669"/>
      <c r="AY283" s="669"/>
      <c r="AZ283" s="669"/>
      <c r="BA283" s="669"/>
      <c r="BB283" s="669">
        <v>0</v>
      </c>
      <c r="BC283" s="669"/>
      <c r="BD283" s="669"/>
      <c r="BE283" s="669"/>
      <c r="BF283" s="669"/>
      <c r="BG283" s="669">
        <v>0</v>
      </c>
      <c r="BH283" s="669"/>
      <c r="BI283" s="669"/>
      <c r="BJ283" s="669"/>
      <c r="BK283" s="669"/>
      <c r="BL283" s="669">
        <v>0</v>
      </c>
      <c r="BM283" s="669"/>
      <c r="BN283" s="669"/>
      <c r="BO283" s="669"/>
      <c r="BP283" s="669"/>
      <c r="BQ283" s="669">
        <f t="shared" si="171"/>
        <v>0</v>
      </c>
      <c r="BR283" s="669"/>
      <c r="BS283" s="669"/>
      <c r="BT283" s="669"/>
      <c r="BU283" s="669"/>
      <c r="BV283" s="669">
        <f t="shared" si="172"/>
        <v>0</v>
      </c>
      <c r="BW283" s="669"/>
      <c r="BX283" s="669"/>
      <c r="BY283" s="669"/>
      <c r="BZ283" s="669"/>
      <c r="CA283" s="669">
        <f t="shared" si="173"/>
        <v>0</v>
      </c>
      <c r="CB283" s="669"/>
      <c r="CC283" s="669"/>
      <c r="CD283" s="669"/>
      <c r="CE283" s="669"/>
      <c r="CF283" s="669">
        <f t="shared" si="174"/>
        <v>0</v>
      </c>
      <c r="CG283" s="669"/>
      <c r="CH283" s="669"/>
      <c r="CI283" s="669"/>
      <c r="CJ283" s="669"/>
      <c r="CK283" s="669">
        <f t="shared" si="175"/>
        <v>0</v>
      </c>
      <c r="CL283" s="669"/>
      <c r="CM283" s="669"/>
      <c r="CN283" s="669"/>
      <c r="CO283" s="669"/>
      <c r="CP283" s="669">
        <f t="shared" si="176"/>
        <v>0</v>
      </c>
      <c r="CQ283" s="669">
        <f t="shared" si="170"/>
        <v>0</v>
      </c>
      <c r="CR283" s="669">
        <f t="shared" si="170"/>
        <v>0</v>
      </c>
      <c r="CS283" s="669">
        <f t="shared" si="170"/>
        <v>0</v>
      </c>
      <c r="CT283" s="669"/>
      <c r="CU283" s="669"/>
      <c r="CV283" s="669"/>
    </row>
    <row r="284" spans="2:100" s="526" customFormat="1">
      <c r="B284" s="670" t="s">
        <v>423</v>
      </c>
      <c r="AW284" s="669"/>
      <c r="AX284" s="669"/>
      <c r="AY284" s="669"/>
      <c r="AZ284" s="669"/>
      <c r="BA284" s="669"/>
      <c r="BB284" s="669">
        <v>0</v>
      </c>
      <c r="BC284" s="669"/>
      <c r="BD284" s="669"/>
      <c r="BE284" s="669"/>
      <c r="BF284" s="669"/>
      <c r="BG284" s="669">
        <v>0</v>
      </c>
      <c r="BH284" s="669"/>
      <c r="BI284" s="669"/>
      <c r="BJ284" s="669"/>
      <c r="BK284" s="669"/>
      <c r="BL284" s="669">
        <v>0</v>
      </c>
      <c r="BM284" s="669"/>
      <c r="BN284" s="669"/>
      <c r="BO284" s="669"/>
      <c r="BP284" s="669"/>
      <c r="BQ284" s="669">
        <f t="shared" si="171"/>
        <v>0</v>
      </c>
      <c r="BR284" s="669"/>
      <c r="BS284" s="669"/>
      <c r="BT284" s="669"/>
      <c r="BU284" s="669"/>
      <c r="BV284" s="669">
        <f t="shared" si="172"/>
        <v>0</v>
      </c>
      <c r="BW284" s="669"/>
      <c r="BX284" s="669"/>
      <c r="BY284" s="669"/>
      <c r="BZ284" s="669"/>
      <c r="CA284" s="669">
        <f t="shared" si="173"/>
        <v>0</v>
      </c>
      <c r="CB284" s="669"/>
      <c r="CC284" s="669"/>
      <c r="CD284" s="669"/>
      <c r="CE284" s="669"/>
      <c r="CF284" s="669">
        <f t="shared" si="174"/>
        <v>0</v>
      </c>
      <c r="CG284" s="669"/>
      <c r="CH284" s="669"/>
      <c r="CI284" s="669"/>
      <c r="CJ284" s="669"/>
      <c r="CK284" s="669">
        <f t="shared" si="175"/>
        <v>0</v>
      </c>
      <c r="CL284" s="669"/>
      <c r="CM284" s="669"/>
      <c r="CN284" s="669"/>
      <c r="CO284" s="669"/>
      <c r="CP284" s="669">
        <f t="shared" si="176"/>
        <v>0</v>
      </c>
      <c r="CQ284" s="669">
        <f t="shared" si="170"/>
        <v>0</v>
      </c>
      <c r="CR284" s="669">
        <f t="shared" si="170"/>
        <v>0</v>
      </c>
      <c r="CS284" s="669">
        <f t="shared" si="170"/>
        <v>0</v>
      </c>
      <c r="CT284" s="669"/>
      <c r="CU284" s="669"/>
      <c r="CV284" s="669"/>
    </row>
    <row r="285" spans="2:100" s="526" customFormat="1">
      <c r="B285" s="670" t="s">
        <v>424</v>
      </c>
      <c r="AW285" s="669"/>
      <c r="AX285" s="669"/>
      <c r="AY285" s="669"/>
      <c r="AZ285" s="669"/>
      <c r="BA285" s="669"/>
      <c r="BB285" s="669">
        <v>0</v>
      </c>
      <c r="BC285" s="669"/>
      <c r="BD285" s="669"/>
      <c r="BE285" s="669"/>
      <c r="BF285" s="669"/>
      <c r="BG285" s="669">
        <v>0</v>
      </c>
      <c r="BH285" s="669"/>
      <c r="BI285" s="669"/>
      <c r="BJ285" s="669"/>
      <c r="BK285" s="669"/>
      <c r="BL285" s="669">
        <v>0</v>
      </c>
      <c r="BM285" s="669"/>
      <c r="BN285" s="669"/>
      <c r="BO285" s="669"/>
      <c r="BP285" s="669"/>
      <c r="BQ285" s="669">
        <f t="shared" si="171"/>
        <v>0</v>
      </c>
      <c r="BR285" s="669"/>
      <c r="BS285" s="669"/>
      <c r="BT285" s="669"/>
      <c r="BU285" s="669"/>
      <c r="BV285" s="669">
        <f t="shared" si="172"/>
        <v>0</v>
      </c>
      <c r="BW285" s="669"/>
      <c r="BX285" s="669"/>
      <c r="BY285" s="669"/>
      <c r="BZ285" s="669"/>
      <c r="CA285" s="669">
        <f t="shared" si="173"/>
        <v>0</v>
      </c>
      <c r="CB285" s="669"/>
      <c r="CC285" s="669"/>
      <c r="CD285" s="669"/>
      <c r="CE285" s="669"/>
      <c r="CF285" s="669">
        <f t="shared" si="174"/>
        <v>0</v>
      </c>
      <c r="CG285" s="669"/>
      <c r="CH285" s="669"/>
      <c r="CI285" s="669"/>
      <c r="CJ285" s="669"/>
      <c r="CK285" s="669">
        <f t="shared" si="175"/>
        <v>0</v>
      </c>
      <c r="CL285" s="669"/>
      <c r="CM285" s="669"/>
      <c r="CN285" s="669"/>
      <c r="CO285" s="669"/>
      <c r="CP285" s="669">
        <f t="shared" si="176"/>
        <v>0</v>
      </c>
      <c r="CQ285" s="669">
        <f t="shared" si="170"/>
        <v>0</v>
      </c>
      <c r="CR285" s="669">
        <f t="shared" si="170"/>
        <v>0</v>
      </c>
      <c r="CS285" s="669">
        <f t="shared" si="170"/>
        <v>0</v>
      </c>
      <c r="CT285" s="669"/>
      <c r="CU285" s="669"/>
      <c r="CV285" s="669"/>
    </row>
    <row r="286" spans="2:100" s="526" customFormat="1">
      <c r="B286" s="670" t="s">
        <v>425</v>
      </c>
      <c r="AW286" s="669"/>
      <c r="AX286" s="669"/>
      <c r="AY286" s="669"/>
      <c r="AZ286" s="669"/>
      <c r="BA286" s="669"/>
      <c r="BB286" s="669">
        <v>0</v>
      </c>
      <c r="BC286" s="669"/>
      <c r="BD286" s="669"/>
      <c r="BE286" s="669"/>
      <c r="BF286" s="669"/>
      <c r="BG286" s="669">
        <v>0</v>
      </c>
      <c r="BH286" s="669"/>
      <c r="BI286" s="669"/>
      <c r="BJ286" s="669"/>
      <c r="BK286" s="669"/>
      <c r="BL286" s="669">
        <v>0</v>
      </c>
      <c r="BM286" s="669"/>
      <c r="BN286" s="669"/>
      <c r="BO286" s="669"/>
      <c r="BP286" s="669"/>
      <c r="BQ286" s="669">
        <f t="shared" si="171"/>
        <v>0</v>
      </c>
      <c r="BR286" s="669"/>
      <c r="BS286" s="669"/>
      <c r="BT286" s="669"/>
      <c r="BU286" s="669"/>
      <c r="BV286" s="669">
        <f t="shared" si="172"/>
        <v>0</v>
      </c>
      <c r="BW286" s="669"/>
      <c r="BX286" s="669"/>
      <c r="BY286" s="669"/>
      <c r="BZ286" s="669"/>
      <c r="CA286" s="669">
        <f t="shared" si="173"/>
        <v>0</v>
      </c>
      <c r="CB286" s="669"/>
      <c r="CC286" s="669"/>
      <c r="CD286" s="669"/>
      <c r="CE286" s="669"/>
      <c r="CF286" s="669">
        <f t="shared" si="174"/>
        <v>0</v>
      </c>
      <c r="CG286" s="669"/>
      <c r="CH286" s="669"/>
      <c r="CI286" s="669"/>
      <c r="CJ286" s="669"/>
      <c r="CK286" s="669">
        <f t="shared" si="175"/>
        <v>0</v>
      </c>
      <c r="CL286" s="669"/>
      <c r="CM286" s="669"/>
      <c r="CN286" s="669"/>
      <c r="CO286" s="669"/>
      <c r="CP286" s="669">
        <f t="shared" si="176"/>
        <v>0</v>
      </c>
      <c r="CQ286" s="669">
        <f t="shared" si="170"/>
        <v>0</v>
      </c>
      <c r="CR286" s="669">
        <f t="shared" si="170"/>
        <v>0</v>
      </c>
      <c r="CS286" s="669">
        <f t="shared" si="170"/>
        <v>0</v>
      </c>
      <c r="CT286" s="669"/>
      <c r="CU286" s="669"/>
      <c r="CV286" s="669"/>
    </row>
    <row r="287" spans="2:100" s="526" customFormat="1">
      <c r="B287" s="670" t="s">
        <v>426</v>
      </c>
      <c r="AW287" s="669"/>
      <c r="AX287" s="669"/>
      <c r="AY287" s="669"/>
      <c r="AZ287" s="669"/>
      <c r="BA287" s="669"/>
      <c r="BB287" s="669">
        <v>0</v>
      </c>
      <c r="BC287" s="669"/>
      <c r="BD287" s="669"/>
      <c r="BE287" s="669"/>
      <c r="BF287" s="669"/>
      <c r="BG287" s="669">
        <v>0</v>
      </c>
      <c r="BH287" s="669"/>
      <c r="BI287" s="669"/>
      <c r="BJ287" s="669"/>
      <c r="BK287" s="669"/>
      <c r="BL287" s="669">
        <v>0</v>
      </c>
      <c r="BM287" s="669"/>
      <c r="BN287" s="669"/>
      <c r="BO287" s="669"/>
      <c r="BP287" s="669"/>
      <c r="BQ287" s="669">
        <f t="shared" si="171"/>
        <v>0</v>
      </c>
      <c r="BR287" s="669"/>
      <c r="BS287" s="669"/>
      <c r="BT287" s="669"/>
      <c r="BU287" s="669"/>
      <c r="BV287" s="669">
        <f t="shared" si="172"/>
        <v>0</v>
      </c>
      <c r="BW287" s="669"/>
      <c r="BX287" s="669"/>
      <c r="BY287" s="669"/>
      <c r="BZ287" s="669"/>
      <c r="CA287" s="669">
        <f t="shared" si="173"/>
        <v>0</v>
      </c>
      <c r="CB287" s="669"/>
      <c r="CC287" s="669"/>
      <c r="CD287" s="669"/>
      <c r="CE287" s="669"/>
      <c r="CF287" s="669">
        <f t="shared" si="174"/>
        <v>0</v>
      </c>
      <c r="CG287" s="669"/>
      <c r="CH287" s="669"/>
      <c r="CI287" s="669"/>
      <c r="CJ287" s="669"/>
      <c r="CK287" s="669">
        <f t="shared" si="175"/>
        <v>0</v>
      </c>
      <c r="CL287" s="669"/>
      <c r="CM287" s="669"/>
      <c r="CN287" s="669"/>
      <c r="CO287" s="669"/>
      <c r="CP287" s="669">
        <f t="shared" si="176"/>
        <v>0</v>
      </c>
      <c r="CQ287" s="669">
        <f t="shared" si="170"/>
        <v>0</v>
      </c>
      <c r="CR287" s="669">
        <f t="shared" si="170"/>
        <v>0</v>
      </c>
      <c r="CS287" s="669">
        <f t="shared" si="170"/>
        <v>0</v>
      </c>
      <c r="CT287" s="669"/>
      <c r="CU287" s="669"/>
      <c r="CV287" s="669"/>
    </row>
    <row r="288" spans="2:100" s="526" customFormat="1">
      <c r="B288" s="670" t="s">
        <v>427</v>
      </c>
      <c r="AW288" s="669"/>
      <c r="AX288" s="669"/>
      <c r="AY288" s="669"/>
      <c r="AZ288" s="669"/>
      <c r="BA288" s="669"/>
      <c r="BB288" s="669">
        <v>0</v>
      </c>
      <c r="BC288" s="669"/>
      <c r="BD288" s="669"/>
      <c r="BE288" s="669"/>
      <c r="BF288" s="669"/>
      <c r="BG288" s="669">
        <v>0</v>
      </c>
      <c r="BH288" s="669"/>
      <c r="BI288" s="669"/>
      <c r="BJ288" s="669"/>
      <c r="BK288" s="669"/>
      <c r="BL288" s="669">
        <v>0</v>
      </c>
      <c r="BM288" s="669"/>
      <c r="BN288" s="669"/>
      <c r="BO288" s="669"/>
      <c r="BP288" s="669"/>
      <c r="BQ288" s="669">
        <f t="shared" si="171"/>
        <v>0</v>
      </c>
      <c r="BR288" s="669"/>
      <c r="BS288" s="669"/>
      <c r="BT288" s="669"/>
      <c r="BU288" s="669"/>
      <c r="BV288" s="669">
        <f t="shared" si="172"/>
        <v>0</v>
      </c>
      <c r="BW288" s="669"/>
      <c r="BX288" s="669"/>
      <c r="BY288" s="669"/>
      <c r="BZ288" s="669"/>
      <c r="CA288" s="669">
        <f t="shared" si="173"/>
        <v>0</v>
      </c>
      <c r="CB288" s="669"/>
      <c r="CC288" s="669"/>
      <c r="CD288" s="669"/>
      <c r="CE288" s="669"/>
      <c r="CF288" s="669">
        <f t="shared" si="174"/>
        <v>0</v>
      </c>
      <c r="CG288" s="669"/>
      <c r="CH288" s="669"/>
      <c r="CI288" s="669"/>
      <c r="CJ288" s="669"/>
      <c r="CK288" s="669">
        <f t="shared" si="175"/>
        <v>0</v>
      </c>
      <c r="CL288" s="669"/>
      <c r="CM288" s="669"/>
      <c r="CN288" s="669"/>
      <c r="CO288" s="669"/>
      <c r="CP288" s="669">
        <f t="shared" si="176"/>
        <v>0</v>
      </c>
      <c r="CQ288" s="669">
        <f t="shared" si="170"/>
        <v>0</v>
      </c>
      <c r="CR288" s="669">
        <f t="shared" si="170"/>
        <v>0</v>
      </c>
      <c r="CS288" s="669">
        <f t="shared" si="170"/>
        <v>0</v>
      </c>
      <c r="CT288" s="669"/>
      <c r="CU288" s="669"/>
      <c r="CV288" s="669"/>
    </row>
    <row r="289" spans="2:100" s="526" customFormat="1">
      <c r="B289" s="670" t="s">
        <v>428</v>
      </c>
      <c r="AW289" s="669"/>
      <c r="AX289" s="669"/>
      <c r="AY289" s="669"/>
      <c r="AZ289" s="669"/>
      <c r="BA289" s="669"/>
      <c r="BB289" s="669">
        <v>0</v>
      </c>
      <c r="BC289" s="669"/>
      <c r="BD289" s="669"/>
      <c r="BE289" s="669"/>
      <c r="BF289" s="669"/>
      <c r="BG289" s="669">
        <v>0</v>
      </c>
      <c r="BH289" s="669"/>
      <c r="BI289" s="669"/>
      <c r="BJ289" s="669"/>
      <c r="BK289" s="669"/>
      <c r="BL289" s="669">
        <v>0</v>
      </c>
      <c r="BM289" s="669"/>
      <c r="BN289" s="669"/>
      <c r="BO289" s="669"/>
      <c r="BP289" s="669"/>
      <c r="BQ289" s="669">
        <f t="shared" si="171"/>
        <v>0</v>
      </c>
      <c r="BR289" s="669"/>
      <c r="BS289" s="669"/>
      <c r="BT289" s="669"/>
      <c r="BU289" s="669"/>
      <c r="BV289" s="669">
        <f t="shared" si="172"/>
        <v>0</v>
      </c>
      <c r="BW289" s="669"/>
      <c r="BX289" s="669"/>
      <c r="BY289" s="669"/>
      <c r="BZ289" s="669"/>
      <c r="CA289" s="669">
        <f t="shared" si="173"/>
        <v>0</v>
      </c>
      <c r="CB289" s="669"/>
      <c r="CC289" s="669"/>
      <c r="CD289" s="669"/>
      <c r="CE289" s="669"/>
      <c r="CF289" s="669">
        <f t="shared" si="174"/>
        <v>0</v>
      </c>
      <c r="CG289" s="669"/>
      <c r="CH289" s="669"/>
      <c r="CI289" s="669"/>
      <c r="CJ289" s="669"/>
      <c r="CK289" s="669">
        <f t="shared" si="175"/>
        <v>0</v>
      </c>
      <c r="CL289" s="669"/>
      <c r="CM289" s="669"/>
      <c r="CN289" s="669"/>
      <c r="CO289" s="669"/>
      <c r="CP289" s="669">
        <f t="shared" si="176"/>
        <v>0</v>
      </c>
      <c r="CQ289" s="669">
        <f t="shared" si="170"/>
        <v>0</v>
      </c>
      <c r="CR289" s="669">
        <f t="shared" si="170"/>
        <v>0</v>
      </c>
      <c r="CS289" s="669">
        <f t="shared" si="170"/>
        <v>0</v>
      </c>
      <c r="CT289" s="669"/>
      <c r="CU289" s="669"/>
      <c r="CV289" s="669"/>
    </row>
    <row r="290" spans="2:100" s="526" customFormat="1">
      <c r="B290" s="670" t="s">
        <v>429</v>
      </c>
      <c r="AW290" s="669"/>
      <c r="AX290" s="669"/>
      <c r="AY290" s="669"/>
      <c r="AZ290" s="669"/>
      <c r="BA290" s="669"/>
      <c r="BB290" s="669">
        <v>0</v>
      </c>
      <c r="BC290" s="669"/>
      <c r="BD290" s="669"/>
      <c r="BE290" s="669"/>
      <c r="BF290" s="669"/>
      <c r="BG290" s="669">
        <v>0</v>
      </c>
      <c r="BH290" s="669"/>
      <c r="BI290" s="669"/>
      <c r="BJ290" s="669"/>
      <c r="BK290" s="669"/>
      <c r="BL290" s="669">
        <v>0</v>
      </c>
      <c r="BM290" s="669"/>
      <c r="BN290" s="669"/>
      <c r="BO290" s="669"/>
      <c r="BP290" s="669"/>
      <c r="BQ290" s="669">
        <f t="shared" si="171"/>
        <v>0</v>
      </c>
      <c r="BR290" s="669"/>
      <c r="BS290" s="669"/>
      <c r="BT290" s="669"/>
      <c r="BU290" s="669"/>
      <c r="BV290" s="669">
        <f t="shared" si="172"/>
        <v>0</v>
      </c>
      <c r="BW290" s="669"/>
      <c r="BX290" s="669"/>
      <c r="BY290" s="669"/>
      <c r="BZ290" s="669"/>
      <c r="CA290" s="669">
        <f t="shared" si="173"/>
        <v>0</v>
      </c>
      <c r="CB290" s="669"/>
      <c r="CC290" s="669"/>
      <c r="CD290" s="669"/>
      <c r="CE290" s="669"/>
      <c r="CF290" s="669">
        <f t="shared" si="174"/>
        <v>0</v>
      </c>
      <c r="CG290" s="669"/>
      <c r="CH290" s="669"/>
      <c r="CI290" s="669"/>
      <c r="CJ290" s="669"/>
      <c r="CK290" s="669">
        <f t="shared" si="175"/>
        <v>0</v>
      </c>
      <c r="CL290" s="669"/>
      <c r="CM290" s="669"/>
      <c r="CN290" s="669"/>
      <c r="CO290" s="669"/>
      <c r="CP290" s="669">
        <f t="shared" si="176"/>
        <v>0</v>
      </c>
      <c r="CQ290" s="669">
        <f t="shared" si="170"/>
        <v>0</v>
      </c>
      <c r="CR290" s="669">
        <f t="shared" si="170"/>
        <v>0</v>
      </c>
      <c r="CS290" s="669">
        <f t="shared" si="170"/>
        <v>0</v>
      </c>
      <c r="CT290" s="669"/>
      <c r="CU290" s="669"/>
      <c r="CV290" s="669"/>
    </row>
    <row r="291" spans="2:100" s="526" customFormat="1">
      <c r="B291" s="670" t="s">
        <v>430</v>
      </c>
      <c r="AW291" s="669"/>
      <c r="AX291" s="669"/>
      <c r="AY291" s="669"/>
      <c r="AZ291" s="669"/>
      <c r="BA291" s="669"/>
      <c r="BB291" s="669">
        <v>0</v>
      </c>
      <c r="BC291" s="669"/>
      <c r="BD291" s="669"/>
      <c r="BE291" s="669"/>
      <c r="BF291" s="669"/>
      <c r="BG291" s="669">
        <v>0</v>
      </c>
      <c r="BH291" s="669"/>
      <c r="BI291" s="669"/>
      <c r="BJ291" s="669"/>
      <c r="BK291" s="669"/>
      <c r="BL291" s="669">
        <v>0</v>
      </c>
      <c r="BM291" s="669"/>
      <c r="BN291" s="669"/>
      <c r="BO291" s="669"/>
      <c r="BP291" s="669"/>
      <c r="BQ291" s="669">
        <f t="shared" si="171"/>
        <v>0</v>
      </c>
      <c r="BR291" s="669"/>
      <c r="BS291" s="669"/>
      <c r="BT291" s="669"/>
      <c r="BU291" s="669"/>
      <c r="BV291" s="669">
        <f t="shared" si="172"/>
        <v>0</v>
      </c>
      <c r="BW291" s="669"/>
      <c r="BX291" s="669"/>
      <c r="BY291" s="669"/>
      <c r="BZ291" s="669"/>
      <c r="CA291" s="669">
        <f t="shared" si="173"/>
        <v>0</v>
      </c>
      <c r="CB291" s="669"/>
      <c r="CC291" s="669"/>
      <c r="CD291" s="669"/>
      <c r="CE291" s="669"/>
      <c r="CF291" s="669">
        <f t="shared" si="174"/>
        <v>0</v>
      </c>
      <c r="CG291" s="669"/>
      <c r="CH291" s="669"/>
      <c r="CI291" s="669"/>
      <c r="CJ291" s="669"/>
      <c r="CK291" s="669">
        <f t="shared" si="175"/>
        <v>0</v>
      </c>
      <c r="CL291" s="669"/>
      <c r="CM291" s="669"/>
      <c r="CN291" s="669"/>
      <c r="CO291" s="669"/>
      <c r="CP291" s="669">
        <f t="shared" si="176"/>
        <v>0</v>
      </c>
      <c r="CQ291" s="669">
        <f t="shared" si="170"/>
        <v>0</v>
      </c>
      <c r="CR291" s="669">
        <f t="shared" si="170"/>
        <v>0</v>
      </c>
      <c r="CS291" s="669">
        <f t="shared" si="170"/>
        <v>0</v>
      </c>
      <c r="CT291" s="669"/>
      <c r="CU291" s="669"/>
      <c r="CV291" s="669"/>
    </row>
    <row r="292" spans="2:100" s="526" customFormat="1">
      <c r="B292" s="670" t="s">
        <v>431</v>
      </c>
      <c r="AW292" s="669"/>
      <c r="AX292" s="669"/>
      <c r="AY292" s="669"/>
      <c r="AZ292" s="669"/>
      <c r="BA292" s="669"/>
      <c r="BB292" s="669">
        <v>0</v>
      </c>
      <c r="BC292" s="669"/>
      <c r="BD292" s="669"/>
      <c r="BE292" s="669"/>
      <c r="BF292" s="669"/>
      <c r="BG292" s="669">
        <v>0</v>
      </c>
      <c r="BH292" s="669"/>
      <c r="BI292" s="669"/>
      <c r="BJ292" s="669"/>
      <c r="BK292" s="669"/>
      <c r="BL292" s="669">
        <v>0</v>
      </c>
      <c r="BM292" s="669"/>
      <c r="BN292" s="669"/>
      <c r="BO292" s="669"/>
      <c r="BP292" s="669"/>
      <c r="BQ292" s="669">
        <f t="shared" si="171"/>
        <v>0</v>
      </c>
      <c r="BR292" s="669"/>
      <c r="BS292" s="669"/>
      <c r="BT292" s="669"/>
      <c r="BU292" s="669"/>
      <c r="BV292" s="669">
        <f t="shared" si="172"/>
        <v>0</v>
      </c>
      <c r="BW292" s="669"/>
      <c r="BX292" s="669"/>
      <c r="BY292" s="669"/>
      <c r="BZ292" s="669"/>
      <c r="CA292" s="669">
        <f t="shared" si="173"/>
        <v>0</v>
      </c>
      <c r="CB292" s="669"/>
      <c r="CC292" s="669"/>
      <c r="CD292" s="669"/>
      <c r="CE292" s="669"/>
      <c r="CF292" s="669">
        <f t="shared" si="174"/>
        <v>0</v>
      </c>
      <c r="CG292" s="669"/>
      <c r="CH292" s="669"/>
      <c r="CI292" s="669"/>
      <c r="CJ292" s="669"/>
      <c r="CK292" s="669">
        <f t="shared" si="175"/>
        <v>0</v>
      </c>
      <c r="CL292" s="669"/>
      <c r="CM292" s="669"/>
      <c r="CN292" s="669"/>
      <c r="CO292" s="669"/>
      <c r="CP292" s="669">
        <f t="shared" si="176"/>
        <v>0</v>
      </c>
      <c r="CQ292" s="669">
        <f t="shared" si="170"/>
        <v>0</v>
      </c>
      <c r="CR292" s="669">
        <f t="shared" si="170"/>
        <v>0</v>
      </c>
      <c r="CS292" s="669">
        <f t="shared" si="170"/>
        <v>0</v>
      </c>
      <c r="CT292" s="669"/>
      <c r="CU292" s="669"/>
      <c r="CV292" s="669"/>
    </row>
    <row r="293" spans="2:100" s="526" customFormat="1">
      <c r="B293" s="670" t="s">
        <v>432</v>
      </c>
      <c r="AW293" s="669"/>
      <c r="AX293" s="669"/>
      <c r="AY293" s="669"/>
      <c r="AZ293" s="669"/>
      <c r="BA293" s="669"/>
      <c r="BB293" s="669">
        <v>0</v>
      </c>
      <c r="BC293" s="669"/>
      <c r="BD293" s="669"/>
      <c r="BE293" s="669"/>
      <c r="BF293" s="669"/>
      <c r="BG293" s="669">
        <v>0</v>
      </c>
      <c r="BH293" s="669"/>
      <c r="BI293" s="669"/>
      <c r="BJ293" s="669"/>
      <c r="BK293" s="669"/>
      <c r="BL293" s="669">
        <v>0</v>
      </c>
      <c r="BM293" s="669"/>
      <c r="BN293" s="669"/>
      <c r="BO293" s="669"/>
      <c r="BP293" s="669"/>
      <c r="BQ293" s="669">
        <f t="shared" si="171"/>
        <v>0</v>
      </c>
      <c r="BR293" s="669"/>
      <c r="BS293" s="669"/>
      <c r="BT293" s="669"/>
      <c r="BU293" s="669"/>
      <c r="BV293" s="669">
        <f t="shared" si="172"/>
        <v>0</v>
      </c>
      <c r="BW293" s="669"/>
      <c r="BX293" s="669"/>
      <c r="BY293" s="669"/>
      <c r="BZ293" s="669"/>
      <c r="CA293" s="669">
        <f t="shared" si="173"/>
        <v>0</v>
      </c>
      <c r="CB293" s="669"/>
      <c r="CC293" s="669"/>
      <c r="CD293" s="669"/>
      <c r="CE293" s="669"/>
      <c r="CF293" s="669">
        <f t="shared" si="174"/>
        <v>0</v>
      </c>
      <c r="CG293" s="669"/>
      <c r="CH293" s="669"/>
      <c r="CI293" s="669"/>
      <c r="CJ293" s="669"/>
      <c r="CK293" s="669">
        <f t="shared" si="175"/>
        <v>0</v>
      </c>
      <c r="CL293" s="669"/>
      <c r="CM293" s="669"/>
      <c r="CN293" s="669"/>
      <c r="CO293" s="669"/>
      <c r="CP293" s="669">
        <f t="shared" si="176"/>
        <v>0</v>
      </c>
      <c r="CQ293" s="669">
        <f t="shared" si="170"/>
        <v>0</v>
      </c>
      <c r="CR293" s="669">
        <f t="shared" si="170"/>
        <v>0</v>
      </c>
      <c r="CS293" s="669">
        <f t="shared" si="170"/>
        <v>0</v>
      </c>
      <c r="CT293" s="669"/>
      <c r="CU293" s="669"/>
      <c r="CV293" s="669"/>
    </row>
    <row r="294" spans="2:100" s="526" customFormat="1">
      <c r="B294" s="670" t="s">
        <v>433</v>
      </c>
      <c r="AW294" s="669"/>
      <c r="AX294" s="669"/>
      <c r="AY294" s="669"/>
      <c r="AZ294" s="669"/>
      <c r="BA294" s="669"/>
      <c r="BB294" s="669">
        <v>0</v>
      </c>
      <c r="BC294" s="669"/>
      <c r="BD294" s="669"/>
      <c r="BE294" s="669"/>
      <c r="BF294" s="669"/>
      <c r="BG294" s="669">
        <v>0</v>
      </c>
      <c r="BH294" s="669"/>
      <c r="BI294" s="669"/>
      <c r="BJ294" s="669"/>
      <c r="BK294" s="669"/>
      <c r="BL294" s="669">
        <v>0</v>
      </c>
      <c r="BM294" s="669"/>
      <c r="BN294" s="669"/>
      <c r="BO294" s="669"/>
      <c r="BP294" s="669"/>
      <c r="BQ294" s="669">
        <f t="shared" si="171"/>
        <v>0</v>
      </c>
      <c r="BR294" s="669"/>
      <c r="BS294" s="669"/>
      <c r="BT294" s="669"/>
      <c r="BU294" s="669"/>
      <c r="BV294" s="669">
        <f t="shared" si="172"/>
        <v>0</v>
      </c>
      <c r="BW294" s="669"/>
      <c r="BX294" s="669"/>
      <c r="BY294" s="669"/>
      <c r="BZ294" s="669"/>
      <c r="CA294" s="669">
        <f t="shared" si="173"/>
        <v>0</v>
      </c>
      <c r="CB294" s="669"/>
      <c r="CC294" s="669"/>
      <c r="CD294" s="669"/>
      <c r="CE294" s="669"/>
      <c r="CF294" s="669">
        <f t="shared" si="174"/>
        <v>0</v>
      </c>
      <c r="CG294" s="669"/>
      <c r="CH294" s="669"/>
      <c r="CI294" s="669"/>
      <c r="CJ294" s="669"/>
      <c r="CK294" s="669">
        <f t="shared" si="175"/>
        <v>0</v>
      </c>
      <c r="CL294" s="669"/>
      <c r="CM294" s="669"/>
      <c r="CN294" s="669"/>
      <c r="CO294" s="669"/>
      <c r="CP294" s="669">
        <f t="shared" si="176"/>
        <v>0</v>
      </c>
      <c r="CQ294" s="669">
        <f t="shared" si="170"/>
        <v>0</v>
      </c>
      <c r="CR294" s="669">
        <f t="shared" si="170"/>
        <v>0</v>
      </c>
      <c r="CS294" s="669">
        <f t="shared" si="170"/>
        <v>0</v>
      </c>
      <c r="CT294" s="669"/>
      <c r="CU294" s="669"/>
      <c r="CV294" s="669"/>
    </row>
    <row r="295" spans="2:100" s="526" customFormat="1">
      <c r="B295" s="670" t="s">
        <v>434</v>
      </c>
      <c r="AW295" s="669"/>
      <c r="AX295" s="669"/>
      <c r="AY295" s="669"/>
      <c r="AZ295" s="669"/>
      <c r="BA295" s="669"/>
      <c r="BB295" s="669">
        <v>0</v>
      </c>
      <c r="BC295" s="669"/>
      <c r="BD295" s="669"/>
      <c r="BE295" s="669"/>
      <c r="BF295" s="669"/>
      <c r="BG295" s="669">
        <v>0</v>
      </c>
      <c r="BH295" s="669"/>
      <c r="BI295" s="669"/>
      <c r="BJ295" s="669"/>
      <c r="BK295" s="669"/>
      <c r="BL295" s="669">
        <v>0</v>
      </c>
      <c r="BM295" s="669"/>
      <c r="BN295" s="669"/>
      <c r="BO295" s="669"/>
      <c r="BP295" s="669"/>
      <c r="BQ295" s="669">
        <f t="shared" si="171"/>
        <v>0</v>
      </c>
      <c r="BR295" s="669"/>
      <c r="BS295" s="669"/>
      <c r="BT295" s="669"/>
      <c r="BU295" s="669"/>
      <c r="BV295" s="669">
        <f t="shared" si="172"/>
        <v>0</v>
      </c>
      <c r="BW295" s="669"/>
      <c r="BX295" s="669"/>
      <c r="BY295" s="669"/>
      <c r="BZ295" s="669"/>
      <c r="CA295" s="669">
        <f t="shared" si="173"/>
        <v>0</v>
      </c>
      <c r="CB295" s="669"/>
      <c r="CC295" s="669"/>
      <c r="CD295" s="669"/>
      <c r="CE295" s="669"/>
      <c r="CF295" s="669">
        <f t="shared" si="174"/>
        <v>0</v>
      </c>
      <c r="CG295" s="669"/>
      <c r="CH295" s="669"/>
      <c r="CI295" s="669"/>
      <c r="CJ295" s="669"/>
      <c r="CK295" s="669">
        <f t="shared" si="175"/>
        <v>0</v>
      </c>
      <c r="CL295" s="669"/>
      <c r="CM295" s="669"/>
      <c r="CN295" s="669"/>
      <c r="CO295" s="669"/>
      <c r="CP295" s="669">
        <f t="shared" si="176"/>
        <v>0</v>
      </c>
      <c r="CQ295" s="669">
        <f t="shared" si="170"/>
        <v>0</v>
      </c>
      <c r="CR295" s="669">
        <f t="shared" si="170"/>
        <v>0</v>
      </c>
      <c r="CS295" s="669">
        <f t="shared" si="170"/>
        <v>0</v>
      </c>
      <c r="CT295" s="669"/>
      <c r="CU295" s="669"/>
      <c r="CV295" s="669"/>
    </row>
    <row r="296" spans="2:100" s="526" customFormat="1">
      <c r="B296" s="670" t="s">
        <v>435</v>
      </c>
      <c r="AW296" s="669"/>
      <c r="AX296" s="669"/>
      <c r="AY296" s="669"/>
      <c r="AZ296" s="669"/>
      <c r="BA296" s="669"/>
      <c r="BB296" s="669">
        <v>0</v>
      </c>
      <c r="BC296" s="669"/>
      <c r="BD296" s="669"/>
      <c r="BE296" s="669"/>
      <c r="BF296" s="669"/>
      <c r="BG296" s="669">
        <v>0</v>
      </c>
      <c r="BH296" s="669"/>
      <c r="BI296" s="669"/>
      <c r="BJ296" s="669"/>
      <c r="BK296" s="669"/>
      <c r="BL296" s="669">
        <v>0</v>
      </c>
      <c r="BM296" s="669"/>
      <c r="BN296" s="669"/>
      <c r="BO296" s="669"/>
      <c r="BP296" s="669"/>
      <c r="BQ296" s="669">
        <f t="shared" si="171"/>
        <v>0</v>
      </c>
      <c r="BR296" s="669"/>
      <c r="BS296" s="669"/>
      <c r="BT296" s="669"/>
      <c r="BU296" s="669"/>
      <c r="BV296" s="669">
        <f t="shared" si="172"/>
        <v>0</v>
      </c>
      <c r="BW296" s="669"/>
      <c r="BX296" s="669"/>
      <c r="BY296" s="669"/>
      <c r="BZ296" s="669"/>
      <c r="CA296" s="669">
        <f t="shared" si="173"/>
        <v>0</v>
      </c>
      <c r="CB296" s="669"/>
      <c r="CC296" s="669"/>
      <c r="CD296" s="669"/>
      <c r="CE296" s="669"/>
      <c r="CF296" s="669">
        <f t="shared" si="174"/>
        <v>0</v>
      </c>
      <c r="CG296" s="669"/>
      <c r="CH296" s="669"/>
      <c r="CI296" s="669"/>
      <c r="CJ296" s="669"/>
      <c r="CK296" s="669">
        <f t="shared" si="175"/>
        <v>0</v>
      </c>
      <c r="CL296" s="669"/>
      <c r="CM296" s="669"/>
      <c r="CN296" s="669"/>
      <c r="CO296" s="669"/>
      <c r="CP296" s="669">
        <f t="shared" si="176"/>
        <v>0</v>
      </c>
      <c r="CQ296" s="669">
        <f t="shared" si="170"/>
        <v>0</v>
      </c>
      <c r="CR296" s="669">
        <f t="shared" si="170"/>
        <v>0</v>
      </c>
      <c r="CS296" s="669">
        <f t="shared" si="170"/>
        <v>0</v>
      </c>
      <c r="CT296" s="669"/>
      <c r="CU296" s="669"/>
      <c r="CV296" s="669"/>
    </row>
    <row r="297" spans="2:100" s="526" customFormat="1">
      <c r="B297" s="670" t="s">
        <v>436</v>
      </c>
      <c r="AW297" s="669"/>
      <c r="AX297" s="669"/>
      <c r="AY297" s="669"/>
      <c r="AZ297" s="669"/>
      <c r="BA297" s="669"/>
      <c r="BB297" s="669">
        <v>0</v>
      </c>
      <c r="BC297" s="669"/>
      <c r="BD297" s="669"/>
      <c r="BE297" s="669"/>
      <c r="BF297" s="669"/>
      <c r="BG297" s="669">
        <v>0</v>
      </c>
      <c r="BH297" s="669"/>
      <c r="BI297" s="669"/>
      <c r="BJ297" s="669"/>
      <c r="BK297" s="669"/>
      <c r="BL297" s="669">
        <v>0</v>
      </c>
      <c r="BM297" s="669"/>
      <c r="BN297" s="669"/>
      <c r="BO297" s="669"/>
      <c r="BP297" s="669"/>
      <c r="BQ297" s="669">
        <f t="shared" si="171"/>
        <v>0</v>
      </c>
      <c r="BR297" s="669"/>
      <c r="BS297" s="669"/>
      <c r="BT297" s="669"/>
      <c r="BU297" s="669"/>
      <c r="BV297" s="669">
        <f t="shared" si="172"/>
        <v>0</v>
      </c>
      <c r="BW297" s="669"/>
      <c r="BX297" s="669"/>
      <c r="BY297" s="669"/>
      <c r="BZ297" s="669"/>
      <c r="CA297" s="669">
        <f t="shared" si="173"/>
        <v>0</v>
      </c>
      <c r="CB297" s="669"/>
      <c r="CC297" s="669"/>
      <c r="CD297" s="669"/>
      <c r="CE297" s="669"/>
      <c r="CF297" s="669">
        <f t="shared" si="174"/>
        <v>0</v>
      </c>
      <c r="CG297" s="669"/>
      <c r="CH297" s="669"/>
      <c r="CI297" s="669"/>
      <c r="CJ297" s="669"/>
      <c r="CK297" s="669">
        <f t="shared" si="175"/>
        <v>0</v>
      </c>
      <c r="CL297" s="669"/>
      <c r="CM297" s="669"/>
      <c r="CN297" s="669"/>
      <c r="CO297" s="669"/>
      <c r="CP297" s="669">
        <f t="shared" si="176"/>
        <v>0</v>
      </c>
      <c r="CQ297" s="669">
        <f t="shared" ref="CQ297:CS305" si="177">+CP297</f>
        <v>0</v>
      </c>
      <c r="CR297" s="669">
        <f t="shared" si="177"/>
        <v>0</v>
      </c>
      <c r="CS297" s="669">
        <f t="shared" si="177"/>
        <v>0</v>
      </c>
      <c r="CT297" s="669"/>
      <c r="CU297" s="669"/>
      <c r="CV297" s="669"/>
    </row>
    <row r="298" spans="2:100" s="526" customFormat="1">
      <c r="B298" s="670" t="s">
        <v>437</v>
      </c>
      <c r="AW298" s="669"/>
      <c r="AX298" s="669"/>
      <c r="AY298" s="669"/>
      <c r="AZ298" s="669"/>
      <c r="BA298" s="669"/>
      <c r="BB298" s="669">
        <v>0</v>
      </c>
      <c r="BC298" s="669"/>
      <c r="BD298" s="669"/>
      <c r="BE298" s="669"/>
      <c r="BF298" s="669"/>
      <c r="BG298" s="669">
        <v>0</v>
      </c>
      <c r="BH298" s="669"/>
      <c r="BI298" s="669"/>
      <c r="BJ298" s="669"/>
      <c r="BK298" s="669"/>
      <c r="BL298" s="669">
        <v>0</v>
      </c>
      <c r="BM298" s="669"/>
      <c r="BN298" s="669"/>
      <c r="BO298" s="669"/>
      <c r="BP298" s="669"/>
      <c r="BQ298" s="669">
        <f t="shared" si="171"/>
        <v>0</v>
      </c>
      <c r="BR298" s="669"/>
      <c r="BS298" s="669"/>
      <c r="BT298" s="669"/>
      <c r="BU298" s="669"/>
      <c r="BV298" s="669">
        <f t="shared" si="172"/>
        <v>0</v>
      </c>
      <c r="BW298" s="669"/>
      <c r="BX298" s="669"/>
      <c r="BY298" s="669"/>
      <c r="BZ298" s="669"/>
      <c r="CA298" s="669">
        <f t="shared" si="173"/>
        <v>0</v>
      </c>
      <c r="CB298" s="669"/>
      <c r="CC298" s="669"/>
      <c r="CD298" s="669"/>
      <c r="CE298" s="669"/>
      <c r="CF298" s="669">
        <f t="shared" si="174"/>
        <v>0</v>
      </c>
      <c r="CG298" s="669"/>
      <c r="CH298" s="669"/>
      <c r="CI298" s="669"/>
      <c r="CJ298" s="669"/>
      <c r="CK298" s="669">
        <f t="shared" si="175"/>
        <v>0</v>
      </c>
      <c r="CL298" s="669"/>
      <c r="CM298" s="669"/>
      <c r="CN298" s="669"/>
      <c r="CO298" s="669"/>
      <c r="CP298" s="669">
        <f t="shared" si="176"/>
        <v>0</v>
      </c>
      <c r="CQ298" s="669">
        <f t="shared" si="177"/>
        <v>0</v>
      </c>
      <c r="CR298" s="669">
        <f t="shared" si="177"/>
        <v>0</v>
      </c>
      <c r="CS298" s="669">
        <f t="shared" si="177"/>
        <v>0</v>
      </c>
      <c r="CT298" s="669"/>
      <c r="CU298" s="669"/>
      <c r="CV298" s="669"/>
    </row>
    <row r="299" spans="2:100" s="526" customFormat="1">
      <c r="B299" s="670" t="s">
        <v>438</v>
      </c>
      <c r="AW299" s="669"/>
      <c r="AX299" s="669"/>
      <c r="AY299" s="669"/>
      <c r="AZ299" s="669"/>
      <c r="BA299" s="669"/>
      <c r="BB299" s="669">
        <v>0</v>
      </c>
      <c r="BC299" s="669"/>
      <c r="BD299" s="669"/>
      <c r="BE299" s="669"/>
      <c r="BF299" s="669"/>
      <c r="BG299" s="669">
        <v>0</v>
      </c>
      <c r="BH299" s="669"/>
      <c r="BI299" s="669"/>
      <c r="BJ299" s="669"/>
      <c r="BK299" s="669"/>
      <c r="BL299" s="669">
        <v>0</v>
      </c>
      <c r="BM299" s="669"/>
      <c r="BN299" s="669"/>
      <c r="BO299" s="669"/>
      <c r="BP299" s="669"/>
      <c r="BQ299" s="669">
        <f t="shared" si="171"/>
        <v>0</v>
      </c>
      <c r="BR299" s="669"/>
      <c r="BS299" s="669"/>
      <c r="BT299" s="669"/>
      <c r="BU299" s="669"/>
      <c r="BV299" s="669">
        <f t="shared" si="172"/>
        <v>0</v>
      </c>
      <c r="BW299" s="669"/>
      <c r="BX299" s="669"/>
      <c r="BY299" s="669"/>
      <c r="BZ299" s="669"/>
      <c r="CA299" s="669">
        <f t="shared" si="173"/>
        <v>0</v>
      </c>
      <c r="CB299" s="669"/>
      <c r="CC299" s="669"/>
      <c r="CD299" s="669"/>
      <c r="CE299" s="669"/>
      <c r="CF299" s="669">
        <f t="shared" si="174"/>
        <v>0</v>
      </c>
      <c r="CG299" s="669"/>
      <c r="CH299" s="669"/>
      <c r="CI299" s="669"/>
      <c r="CJ299" s="669"/>
      <c r="CK299" s="669">
        <f t="shared" si="175"/>
        <v>0</v>
      </c>
      <c r="CL299" s="669"/>
      <c r="CM299" s="669"/>
      <c r="CN299" s="669"/>
      <c r="CO299" s="669"/>
      <c r="CP299" s="669">
        <f t="shared" si="176"/>
        <v>0</v>
      </c>
      <c r="CQ299" s="669">
        <f t="shared" si="177"/>
        <v>0</v>
      </c>
      <c r="CR299" s="669">
        <f t="shared" si="177"/>
        <v>0</v>
      </c>
      <c r="CS299" s="669">
        <f t="shared" si="177"/>
        <v>0</v>
      </c>
      <c r="CT299" s="669"/>
      <c r="CU299" s="669"/>
      <c r="CV299" s="669"/>
    </row>
    <row r="300" spans="2:100" s="526" customFormat="1">
      <c r="B300" s="670" t="s">
        <v>439</v>
      </c>
      <c r="AW300" s="669"/>
      <c r="AX300" s="669"/>
      <c r="AY300" s="669"/>
      <c r="AZ300" s="669"/>
      <c r="BA300" s="669"/>
      <c r="BB300" s="669">
        <v>0</v>
      </c>
      <c r="BC300" s="669"/>
      <c r="BD300" s="669"/>
      <c r="BE300" s="669"/>
      <c r="BF300" s="669"/>
      <c r="BG300" s="669">
        <v>0</v>
      </c>
      <c r="BH300" s="669"/>
      <c r="BI300" s="669"/>
      <c r="BJ300" s="669"/>
      <c r="BK300" s="669"/>
      <c r="BL300" s="669">
        <v>0</v>
      </c>
      <c r="BM300" s="669"/>
      <c r="BN300" s="669"/>
      <c r="BO300" s="669"/>
      <c r="BP300" s="669"/>
      <c r="BQ300" s="669">
        <f t="shared" si="171"/>
        <v>0</v>
      </c>
      <c r="BR300" s="669"/>
      <c r="BS300" s="669"/>
      <c r="BT300" s="669"/>
      <c r="BU300" s="669"/>
      <c r="BV300" s="669">
        <f t="shared" si="172"/>
        <v>0</v>
      </c>
      <c r="BW300" s="669"/>
      <c r="BX300" s="669"/>
      <c r="BY300" s="669"/>
      <c r="BZ300" s="669"/>
      <c r="CA300" s="669">
        <f t="shared" si="173"/>
        <v>0</v>
      </c>
      <c r="CB300" s="669"/>
      <c r="CC300" s="669"/>
      <c r="CD300" s="669"/>
      <c r="CE300" s="669"/>
      <c r="CF300" s="669">
        <f t="shared" si="174"/>
        <v>0</v>
      </c>
      <c r="CG300" s="669"/>
      <c r="CH300" s="669"/>
      <c r="CI300" s="669"/>
      <c r="CJ300" s="669"/>
      <c r="CK300" s="669">
        <f t="shared" si="175"/>
        <v>0</v>
      </c>
      <c r="CL300" s="669"/>
      <c r="CM300" s="669"/>
      <c r="CN300" s="669"/>
      <c r="CO300" s="669"/>
      <c r="CP300" s="669">
        <f t="shared" si="176"/>
        <v>0</v>
      </c>
      <c r="CQ300" s="669">
        <f t="shared" si="177"/>
        <v>0</v>
      </c>
      <c r="CR300" s="669">
        <f t="shared" si="177"/>
        <v>0</v>
      </c>
      <c r="CS300" s="669">
        <f t="shared" si="177"/>
        <v>0</v>
      </c>
      <c r="CT300" s="669"/>
      <c r="CU300" s="669"/>
      <c r="CV300" s="669"/>
    </row>
    <row r="301" spans="2:100" s="526" customFormat="1">
      <c r="B301" s="670" t="s">
        <v>440</v>
      </c>
      <c r="AW301" s="669"/>
      <c r="AX301" s="669"/>
      <c r="AY301" s="669"/>
      <c r="AZ301" s="669"/>
      <c r="BA301" s="669"/>
      <c r="BB301" s="669">
        <v>0</v>
      </c>
      <c r="BC301" s="669"/>
      <c r="BD301" s="669"/>
      <c r="BE301" s="669"/>
      <c r="BF301" s="669"/>
      <c r="BG301" s="669">
        <v>0</v>
      </c>
      <c r="BH301" s="669"/>
      <c r="BI301" s="669"/>
      <c r="BJ301" s="669"/>
      <c r="BK301" s="669"/>
      <c r="BL301" s="669">
        <v>0</v>
      </c>
      <c r="BM301" s="669"/>
      <c r="BN301" s="669"/>
      <c r="BO301" s="669"/>
      <c r="BP301" s="669"/>
      <c r="BQ301" s="669">
        <f t="shared" si="171"/>
        <v>0</v>
      </c>
      <c r="BR301" s="669"/>
      <c r="BS301" s="669"/>
      <c r="BT301" s="669"/>
      <c r="BU301" s="669"/>
      <c r="BV301" s="669">
        <f t="shared" si="172"/>
        <v>0</v>
      </c>
      <c r="BW301" s="669"/>
      <c r="BX301" s="669"/>
      <c r="BY301" s="669"/>
      <c r="BZ301" s="669"/>
      <c r="CA301" s="669">
        <f t="shared" si="173"/>
        <v>0</v>
      </c>
      <c r="CB301" s="669"/>
      <c r="CC301" s="669"/>
      <c r="CD301" s="669"/>
      <c r="CE301" s="669"/>
      <c r="CF301" s="669">
        <f t="shared" si="174"/>
        <v>0</v>
      </c>
      <c r="CG301" s="669"/>
      <c r="CH301" s="669"/>
      <c r="CI301" s="669"/>
      <c r="CJ301" s="669"/>
      <c r="CK301" s="669">
        <f t="shared" si="175"/>
        <v>0</v>
      </c>
      <c r="CL301" s="669"/>
      <c r="CM301" s="669"/>
      <c r="CN301" s="669"/>
      <c r="CO301" s="669"/>
      <c r="CP301" s="669">
        <f t="shared" si="176"/>
        <v>0</v>
      </c>
      <c r="CQ301" s="669">
        <f t="shared" si="177"/>
        <v>0</v>
      </c>
      <c r="CR301" s="669">
        <f t="shared" si="177"/>
        <v>0</v>
      </c>
      <c r="CS301" s="669">
        <f t="shared" si="177"/>
        <v>0</v>
      </c>
      <c r="CT301" s="669"/>
      <c r="CU301" s="669"/>
      <c r="CV301" s="669"/>
    </row>
    <row r="302" spans="2:100" s="526" customFormat="1">
      <c r="B302" s="670" t="s">
        <v>441</v>
      </c>
      <c r="AW302" s="669"/>
      <c r="AX302" s="669"/>
      <c r="AY302" s="669"/>
      <c r="AZ302" s="669"/>
      <c r="BA302" s="669"/>
      <c r="BB302" s="669">
        <v>0</v>
      </c>
      <c r="BC302" s="669"/>
      <c r="BD302" s="669"/>
      <c r="BE302" s="669"/>
      <c r="BF302" s="669"/>
      <c r="BG302" s="669">
        <v>0</v>
      </c>
      <c r="BH302" s="669"/>
      <c r="BI302" s="669"/>
      <c r="BJ302" s="669"/>
      <c r="BK302" s="669"/>
      <c r="BL302" s="669">
        <v>0</v>
      </c>
      <c r="BM302" s="669"/>
      <c r="BN302" s="669"/>
      <c r="BO302" s="669"/>
      <c r="BP302" s="669"/>
      <c r="BQ302" s="669">
        <f t="shared" si="171"/>
        <v>0</v>
      </c>
      <c r="BR302" s="669"/>
      <c r="BS302" s="669"/>
      <c r="BT302" s="669"/>
      <c r="BU302" s="669"/>
      <c r="BV302" s="669">
        <f t="shared" si="172"/>
        <v>0</v>
      </c>
      <c r="BW302" s="669"/>
      <c r="BX302" s="669"/>
      <c r="BY302" s="669"/>
      <c r="BZ302" s="669"/>
      <c r="CA302" s="669">
        <f t="shared" si="173"/>
        <v>0</v>
      </c>
      <c r="CB302" s="669"/>
      <c r="CC302" s="669"/>
      <c r="CD302" s="669"/>
      <c r="CE302" s="669"/>
      <c r="CF302" s="669">
        <f t="shared" si="174"/>
        <v>0</v>
      </c>
      <c r="CG302" s="669"/>
      <c r="CH302" s="669"/>
      <c r="CI302" s="669"/>
      <c r="CJ302" s="669"/>
      <c r="CK302" s="669">
        <f t="shared" si="175"/>
        <v>0</v>
      </c>
      <c r="CL302" s="669"/>
      <c r="CM302" s="669"/>
      <c r="CN302" s="669"/>
      <c r="CO302" s="669"/>
      <c r="CP302" s="669">
        <f t="shared" si="176"/>
        <v>0</v>
      </c>
      <c r="CQ302" s="669">
        <f t="shared" si="177"/>
        <v>0</v>
      </c>
      <c r="CR302" s="669">
        <f t="shared" si="177"/>
        <v>0</v>
      </c>
      <c r="CS302" s="669">
        <f t="shared" si="177"/>
        <v>0</v>
      </c>
      <c r="CT302" s="669"/>
      <c r="CU302" s="669"/>
      <c r="CV302" s="669"/>
    </row>
    <row r="303" spans="2:100" s="526" customFormat="1">
      <c r="B303" s="670" t="s">
        <v>442</v>
      </c>
      <c r="AW303" s="669"/>
      <c r="AX303" s="669"/>
      <c r="AY303" s="669"/>
      <c r="AZ303" s="669"/>
      <c r="BA303" s="669"/>
      <c r="BB303" s="669">
        <v>0</v>
      </c>
      <c r="BC303" s="669"/>
      <c r="BD303" s="669"/>
      <c r="BE303" s="669"/>
      <c r="BF303" s="669"/>
      <c r="BG303" s="669">
        <v>0</v>
      </c>
      <c r="BH303" s="669"/>
      <c r="BI303" s="669"/>
      <c r="BJ303" s="669"/>
      <c r="BK303" s="669"/>
      <c r="BL303" s="669">
        <v>0</v>
      </c>
      <c r="BM303" s="669"/>
      <c r="BN303" s="669"/>
      <c r="BO303" s="669"/>
      <c r="BP303" s="669"/>
      <c r="BQ303" s="669">
        <f t="shared" si="171"/>
        <v>0</v>
      </c>
      <c r="BR303" s="669"/>
      <c r="BS303" s="669"/>
      <c r="BT303" s="669"/>
      <c r="BU303" s="669"/>
      <c r="BV303" s="669">
        <f t="shared" si="172"/>
        <v>0</v>
      </c>
      <c r="BW303" s="669"/>
      <c r="BX303" s="669"/>
      <c r="BY303" s="669"/>
      <c r="BZ303" s="669"/>
      <c r="CA303" s="669">
        <f t="shared" si="173"/>
        <v>0</v>
      </c>
      <c r="CB303" s="669"/>
      <c r="CC303" s="669"/>
      <c r="CD303" s="669"/>
      <c r="CE303" s="669"/>
      <c r="CF303" s="669">
        <f t="shared" si="174"/>
        <v>0</v>
      </c>
      <c r="CG303" s="669"/>
      <c r="CH303" s="669"/>
      <c r="CI303" s="669"/>
      <c r="CJ303" s="669"/>
      <c r="CK303" s="669">
        <f t="shared" si="175"/>
        <v>0</v>
      </c>
      <c r="CL303" s="669"/>
      <c r="CM303" s="669"/>
      <c r="CN303" s="669"/>
      <c r="CO303" s="669"/>
      <c r="CP303" s="669">
        <f t="shared" si="176"/>
        <v>0</v>
      </c>
      <c r="CQ303" s="669">
        <f t="shared" si="177"/>
        <v>0</v>
      </c>
      <c r="CR303" s="669">
        <f t="shared" si="177"/>
        <v>0</v>
      </c>
      <c r="CS303" s="669">
        <f t="shared" si="177"/>
        <v>0</v>
      </c>
      <c r="CT303" s="669"/>
      <c r="CU303" s="669"/>
      <c r="CV303" s="669"/>
    </row>
    <row r="304" spans="2:100" s="526" customFormat="1">
      <c r="B304" s="670" t="s">
        <v>443</v>
      </c>
      <c r="AW304" s="669"/>
      <c r="AX304" s="669"/>
      <c r="AY304" s="669"/>
      <c r="AZ304" s="669"/>
      <c r="BA304" s="669"/>
      <c r="BB304" s="669">
        <v>0</v>
      </c>
      <c r="BC304" s="669"/>
      <c r="BD304" s="669"/>
      <c r="BE304" s="669"/>
      <c r="BF304" s="669"/>
      <c r="BG304" s="669">
        <v>0</v>
      </c>
      <c r="BH304" s="669"/>
      <c r="BI304" s="669"/>
      <c r="BJ304" s="669"/>
      <c r="BK304" s="669"/>
      <c r="BL304" s="669">
        <v>0</v>
      </c>
      <c r="BM304" s="669"/>
      <c r="BN304" s="669"/>
      <c r="BO304" s="669"/>
      <c r="BP304" s="669"/>
      <c r="BQ304" s="669">
        <f t="shared" si="171"/>
        <v>0</v>
      </c>
      <c r="BR304" s="669"/>
      <c r="BS304" s="669"/>
      <c r="BT304" s="669"/>
      <c r="BU304" s="669"/>
      <c r="BV304" s="669">
        <f t="shared" si="172"/>
        <v>0</v>
      </c>
      <c r="BW304" s="669"/>
      <c r="BX304" s="669"/>
      <c r="BY304" s="669"/>
      <c r="BZ304" s="669"/>
      <c r="CA304" s="669">
        <f t="shared" si="173"/>
        <v>0</v>
      </c>
      <c r="CB304" s="669"/>
      <c r="CC304" s="669"/>
      <c r="CD304" s="669"/>
      <c r="CE304" s="669"/>
      <c r="CF304" s="669">
        <f t="shared" si="174"/>
        <v>0</v>
      </c>
      <c r="CG304" s="669"/>
      <c r="CH304" s="669"/>
      <c r="CI304" s="669"/>
      <c r="CJ304" s="669"/>
      <c r="CK304" s="669">
        <f t="shared" si="175"/>
        <v>0</v>
      </c>
      <c r="CL304" s="669"/>
      <c r="CM304" s="669"/>
      <c r="CN304" s="669"/>
      <c r="CO304" s="669"/>
      <c r="CP304" s="669">
        <f t="shared" si="176"/>
        <v>0</v>
      </c>
      <c r="CQ304" s="669">
        <f t="shared" si="177"/>
        <v>0</v>
      </c>
      <c r="CR304" s="669">
        <f t="shared" si="177"/>
        <v>0</v>
      </c>
      <c r="CS304" s="669">
        <f t="shared" si="177"/>
        <v>0</v>
      </c>
      <c r="CT304" s="669"/>
      <c r="CU304" s="669"/>
      <c r="CV304" s="669"/>
    </row>
    <row r="305" spans="2:100" s="526" customFormat="1">
      <c r="B305" s="671" t="s">
        <v>189</v>
      </c>
      <c r="AW305" s="669"/>
      <c r="AX305" s="669"/>
      <c r="AY305" s="669"/>
      <c r="AZ305" s="669"/>
      <c r="BA305" s="669"/>
      <c r="BB305" s="669">
        <v>7.0000000000000007E-2</v>
      </c>
      <c r="BC305" s="669"/>
      <c r="BD305" s="669"/>
      <c r="BE305" s="669"/>
      <c r="BF305" s="669"/>
      <c r="BG305" s="669">
        <v>0.06</v>
      </c>
      <c r="BH305" s="669"/>
      <c r="BI305" s="669"/>
      <c r="BJ305" s="669"/>
      <c r="BK305" s="669"/>
      <c r="BL305" s="669">
        <v>0.08</v>
      </c>
      <c r="BM305" s="669"/>
      <c r="BN305" s="669"/>
      <c r="BO305" s="669"/>
      <c r="BP305" s="669"/>
      <c r="BQ305" s="669">
        <f>+BQ176</f>
        <v>8.0163335482484416E-2</v>
      </c>
      <c r="BR305" s="669"/>
      <c r="BS305" s="669"/>
      <c r="BT305" s="669"/>
      <c r="BU305" s="669"/>
      <c r="BV305" s="669">
        <f>+BV176</f>
        <v>3.7469440702489643E-2</v>
      </c>
      <c r="BW305" s="669"/>
      <c r="BX305" s="669"/>
      <c r="BY305" s="669"/>
      <c r="BZ305" s="669"/>
      <c r="CA305" s="669">
        <f>+CA176</f>
        <v>3.081133127248771E-2</v>
      </c>
      <c r="CB305" s="669"/>
      <c r="CC305" s="669"/>
      <c r="CD305" s="669"/>
      <c r="CE305" s="669"/>
      <c r="CF305" s="669">
        <f>+CF176</f>
        <v>3.617925174729341E-2</v>
      </c>
      <c r="CG305" s="669"/>
      <c r="CH305" s="669"/>
      <c r="CI305" s="669"/>
      <c r="CJ305" s="669"/>
      <c r="CK305" s="669">
        <f>+CK176</f>
        <v>3.2941376236362861E-2</v>
      </c>
      <c r="CL305" s="669"/>
      <c r="CM305" s="669"/>
      <c r="CN305" s="669"/>
      <c r="CO305" s="669"/>
      <c r="CP305" s="669">
        <f>+CP176</f>
        <v>3.2941376236362861E-2</v>
      </c>
      <c r="CQ305" s="669">
        <f t="shared" si="177"/>
        <v>3.2941376236362861E-2</v>
      </c>
      <c r="CR305" s="669">
        <f t="shared" si="177"/>
        <v>3.2941376236362861E-2</v>
      </c>
      <c r="CS305" s="669">
        <f t="shared" si="177"/>
        <v>3.2941376236362861E-2</v>
      </c>
      <c r="CT305" s="669"/>
      <c r="CU305" s="669"/>
      <c r="CV305" s="669"/>
    </row>
    <row r="306" spans="2:100" s="611" customFormat="1">
      <c r="B306" s="667"/>
    </row>
    <row r="307" spans="2:100" s="611" customFormat="1">
      <c r="B307" s="672" t="s">
        <v>449</v>
      </c>
    </row>
    <row r="308" spans="2:100" s="611" customFormat="1">
      <c r="B308" s="673" t="s">
        <v>450</v>
      </c>
      <c r="BQ308" s="674">
        <v>0.66</v>
      </c>
      <c r="BV308" s="674">
        <v>0.66</v>
      </c>
      <c r="CA308" s="674">
        <f>BV308</f>
        <v>0.66</v>
      </c>
      <c r="CF308" s="674">
        <f>CA308</f>
        <v>0.66</v>
      </c>
      <c r="CK308" s="674">
        <f>CF308</f>
        <v>0.66</v>
      </c>
      <c r="CP308" s="674">
        <f>CK308</f>
        <v>0.66</v>
      </c>
      <c r="CQ308" s="674">
        <f>CP308</f>
        <v>0.66</v>
      </c>
      <c r="CR308" s="674">
        <f>CQ308</f>
        <v>0.66</v>
      </c>
      <c r="CS308" s="674">
        <f>CR308</f>
        <v>0.66</v>
      </c>
    </row>
    <row r="309" spans="2:100" s="611" customFormat="1">
      <c r="B309" s="673" t="s">
        <v>451</v>
      </c>
      <c r="BQ309" s="674">
        <f>1-BQ308</f>
        <v>0.33999999999999997</v>
      </c>
      <c r="BV309" s="674">
        <f>1-BV308</f>
        <v>0.33999999999999997</v>
      </c>
      <c r="CA309" s="674">
        <f>1-CA308</f>
        <v>0.33999999999999997</v>
      </c>
      <c r="CF309" s="674">
        <f>1-CF308</f>
        <v>0.33999999999999997</v>
      </c>
      <c r="CK309" s="674">
        <f>1-CK308</f>
        <v>0.33999999999999997</v>
      </c>
      <c r="CP309" s="674">
        <f>1-CP308</f>
        <v>0.33999999999999997</v>
      </c>
      <c r="CQ309" s="674">
        <f>1-CQ308</f>
        <v>0.33999999999999997</v>
      </c>
      <c r="CR309" s="674">
        <f>1-CR308</f>
        <v>0.33999999999999997</v>
      </c>
      <c r="CS309" s="674">
        <f>1-CS308</f>
        <v>0.33999999999999997</v>
      </c>
    </row>
    <row r="310" spans="2:100" s="611" customFormat="1">
      <c r="B310" s="673" t="s">
        <v>452</v>
      </c>
      <c r="BQ310" s="674">
        <v>0.66</v>
      </c>
      <c r="BV310" s="674">
        <v>0.66</v>
      </c>
      <c r="CA310" s="674">
        <f>BV310</f>
        <v>0.66</v>
      </c>
      <c r="CF310" s="674">
        <f>CA310</f>
        <v>0.66</v>
      </c>
      <c r="CK310" s="674">
        <f>CF310</f>
        <v>0.66</v>
      </c>
      <c r="CP310" s="674">
        <f>CK310</f>
        <v>0.66</v>
      </c>
      <c r="CQ310" s="674">
        <f>CP310</f>
        <v>0.66</v>
      </c>
      <c r="CR310" s="674">
        <f>CQ310</f>
        <v>0.66</v>
      </c>
      <c r="CS310" s="674">
        <f>CR310</f>
        <v>0.66</v>
      </c>
    </row>
    <row r="311" spans="2:100" s="611" customFormat="1">
      <c r="B311" s="673" t="s">
        <v>453</v>
      </c>
      <c r="BQ311" s="674">
        <f>1-BQ310</f>
        <v>0.33999999999999997</v>
      </c>
      <c r="BV311" s="674">
        <f>1-BV310</f>
        <v>0.33999999999999997</v>
      </c>
      <c r="CA311" s="674">
        <f>1-CA310</f>
        <v>0.33999999999999997</v>
      </c>
      <c r="CF311" s="674">
        <f>1-CF310</f>
        <v>0.33999999999999997</v>
      </c>
      <c r="CK311" s="674">
        <f>1-CK310</f>
        <v>0.33999999999999997</v>
      </c>
      <c r="CP311" s="674">
        <f>1-CP310</f>
        <v>0.33999999999999997</v>
      </c>
      <c r="CQ311" s="674">
        <f>1-CQ310</f>
        <v>0.33999999999999997</v>
      </c>
      <c r="CR311" s="674">
        <f>1-CR310</f>
        <v>0.33999999999999997</v>
      </c>
      <c r="CS311" s="674">
        <f>1-CS310</f>
        <v>0.33999999999999997</v>
      </c>
    </row>
    <row r="312" spans="2:100" s="611" customFormat="1">
      <c r="B312" s="673"/>
    </row>
    <row r="313" spans="2:100" s="611" customFormat="1">
      <c r="B313" s="672" t="s">
        <v>454</v>
      </c>
    </row>
    <row r="314" spans="2:100" s="611" customFormat="1">
      <c r="B314" s="675" t="s">
        <v>455</v>
      </c>
      <c r="BQ314" s="674">
        <f>280/576.5</f>
        <v>0.48568950563746749</v>
      </c>
      <c r="BT314" s="674">
        <v>0.54</v>
      </c>
      <c r="BU314" s="674">
        <f>(365+22.6+3.8+0.5)/688.7</f>
        <v>0.56904312472774798</v>
      </c>
      <c r="BV314" s="674">
        <f>BU314</f>
        <v>0.56904312472774798</v>
      </c>
      <c r="CA314" s="674">
        <f>BV314</f>
        <v>0.56904312472774798</v>
      </c>
      <c r="CF314" s="674">
        <f>CA314</f>
        <v>0.56904312472774798</v>
      </c>
      <c r="CK314" s="674">
        <f>CF314</f>
        <v>0.56904312472774798</v>
      </c>
      <c r="CP314" s="674">
        <f>CK314</f>
        <v>0.56904312472774798</v>
      </c>
      <c r="CQ314" s="674">
        <f t="shared" ref="CQ314:CS315" si="178">CP314</f>
        <v>0.56904312472774798</v>
      </c>
      <c r="CR314" s="674">
        <f t="shared" si="178"/>
        <v>0.56904312472774798</v>
      </c>
      <c r="CS314" s="674">
        <f t="shared" si="178"/>
        <v>0.56904312472774798</v>
      </c>
    </row>
    <row r="315" spans="2:100" s="611" customFormat="1">
      <c r="B315" s="675" t="s">
        <v>456</v>
      </c>
      <c r="BQ315" s="674">
        <f>150/280</f>
        <v>0.5357142857142857</v>
      </c>
      <c r="BT315" s="674">
        <v>0.28999999999999998</v>
      </c>
      <c r="BU315" s="674">
        <f>(100+22.6+3.8)/(365+22.6+3.8+0.5)</f>
        <v>0.32253125797397292</v>
      </c>
      <c r="BV315" s="674">
        <f>BU315</f>
        <v>0.32253125797397292</v>
      </c>
      <c r="CA315" s="674">
        <f>+BV315</f>
        <v>0.32253125797397292</v>
      </c>
      <c r="CF315" s="674">
        <f>+CA315</f>
        <v>0.32253125797397292</v>
      </c>
      <c r="CK315" s="674">
        <f>CF315</f>
        <v>0.32253125797397292</v>
      </c>
      <c r="CP315" s="674">
        <f>CK315</f>
        <v>0.32253125797397292</v>
      </c>
      <c r="CQ315" s="674">
        <f t="shared" si="178"/>
        <v>0.32253125797397292</v>
      </c>
      <c r="CR315" s="674">
        <f t="shared" si="178"/>
        <v>0.32253125797397292</v>
      </c>
      <c r="CS315" s="674">
        <f t="shared" si="178"/>
        <v>0.32253125797397292</v>
      </c>
    </row>
    <row r="316" spans="2:100" s="611" customFormat="1">
      <c r="B316" s="667"/>
    </row>
    <row r="317" spans="2:100" s="611" customFormat="1">
      <c r="B317" s="667"/>
    </row>
    <row r="318" spans="2:100" s="611" customFormat="1">
      <c r="B318" s="665" t="s">
        <v>320</v>
      </c>
    </row>
    <row r="319" spans="2:100" s="611" customFormat="1">
      <c r="B319" s="667" t="s">
        <v>324</v>
      </c>
      <c r="BB319" s="666">
        <v>0</v>
      </c>
      <c r="BG319" s="666">
        <v>0</v>
      </c>
      <c r="BL319" s="666">
        <v>0</v>
      </c>
      <c r="BQ319" s="666">
        <v>0</v>
      </c>
      <c r="BV319" s="666">
        <v>0</v>
      </c>
      <c r="CA319" s="666">
        <v>0</v>
      </c>
      <c r="CF319" s="666">
        <v>0</v>
      </c>
      <c r="CK319" s="666">
        <v>0</v>
      </c>
      <c r="CP319" s="666">
        <v>0</v>
      </c>
      <c r="CQ319" s="666">
        <v>0</v>
      </c>
      <c r="CR319" s="666">
        <v>0</v>
      </c>
      <c r="CS319" s="666">
        <v>0</v>
      </c>
    </row>
    <row r="320" spans="2:100" s="611" customFormat="1">
      <c r="B320" s="667" t="s">
        <v>367</v>
      </c>
      <c r="BB320" s="666">
        <v>1</v>
      </c>
      <c r="BG320" s="666">
        <v>1</v>
      </c>
      <c r="BL320" s="666">
        <v>1</v>
      </c>
      <c r="BQ320" s="666">
        <v>1</v>
      </c>
      <c r="BV320" s="666">
        <v>1</v>
      </c>
      <c r="CA320" s="666">
        <v>1</v>
      </c>
      <c r="CF320" s="666">
        <v>1</v>
      </c>
      <c r="CK320" s="666">
        <v>1</v>
      </c>
      <c r="CP320" s="666">
        <v>1</v>
      </c>
      <c r="CQ320" s="666">
        <v>1</v>
      </c>
      <c r="CR320" s="666">
        <v>1</v>
      </c>
      <c r="CS320" s="666">
        <v>1</v>
      </c>
    </row>
    <row r="321" spans="2:97" s="611" customFormat="1">
      <c r="B321" s="667"/>
      <c r="BG321" s="666"/>
    </row>
    <row r="322" spans="2:97" s="611" customFormat="1">
      <c r="B322" s="665" t="s">
        <v>321</v>
      </c>
      <c r="BG322" s="666"/>
    </row>
    <row r="323" spans="2:97" s="611" customFormat="1">
      <c r="B323" s="667" t="s">
        <v>325</v>
      </c>
      <c r="BB323" s="666">
        <v>0</v>
      </c>
      <c r="BG323" s="666">
        <v>0</v>
      </c>
      <c r="BL323" s="666">
        <v>0</v>
      </c>
      <c r="BQ323" s="666">
        <v>0</v>
      </c>
      <c r="BV323" s="666">
        <v>0</v>
      </c>
      <c r="CA323" s="666">
        <v>0</v>
      </c>
      <c r="CF323" s="666">
        <v>0</v>
      </c>
      <c r="CK323" s="666">
        <v>0</v>
      </c>
      <c r="CP323" s="666">
        <v>0</v>
      </c>
      <c r="CQ323" s="666">
        <v>0</v>
      </c>
      <c r="CR323" s="666">
        <v>0</v>
      </c>
      <c r="CS323" s="666">
        <v>0</v>
      </c>
    </row>
    <row r="324" spans="2:97" s="611" customFormat="1">
      <c r="B324" s="667" t="s">
        <v>346</v>
      </c>
      <c r="BB324" s="666">
        <v>0</v>
      </c>
      <c r="BG324" s="666">
        <v>0</v>
      </c>
      <c r="BL324" s="666">
        <v>0</v>
      </c>
      <c r="BQ324" s="666">
        <v>0</v>
      </c>
      <c r="BV324" s="666">
        <v>0</v>
      </c>
      <c r="CA324" s="666">
        <v>0</v>
      </c>
      <c r="CF324" s="666">
        <v>0</v>
      </c>
      <c r="CK324" s="666">
        <v>0</v>
      </c>
      <c r="CP324" s="666">
        <v>0</v>
      </c>
      <c r="CQ324" s="666">
        <v>0</v>
      </c>
      <c r="CR324" s="666">
        <v>0</v>
      </c>
      <c r="CS324" s="666">
        <v>0</v>
      </c>
    </row>
    <row r="325" spans="2:97" s="611" customFormat="1">
      <c r="B325" s="667" t="s">
        <v>347</v>
      </c>
      <c r="BG325" s="666"/>
    </row>
    <row r="326" spans="2:97" s="611" customFormat="1">
      <c r="B326" s="667" t="s">
        <v>348</v>
      </c>
      <c r="BG326" s="666"/>
    </row>
    <row r="327" spans="2:97" s="611" customFormat="1">
      <c r="B327" s="667" t="s">
        <v>349</v>
      </c>
      <c r="BG327" s="666"/>
    </row>
    <row r="328" spans="2:97" s="611" customFormat="1">
      <c r="B328" s="667" t="s">
        <v>350</v>
      </c>
      <c r="BG328" s="666"/>
    </row>
    <row r="329" spans="2:97" s="611" customFormat="1">
      <c r="B329" s="667" t="s">
        <v>351</v>
      </c>
      <c r="BG329" s="666"/>
    </row>
    <row r="330" spans="2:97" s="611" customFormat="1">
      <c r="B330" s="667" t="s">
        <v>352</v>
      </c>
      <c r="BG330" s="666"/>
    </row>
    <row r="331" spans="2:97" s="611" customFormat="1">
      <c r="B331" s="667" t="s">
        <v>353</v>
      </c>
      <c r="BB331" s="666">
        <v>0.2</v>
      </c>
      <c r="BG331" s="666">
        <v>0.2</v>
      </c>
      <c r="BL331" s="666">
        <v>0.2</v>
      </c>
      <c r="BQ331" s="666">
        <v>0.2</v>
      </c>
      <c r="BV331" s="666">
        <v>0.2</v>
      </c>
      <c r="CA331" s="666">
        <v>0.2</v>
      </c>
      <c r="CF331" s="666">
        <v>0.2</v>
      </c>
      <c r="CK331" s="666">
        <v>0.2</v>
      </c>
      <c r="CP331" s="666">
        <v>0.2</v>
      </c>
      <c r="CQ331" s="666">
        <v>0.2</v>
      </c>
      <c r="CR331" s="666">
        <v>0.2</v>
      </c>
      <c r="CS331" s="666">
        <v>0.2</v>
      </c>
    </row>
    <row r="332" spans="2:97" s="611" customFormat="1">
      <c r="B332" s="667" t="s">
        <v>354</v>
      </c>
      <c r="BB332" s="666">
        <v>0.02</v>
      </c>
      <c r="BG332" s="666">
        <v>0.02</v>
      </c>
      <c r="BL332" s="666">
        <v>0.02</v>
      </c>
      <c r="BQ332" s="666">
        <v>0.02</v>
      </c>
      <c r="BV332" s="666">
        <v>0.02</v>
      </c>
      <c r="CA332" s="666">
        <v>0.02</v>
      </c>
      <c r="CF332" s="666">
        <v>0.02</v>
      </c>
      <c r="CK332" s="666">
        <v>0.02</v>
      </c>
      <c r="CP332" s="666">
        <v>0.02</v>
      </c>
      <c r="CQ332" s="666">
        <v>0.02</v>
      </c>
      <c r="CR332" s="666">
        <v>0.02</v>
      </c>
      <c r="CS332" s="666">
        <v>0.02</v>
      </c>
    </row>
    <row r="333" spans="2:97" s="611" customFormat="1">
      <c r="B333" s="667" t="s">
        <v>355</v>
      </c>
    </row>
    <row r="334" spans="2:97" s="611" customFormat="1">
      <c r="B334" s="667" t="s">
        <v>356</v>
      </c>
      <c r="BB334" s="666">
        <v>0.05</v>
      </c>
      <c r="BG334" s="666">
        <v>0.05</v>
      </c>
      <c r="BL334" s="666">
        <v>0.05</v>
      </c>
      <c r="BQ334" s="666">
        <v>0.05</v>
      </c>
      <c r="BV334" s="666">
        <v>0.05</v>
      </c>
      <c r="CA334" s="666">
        <v>0.05</v>
      </c>
      <c r="CF334" s="666">
        <v>0.05</v>
      </c>
      <c r="CK334" s="666">
        <v>0.05</v>
      </c>
      <c r="CP334" s="666">
        <v>0.05</v>
      </c>
      <c r="CQ334" s="666">
        <v>0.05</v>
      </c>
      <c r="CR334" s="666">
        <v>0.05</v>
      </c>
      <c r="CS334" s="666">
        <v>0.05</v>
      </c>
    </row>
    <row r="335" spans="2:97" s="611" customFormat="1">
      <c r="B335" s="667" t="s">
        <v>357</v>
      </c>
    </row>
    <row r="336" spans="2:97" s="611" customFormat="1">
      <c r="B336" s="667" t="s">
        <v>358</v>
      </c>
    </row>
    <row r="337" spans="2:97" s="611" customFormat="1">
      <c r="B337" s="667" t="s">
        <v>359</v>
      </c>
    </row>
    <row r="338" spans="2:97" s="611" customFormat="1">
      <c r="B338" s="667" t="s">
        <v>360</v>
      </c>
      <c r="BB338" s="666">
        <v>0.3</v>
      </c>
      <c r="BG338" s="666">
        <v>0.3</v>
      </c>
      <c r="BL338" s="666">
        <v>0.3</v>
      </c>
      <c r="BQ338" s="666">
        <v>0.3</v>
      </c>
      <c r="BV338" s="666">
        <v>0.3</v>
      </c>
      <c r="CA338" s="666">
        <v>0.3</v>
      </c>
      <c r="CF338" s="666">
        <v>0.3</v>
      </c>
      <c r="CK338" s="666">
        <v>0.3</v>
      </c>
      <c r="CP338" s="666">
        <v>0.3</v>
      </c>
      <c r="CQ338" s="666">
        <v>0.3</v>
      </c>
      <c r="CR338" s="666">
        <v>0.3</v>
      </c>
      <c r="CS338" s="666">
        <v>0.3</v>
      </c>
    </row>
    <row r="339" spans="2:97" s="611" customFormat="1">
      <c r="B339" s="667" t="s">
        <v>368</v>
      </c>
      <c r="BB339" s="666">
        <f>1-SUM(BB323:BB338)</f>
        <v>0.42999999999999994</v>
      </c>
      <c r="BG339" s="666">
        <f>1-SUM(BG323:BG338)</f>
        <v>0.42999999999999994</v>
      </c>
      <c r="BL339" s="666">
        <f>1-SUM(BL323:BL338)</f>
        <v>0.42999999999999994</v>
      </c>
      <c r="BQ339" s="666">
        <f>1-SUM(BQ323:BQ338)</f>
        <v>0.42999999999999994</v>
      </c>
      <c r="BV339" s="666">
        <f>1-SUM(BV323:BV338)</f>
        <v>0.42999999999999994</v>
      </c>
      <c r="CA339" s="666">
        <f>1-SUM(CA323:CA338)</f>
        <v>0.42999999999999994</v>
      </c>
      <c r="CF339" s="666">
        <f>1-SUM(CF323:CF338)</f>
        <v>0.42999999999999994</v>
      </c>
      <c r="CK339" s="666">
        <f>1-SUM(CK323:CK338)</f>
        <v>0.42999999999999994</v>
      </c>
      <c r="CP339" s="666">
        <f>1-SUM(CP323:CP338)</f>
        <v>0.42999999999999994</v>
      </c>
      <c r="CQ339" s="666">
        <f>1-SUM(CQ323:CQ338)</f>
        <v>0.42999999999999994</v>
      </c>
      <c r="CR339" s="666">
        <f>1-SUM(CR323:CR338)</f>
        <v>0.42999999999999994</v>
      </c>
      <c r="CS339" s="666">
        <f>1-SUM(CS323:CS338)</f>
        <v>0.42999999999999994</v>
      </c>
    </row>
    <row r="340" spans="2:97" s="611" customFormat="1">
      <c r="B340" s="667"/>
    </row>
    <row r="341" spans="2:97" s="611" customFormat="1">
      <c r="B341" s="665" t="s">
        <v>322</v>
      </c>
    </row>
    <row r="342" spans="2:97" s="611" customFormat="1">
      <c r="B342" s="667" t="s">
        <v>326</v>
      </c>
      <c r="BB342" s="666">
        <v>0.02</v>
      </c>
      <c r="BG342" s="666">
        <v>0.02</v>
      </c>
      <c r="BL342" s="666">
        <v>0.02</v>
      </c>
      <c r="BQ342" s="666">
        <v>0.02</v>
      </c>
      <c r="BV342" s="666">
        <v>0.02</v>
      </c>
      <c r="CA342" s="666">
        <v>0.02</v>
      </c>
      <c r="CF342" s="666">
        <v>0.02</v>
      </c>
      <c r="CK342" s="666">
        <v>0.02</v>
      </c>
      <c r="CP342" s="666">
        <v>0.02</v>
      </c>
      <c r="CQ342" s="666">
        <v>0.02</v>
      </c>
      <c r="CR342" s="666">
        <v>0.02</v>
      </c>
      <c r="CS342" s="666">
        <v>0.02</v>
      </c>
    </row>
    <row r="343" spans="2:97" s="611" customFormat="1">
      <c r="B343" s="667" t="s">
        <v>332</v>
      </c>
      <c r="BB343" s="666">
        <v>0.21</v>
      </c>
      <c r="BG343" s="666">
        <v>0.21</v>
      </c>
      <c r="BL343" s="666">
        <v>0.21</v>
      </c>
      <c r="BQ343" s="666">
        <v>0.21</v>
      </c>
      <c r="BV343" s="666">
        <v>0.21</v>
      </c>
      <c r="CA343" s="666">
        <v>0.21</v>
      </c>
      <c r="CF343" s="666">
        <v>0.21</v>
      </c>
      <c r="CK343" s="666">
        <v>0.21</v>
      </c>
      <c r="CP343" s="666">
        <v>0.21</v>
      </c>
      <c r="CQ343" s="666">
        <v>0.21</v>
      </c>
      <c r="CR343" s="666">
        <v>0.21</v>
      </c>
      <c r="CS343" s="666">
        <v>0.21</v>
      </c>
    </row>
    <row r="344" spans="2:97" s="611" customFormat="1">
      <c r="B344" s="667" t="s">
        <v>334</v>
      </c>
    </row>
    <row r="345" spans="2:97" s="611" customFormat="1">
      <c r="B345" s="667" t="s">
        <v>335</v>
      </c>
      <c r="BB345" s="666">
        <v>0.77</v>
      </c>
      <c r="BG345" s="666">
        <v>0.77</v>
      </c>
      <c r="BL345" s="666">
        <v>0.77</v>
      </c>
      <c r="BQ345" s="666">
        <v>0.77</v>
      </c>
      <c r="BV345" s="666">
        <v>0.77</v>
      </c>
      <c r="CA345" s="666">
        <v>0.77</v>
      </c>
      <c r="CF345" s="666">
        <v>0.77</v>
      </c>
      <c r="CK345" s="666">
        <v>0.77</v>
      </c>
      <c r="CP345" s="666">
        <v>0.77</v>
      </c>
      <c r="CQ345" s="666">
        <v>0.77</v>
      </c>
      <c r="CR345" s="666">
        <v>0.77</v>
      </c>
      <c r="CS345" s="666">
        <v>0.77</v>
      </c>
    </row>
    <row r="346" spans="2:97" s="611" customFormat="1">
      <c r="B346" s="667" t="s">
        <v>336</v>
      </c>
      <c r="BB346" s="676"/>
      <c r="BG346" s="676"/>
      <c r="BL346" s="676"/>
      <c r="BQ346" s="676"/>
      <c r="BV346" s="676"/>
      <c r="CA346" s="676"/>
      <c r="CF346" s="676"/>
      <c r="CK346" s="676"/>
      <c r="CP346" s="676"/>
      <c r="CQ346" s="676"/>
      <c r="CR346" s="676"/>
      <c r="CS346" s="676"/>
    </row>
    <row r="347" spans="2:97" s="611" customFormat="1">
      <c r="B347" s="667" t="s">
        <v>337</v>
      </c>
      <c r="BB347" s="676"/>
      <c r="BG347" s="676"/>
      <c r="BL347" s="676"/>
      <c r="BQ347" s="676"/>
      <c r="BV347" s="676"/>
      <c r="CA347" s="676"/>
      <c r="CF347" s="676"/>
      <c r="CK347" s="676"/>
      <c r="CP347" s="676"/>
      <c r="CQ347" s="676"/>
      <c r="CR347" s="676"/>
      <c r="CS347" s="676"/>
    </row>
    <row r="348" spans="2:97" s="611" customFormat="1">
      <c r="B348" s="667" t="s">
        <v>338</v>
      </c>
      <c r="BB348" s="676"/>
      <c r="BG348" s="676"/>
      <c r="BL348" s="676"/>
      <c r="BQ348" s="676"/>
      <c r="BV348" s="676"/>
      <c r="CA348" s="676"/>
      <c r="CF348" s="676"/>
      <c r="CK348" s="676"/>
      <c r="CP348" s="676"/>
      <c r="CQ348" s="676"/>
      <c r="CR348" s="676"/>
      <c r="CS348" s="676"/>
    </row>
    <row r="349" spans="2:97" s="611" customFormat="1">
      <c r="B349" s="667" t="s">
        <v>339</v>
      </c>
      <c r="BB349" s="676"/>
      <c r="BG349" s="676"/>
      <c r="BL349" s="676"/>
      <c r="BQ349" s="676"/>
      <c r="BV349" s="676"/>
      <c r="CA349" s="676"/>
      <c r="CF349" s="676"/>
      <c r="CK349" s="676"/>
      <c r="CP349" s="676"/>
      <c r="CQ349" s="676"/>
      <c r="CR349" s="676"/>
      <c r="CS349" s="676"/>
    </row>
    <row r="350" spans="2:97" s="611" customFormat="1">
      <c r="B350" s="667" t="s">
        <v>340</v>
      </c>
      <c r="BB350" s="676"/>
      <c r="BG350" s="676"/>
      <c r="BL350" s="676"/>
      <c r="BQ350" s="676"/>
      <c r="BV350" s="676"/>
      <c r="CA350" s="676"/>
      <c r="CF350" s="676"/>
      <c r="CK350" s="676"/>
      <c r="CP350" s="676"/>
      <c r="CQ350" s="676"/>
      <c r="CR350" s="676"/>
      <c r="CS350" s="676"/>
    </row>
    <row r="351" spans="2:97" s="611" customFormat="1">
      <c r="B351" s="667" t="s">
        <v>341</v>
      </c>
      <c r="BB351" s="676"/>
      <c r="BG351" s="676"/>
      <c r="BL351" s="676"/>
      <c r="BQ351" s="676"/>
      <c r="BV351" s="676"/>
      <c r="CA351" s="676"/>
      <c r="CF351" s="676"/>
      <c r="CK351" s="676"/>
      <c r="CP351" s="676"/>
      <c r="CQ351" s="676"/>
      <c r="CR351" s="676"/>
      <c r="CS351" s="676"/>
    </row>
    <row r="352" spans="2:97" s="611" customFormat="1">
      <c r="B352" s="667" t="s">
        <v>342</v>
      </c>
      <c r="BB352" s="676"/>
      <c r="BG352" s="676"/>
      <c r="BL352" s="676"/>
      <c r="BQ352" s="676"/>
      <c r="BV352" s="676"/>
      <c r="CA352" s="676"/>
      <c r="CF352" s="676"/>
      <c r="CK352" s="676"/>
      <c r="CP352" s="676"/>
      <c r="CQ352" s="676"/>
      <c r="CR352" s="676"/>
      <c r="CS352" s="676"/>
    </row>
    <row r="353" spans="2:97" s="611" customFormat="1">
      <c r="B353" s="667" t="s">
        <v>343</v>
      </c>
      <c r="BB353" s="676"/>
      <c r="BG353" s="676"/>
      <c r="BL353" s="676"/>
      <c r="BQ353" s="676"/>
      <c r="BV353" s="676"/>
      <c r="CA353" s="676"/>
      <c r="CF353" s="676"/>
      <c r="CK353" s="676"/>
      <c r="CP353" s="676"/>
      <c r="CQ353" s="676"/>
      <c r="CR353" s="676"/>
      <c r="CS353" s="676"/>
    </row>
    <row r="354" spans="2:97" s="611" customFormat="1">
      <c r="B354" s="667" t="s">
        <v>344</v>
      </c>
      <c r="BB354" s="676"/>
      <c r="BG354" s="676"/>
      <c r="BL354" s="676"/>
      <c r="BQ354" s="676"/>
      <c r="BV354" s="676"/>
      <c r="CA354" s="676"/>
      <c r="CF354" s="676"/>
      <c r="CK354" s="676"/>
      <c r="CP354" s="676"/>
      <c r="CQ354" s="676"/>
      <c r="CR354" s="676"/>
      <c r="CS354" s="676"/>
    </row>
    <row r="355" spans="2:97" s="611" customFormat="1">
      <c r="B355" s="667" t="s">
        <v>345</v>
      </c>
      <c r="BB355" s="676"/>
      <c r="BG355" s="676"/>
      <c r="BL355" s="676"/>
      <c r="BQ355" s="676"/>
      <c r="BV355" s="676"/>
      <c r="CA355" s="676"/>
      <c r="CF355" s="676"/>
      <c r="CK355" s="676"/>
      <c r="CP355" s="676"/>
      <c r="CQ355" s="676"/>
      <c r="CR355" s="676"/>
      <c r="CS355" s="676"/>
    </row>
    <row r="356" spans="2:97" s="611" customFormat="1">
      <c r="B356" s="498" t="s">
        <v>366</v>
      </c>
      <c r="BB356" s="666">
        <f>1-SUM(BB342:BB355)</f>
        <v>0</v>
      </c>
      <c r="BG356" s="666">
        <f>1-SUM(BG342:BG355)</f>
        <v>0</v>
      </c>
      <c r="BL356" s="666">
        <f>1-SUM(BL342:BL355)</f>
        <v>0</v>
      </c>
      <c r="BQ356" s="666">
        <f>1-SUM(BQ342:BQ355)</f>
        <v>0</v>
      </c>
      <c r="BV356" s="666">
        <f>1-SUM(BV342:BV355)</f>
        <v>0</v>
      </c>
      <c r="CA356" s="666">
        <f>1-SUM(CA342:CA355)</f>
        <v>0</v>
      </c>
      <c r="CF356" s="666">
        <f>1-SUM(CF342:CF355)</f>
        <v>0</v>
      </c>
      <c r="CK356" s="666">
        <f>1-SUM(CK342:CK355)</f>
        <v>0</v>
      </c>
      <c r="CP356" s="666">
        <f>1-SUM(CP342:CP355)</f>
        <v>0</v>
      </c>
      <c r="CQ356" s="666">
        <f>1-SUM(CQ342:CQ355)</f>
        <v>0</v>
      </c>
      <c r="CR356" s="666">
        <f>1-SUM(CR342:CR355)</f>
        <v>0</v>
      </c>
      <c r="CS356" s="666">
        <f>1-SUM(CS342:CS355)</f>
        <v>0</v>
      </c>
    </row>
    <row r="357" spans="2:97" ht="6" customHeight="1">
      <c r="BB357" s="677"/>
      <c r="BG357" s="677"/>
    </row>
    <row r="359" spans="2:97">
      <c r="AJ359" s="612"/>
    </row>
  </sheetData>
  <pageMargins left="0.8" right="0.3" top="0.7" bottom="0.7" header="0.5" footer="0.5"/>
  <pageSetup scale="37" fitToHeight="2" orientation="portrait" r:id="rId1"/>
  <headerFooter alignWithMargins="0"/>
  <rowBreaks count="1" manualBreakCount="1">
    <brk id="125" min="1" max="70" man="1"/>
  </rowBreaks>
  <customProperties>
    <customPr name="Qube.Worksheet.Visibility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u b m i s s i o n S h e e t T e m p l a t e W r a p p e r   x m l n s : x s d = " h t t p : / / w w w . w 3 . o r g / 2 0 0 1 / X M L S c h e m a "   x m l n s : x s i = " h t t p : / / w w w . w 3 . o r g / 2 0 0 1 / X M L S c h e m a - i n s t a n c e "   S h e e t I d = " 4 9 b d 1 1 1 2 - 3 5 9 c - 4 4 9 8 - a 9 c 9 - a a b d 8 8 c c b d 6 3 "   x m l n s = " E x c h a n g e - S u b m i s s i o n S h e e t W r a p p e r " >  
     < T e m p l a t e H a s h > 2 6 2 4 5 6 1 1 6 < / T e m p l a t e H a s h >  
     < T e m p l a t e P e r i o d s >  
         < P e r i o d W r a p p e r >  
             < M i l e s t o n e > A C T < / M i l e s t o n e >  
             < E n d D a t e > 3 1 D e c 0 2 < / E n d D a t e >  
             < P e r i o d N u m b e r > 0 < / P e r i o d N u m b e r >  
             < P e r i o d T y p e > A < / P e r i o d T y p e >  
             < Y e a r > 2 0 0 2 < / Y e a r >  
         < / P e r i o d W r a p p e r >  
         < P e r i o d W r a p p e r >  
             < M i l e s t o n e > A C T < / M i l e s t o n e >  
             < E n d D a t e > 3 1 D e c 9 9 < / E n d D a t e >  
             < P e r i o d N u m b e r > 0 < / P e r i o d N u m b e r >  
             < P e r i o d T y p e > A < / P e r i o d T y p e >  
             < Y e a r > 1 9 9 9 < / Y e a r >  
         < / P e r i o d W r a p p e r >  
         < P e r i o d W r a p p e r >  
             < M i l e s t o n e > A C T < / M i l e s t o n e >  
             < E n d D a t e > 3 1 D e c 1 6 < / E n d D a t e >  
             < P e r i o d N u m b e r > 0 < / P e r i o d N u m b e r >  
             < P e r i o d T y p e > A < / P e r i o d T y p e >  
             < Y e a r > 2 0 1 6 < / Y e a r >  
         < / P e r i o d W r a p p e r >  
         < P e r i o d W r a p p e r >  
             < M i l e s t o n e > E S T < / M i l e s t o n e >  
             < E n d D a t e > 3 1 D e c 2 2 < / E n d D a t e >  
             < P e r i o d N u m b e r > 0 < / P e r i o d N u m b e r >  
             < P e r i o d T y p e > A < / P e r i o d T y p e >  
             < Y e a r > 2 0 2 2 < / Y e a r >  
         < / P e r i o d W r a p p e r >  
         < P e r i o d W r a p p e r >  
             < M i l e s t o n e > A C T < / M i l e s t o n e >  
             < E n d D a t e > 3 1 D e c 0 0 < / E n d D a t e >  
             < P e r i o d N u m b e r > 0 < / P e r i o d N u m b e r >  
             < P e r i o d T y p e > A < / P e r i o d T y p e >  
             < Y e a r > 2 0 0 0 < / Y e a r >  
         < / P e r i o d W r a p p e r >  
         < P e r i o d W r a p p e r >  
             < M i l e s t o n e > A C T < / M i l e s t o n e >  
             < E n d D a t e > 3 1 D e c 1 1 < / E n d D a t e >  
             < P e r i o d N u m b e r > 0 < / P e r i o d N u m b e r >  
             < P e r i o d T y p e > A < / P e r i o d T y p e >  
             < Y e a r > 2 0 1 1 < / Y e a r >  
         < / P e r i o d W r a p p e r >  
         < P e r i o d W r a p p e r >  
             < M i l e s t o n e > A C T < / M i l e s t o n e >  
             < E n d D a t e > 3 1 D e c 0 9 < / E n d D a t e >  
             < P e r i o d N u m b e r > 0 < / P e r i o d N u m b e r >  
             < P e r i o d T y p e > A < / P e r i o d T y p e >  
             < Y e a r > 2 0 0 9 < / Y e a r >  
         < / P e r i o d W r a p p e r >  
         < P e r i o d W r a p p e r >  
             < M i l e s t o n e > A C T < / M i l e s t o n e >  
             < E n d D a t e > 3 1 D e c 1 9 < / E n d D a t e >  
             < P e r i o d N u m b e r > 0 < / P e r i o d N u m b e r >  
             < P e r i o d T y p e > A < / P e r i o d T y p e >  
             < Y e a r > 2 0 1 9 < / Y e a r >  
         < / P e r i o d W r a p p e r >  
         < P e r i o d W r a p p e r >  
             < M i l e s t o n e > A C T < / M i l e s t o n e >  
             < E n d D a t e > 3 1 D e c 0 6 < / E n d D a t e >  
             < P e r i o d N u m b e r > 0 < / P e r i o d N u m b e r >  
             < P e r i o d T y p e > A < / P e r i o d T y p e >  
             < Y e a r > 2 0 0 6 < / Y e a r >  
         < / P e r i o d W r a p p e r >  
         < P e r i o d W r a p p e r >  
             < M i l e s t o n e > A C T < / M i l e s t o n e >  
             < E n d D a t e > 3 1 D e c 9 6 < / E n d D a t e >  
             < P e r i o d N u m b e r > 0 < / P e r i o d N u m b e r >  
             < P e r i o d T y p e > A < / P e r i o d T y p e >  
             < Y e a r > 1 9 9 6 < / Y e a r >  
         < / P e r i o d W r a p p e r >  
         < P e r i o d W r a p p e r >  
             < M i l e s t o n e > A C T < / M i l e s t o n e >  
             < E n d D a t e > 3 1 D e c 9 8 < / E n d D a t e >  
             < P e r i o d N u m b e r > 0 < / P e r i o d N u m b e r >  
             < P e r i o d T y p e > A < / P e r i o d T y p e >  
             < Y e a r > 1 9 9 8 < / Y e a r >  
         < / P e r i o d W r a p p e r >  
         < P e r i o d W r a p p e r >  
             < M i l e s t o n e > A C T < / M i l e s t o n e >  
             < E n d D a t e > 3 1 D e c 1 7 < / E n d D a t e >  
             < P e r i o d N u m b e r > 0 < / P e r i o d N u m b e r >  
             < P e r i o d T y p e > A < / P e r i o d T y p e >  
             < Y e a r > 2 0 1 7 < / Y e a r >  
         < / P e r i o d W r a p p e r >  
         < P e r i o d W r a p p e r >  
             < M i l e s t o n e > A C T < / M i l e s t o n e >  
             < E n d D a t e > 3 1 D e c 1 3 < / E n d D a t e >  
             < P e r i o d N u m b e r > 0 < / P e r i o d N u m b e r >  
             < P e r i o d T y p e > A < / P e r i o d T y p e >  
             < Y e a r > 2 0 1 3 < / Y e a r >  
         < / P e r i o d W r a p p e r >  
         < P e r i o d W r a p p e r >  
             < M i l e s t o n e > A C T < / M i l e s t o n e >  
             < E n d D a t e > 3 1 D e c 9 7 < / E n d D a t e >  
             < P e r i o d N u m b e r > 0 < / P e r i o d N u m b e r >  
             < P e r i o d T y p e > A < / P e r i o d T y p e >  
             < Y e a r > 1 9 9 7 < / Y e a r >  
         < / P e r i o d W r a p p e r >  
         < P e r i o d W r a p p e r >  
             < M i l e s t o n e > A C T < / M i l e s t o n e >  
             < E n d D a t e > 3 1 D e c 1 2 < / E n d D a t e >  
             < P e r i o d N u m b e r > 0 < / P e r i o d N u m b e r >  
             < P e r i o d T y p e > A < / P e r i o d T y p e >  
             < Y e a r > 2 0 1 2 < / Y e a r >  
         < / P e r i o d W r a p p e r >  
         < P e r i o d W r a p p e r >  
             < M i l e s t o n e > A C T < / M i l e s t o n e >  
             < E n d D a t e > 3 1 D e c 1 5 < / E n d D a t e >  
             < P e r i o d N u m b e r > 0 < / P e r i o d N u m b e r >  
             < P e r i o d T y p e > A < / P e r i o d T y p e >  
             < Y e a r > 2 0 1 5 < / Y e a r >  
         < / P e r i o d W r a p p e r >  
         < P e r i o d W r a p p e r >  
             < M i l e s t o n e > A C T < / M i l e s t o n e >  
             < E n d D a t e > 3 1 D e c 1 4 < / E n d D a t e >  
             < P e r i o d N u m b e r > 0 < / P e r i o d N u m b e r >  
             < P e r i o d T y p e > A < / P e r i o d T y p e >  
             < Y e a r > 2 0 1 4 < / Y e a r >  
         < / P e r i o d W r a p p e r >  
         < P e r i o d W r a p p e r >  
             < M i l e s t o n e > A C T < / M i l e s t o n e >  
             < E n d D a t e > 3 1 D e c 0 3 < / E n d D a t e >  
             < P e r i o d N u m b e r > 0 < / P e r i o d N u m b e r >  
             < P e r i o d T y p e > A < / P e r i o d T y p e >  
             < Y e a r > 2 0 0 3 < / Y e a r >  
         < / P e r i o d W r a p p e r >  
         < P e r i o d W r a p p e r >  
             < M i l e s t o n e > A C T < / M i l e s t o n e >  
             < E n d D a t e > 3 1 D e c 0 7 < / E n d D a t e >  
             < P e r i o d N u m b e r > 0 < / P e r i o d N u m b e r >  
             < P e r i o d T y p e > A < / P e r i o d T y p e >  
             < Y e a r > 2 0 0 7 < / Y e a r >  
         < / P e r i o d W r a p p e r >  
         < P e r i o d W r a p p e r >  
             < M i l e s t o n e > A C T < / M i l e s t o n e >  
             < E n d D a t e > 3 1 D e c 1 0 < / E n d D a t e >  
             < P e r i o d N u m b e r > 0 < / P e r i o d N u m b e r >  
             < P e r i o d T y p e > A < / P e r i o d T y p e >  
             < Y e a r > 2 0 1 0 < / Y e a r >  
         < / P e r i o d W r a p p e r >  
         < P e r i o d W r a p p e r >  
             < M i l e s t o n e > A C T < / M i l e s t o n e >  
             < E n d D a t e > 3 1 D e c 1 8 < / E n d D a t e >  
             < P e r i o d N u m b e r > 0 < / P e r i o d N u m b e r >  
             < P e r i o d T y p e > A < / P e r i o d T y p e >  
             < Y e a r > 2 0 1 8 < / Y e a r >  
         < / P e r i o d W r a p p e r >  
         < P e r i o d W r a p p e r >  
             < M i l e s t o n e > A C T < / M i l e s t o n e >  
             < E n d D a t e > 3 1 D e c 0 5 < / E n d D a t e >  
             < P e r i o d N u m b e r > 0 < / P e r i o d N u m b e r >  
             < P e r i o d T y p e > A < / P e r i o d T y p e >  
             < Y e a r > 2 0 0 5 < / Y e a r >  
         < / P e r i o d W r a p p e r >  
         < P e r i o d W r a p p e r >  
             < M i l e s t o n e > A C T < / M i l e s t o n e >  
             < E n d D a t e > 3 1 D e c 0 4 < / E n d D a t e >  
             < P e r i o d N u m b e r > 0 < / P e r i o d N u m b e r >  
             < P e r i o d T y p e > A < / P e r i o d T y p e >  
             < Y e a r > 2 0 0 4 < / Y e a r >  
         < / P e r i o d W r a p p e r >  
         < P e r i o d W r a p p e r >  
             < M i l e s t o n e > E S T < / M i l e s t o n e >  
             < E n d D a t e > 3 1 D e c 2 1 < / E n d D a t e >  
             < P e r i o d N u m b e r > 0 < / P e r i o d N u m b e r >  
             < P e r i o d T y p e > A < / P e r i o d T y p e >  
             < Y e a r > 2 0 2 1 < / Y e a r >  
         < / P e r i o d W r a p p e r >  
         < P e r i o d W r a p p e r >  
             < M i l e s t o n e > E S T < / M i l e s t o n e >  
             < E n d D a t e > 3 1 D e c 2 3 < / E n d D a t e >  
             < P e r i o d N u m b e r > 0 < / P e r i o d N u m b e r >  
             < P e r i o d T y p e > A < / P e r i o d T y p e >  
             < Y e a r > 2 0 2 3 < / Y e a r >  
         < / P e r i o d W r a p p e r >  
         < P e r i o d W r a p p e r >  
             < M i l e s t o n e > E S T < / M i l e s t o n e >  
             < E n d D a t e > 3 1 D e c 2 0 < / E n d D a t e >  
             < P e r i o d N u m b e r > 0 < / P e r i o d N u m b e r >  
             < P e r i o d T y p e > A < / P e r i o d T y p e >  
             < Y e a r > 2 0 2 0 < / Y e a r >  
         < / P e r i o d W r a p p e r >  
         < P e r i o d W r a p p e r >  
             < M i l e s t o n e > A C T < / M i l e s t o n e >  
             < E n d D a t e > 3 1 D e c 0 1 < / E n d D a t e >  
             < P e r i o d N u m b e r > 0 < / P e r i o d N u m b e r >  
             < P e r i o d T y p e > A < / P e r i o d T y p e >  
             < Y e a r > 2 0 0 1 < / Y e a r >  
         < / P e r i o d W r a p p e r >  
         < P e r i o d W r a p p e r >  
             < M i l e s t o n e > A C T < / M i l e s t o n e >  
             < E n d D a t e > 3 1 D e c 0 8 < / E n d D a t e >  
             < P e r i o d N u m b e r > 0 < / P e r i o d N u m b e r >  
             < P e r i o d T y p e > A < / P e r i o d T y p e >  
             < Y e a r > 2 0 0 8 < / Y e a r >  
         < / P e r i o d W r a p p e r >  
         < P e r i o d W r a p p e r >  
             < M i l e s t o n e > A C T < / M i l e s t o n e >  
             < E n d D a t e > 3 0 S e p 0 3 < / E n d D a t e >  
             < P e r i o d N u m b e r > 3 < / P e r i o d N u m b e r >  
             < P e r i o d T y p e > Q < / P e r i o d T y p e >  
             < Y e a r > 2 0 0 3 < / Y e a r >  
         < / P e r i o d W r a p p e r >  
         < P e r i o d W r a p p e r >  
             < M i l e s t o n e > A C T < / M i l e s t o n e >  
             < E n d D a t e > 3 0 S e p 1 0 < / E n d D a t e >  
             < P e r i o d N u m b e r > 3 < / P e r i o d N u m b e r >  
             < P e r i o d T y p e > Q < / P e r i o d T y p e >  
             < Y e a r > 2 0 1 0 < / Y e a r >  
         < / P e r i o d W r a p p e r >  
         < P e r i o d W r a p p e r >  
             < M i l e s t o n e > A C T < / M i l e s t o n e >  
             < E n d D a t e > 3 0 S e p 0 6 < / E n d D a t e >  
             < P e r i o d N u m b e r > 3 < / P e r i o d N u m b e r >  
             < P e r i o d T y p e > Q < / P e r i o d T y p e >  
             < Y e a r > 2 0 0 6 < / Y e a r >  
         < / P e r i o d W r a p p e r >  
         < P e r i o d W r a p p e r >  
             < M i l e s t o n e > A C T < / M i l e s t o n e >  
             < E n d D a t e > 3 1 D e c 1 9 < / E n d D a t e >  
             < P e r i o d N u m b e r > 4 < / P e r i o d N u m b e r >  
             < P e r i o d T y p e > Q < / P e r i o d T y p e >  
             < Y e a r > 2 0 1 9 < / Y e a r >  
         < / P e r i o d W r a p p e r >  
         < P e r i o d W r a p p e r >  
             < M i l e s t o n e > A C T < / M i l e s t o n e >  
             < E n d D a t e > 3 0 S e p 1 8 < / E n d D a t e >  
             < P e r i o d N u m b e r > 3 < / P e r i o d N u m b e r >  
             < P e r i o d T y p e > Q < / P e r i o d T y p e >  
             < Y e a r > 2 0 1 8 < / Y e a r >  
         < / P e r i o d W r a p p e r >  
         < P e r i o d W r a p p e r >  
             < M i l e s t o n e > A C T < / M i l e s t o n e >  
             < E n d D a t e > 3 0 J u n 0 4 < / E n d D a t e >  
             < P e r i o d N u m b e r > 2 < / P e r i o d N u m b e r >  
             < P e r i o d T y p e > Q < / P e r i o d T y p e >  
             < Y e a r > 2 0 0 4 < / Y e a r >  
         < / P e r i o d W r a p p e r >  
         < P e r i o d W r a p p e r >  
             < M i l e s t o n e > E S T < / M i l e s t o n e >  
             < E n d D a t e > 3 1 M a r 2 0 < / E n d D a t e >  
             < P e r i o d N u m b e r > 1 < / P e r i o d N u m b e r >  
             < P e r i o d T y p e > Q < / P e r i o d T y p e >  
             < Y e a r > 2 0 2 0 < / Y e a r >  
         < / P e r i o d W r a p p e r >  
         < P e r i o d W r a p p e r >  
             < M i l e s t o n e > A C T < / M i l e s t o n e >  
             < E n d D a t e > 3 0 S e p 1 9 < / E n d D a t e >  
             < P e r i o d N u m b e r > 3 < / P e r i o d N u m b e r >  
             < P e r i o d T y p e > Q < / P e r i o d T y p e >  
             < Y e a r > 2 0 1 9 < / Y e a r >  
         < / P e r i o d W r a p p e r >  
         < P e r i o d W r a p p e r >  
             < M i l e s t o n e > A C T < / M i l e s t o n e >  
             < E n d D a t e > 3 1 M a r 1 3 < / E n d D a t e >  
             < P e r i o d N u m b e r > 1 < / P e r i o d N u m b e r >  
             < P e r i o d T y p e > Q < / P e r i o d T y p e >  
             < Y e a r > 2 0 1 3 < / Y e a r >  
         < / P e r i o d W r a p p e r >  
         < P e r i o d W r a p p e r >  
             < M i l e s t o n e > A C T < / M i l e s t o n e >  
             < E n d D a t e > 3 0 S e p 0 9 < / E n d D a t e >  
             < P e r i o d N u m b e r > 3 < / P e r i o d N u m b e r >  
             < P e r i o d T y p e > Q < / P e r i o d T y p e >  
             < Y e a r > 2 0 0 9 < / Y e a r >  
         < / P e r i o d W r a p p e r >  
         < P e r i o d W r a p p e r >  
             < M i l e s t o n e > A C T < / M i l e s t o n e >  
             < E n d D a t e > 3 0 J u n 0 7 < / E n d D a t e >  
             < P e r i o d N u m b e r > 2 < / P e r i o d N u m b e r >  
             < P e r i o d T y p e > Q < / P e r i o d T y p e >  
             < Y e a r > 2 0 0 7 < / Y e a r >  
         < / P e r i o d W r a p p e r >  
         < P e r i o d W r a p p e r >  
             < M i l e s t o n e > A C T < / M i l e s t o n e >  
             < E n d D a t e > 3 0 J u n 0 6 < / E n d D a t e >  
             < P e r i o d N u m b e r > 2 < / P e r i o d N u m b e r >  
             < P e r i o d T y p e > Q < / P e r i o d T y p e >  
             < Y e a r > 2 0 0 6 < / Y e a r >  
         < / P e r i o d W r a p p e r >  
         < P e r i o d W r a p p e r >  
             < M i l e s t o n e > A C T < / M i l e s t o n e >  
             < E n d D a t e > 3 0 S e p 0 4 < / E n d D a t e >  
             < P e r i o d N u m b e r > 3 < / P e r i o d N u m b e r >  
             < P e r i o d T y p e > Q < / P e r i o d T y p e >  
             < Y e a r > 2 0 0 4 < / Y e a r >  
         < / P e r i o d W r a p p e r >  
         < P e r i o d W r a p p e r >  
             < M i l e s t o n e > A C T < / M i l e s t o n e >  
             < E n d D a t e > 3 1 D e c 1 0 < / E n d D a t e >  
             < P e r i o d N u m b e r > 4 < / P e r i o d N u m b e r >  
             < P e r i o d T y p e > Q < / P e r i o d T y p e >  
             < Y e a r > 2 0 1 0 < / Y e a r >  
         < / P e r i o d W r a p p e r >  
         < P e r i o d W r a p p e r >  
             < M i l e s t o n e > A C T < / M i l e s t o n e >  
             < E n d D a t e > 3 1 M a r 1 5 < / E n d D a t e >  
             < P e r i o d N u m b e r > 1 < / P e r i o d N u m b e r >  
             < P e r i o d T y p e > Q < / P e r i o d T y p e >  
             < Y e a r > 2 0 1 5 < / Y e a r >  
         < / P e r i o d W r a p p e r >  
         < P e r i o d W r a p p e r >  
             < M i l e s t o n e > A C T < / M i l e s t o n e >  
             < E n d D a t e > 3 1 M a r 0 3 < / E n d D a t e >  
             < P e r i o d N u m b e r > 1 < / P e r i o d N u m b e r >  
             < P e r i o d T y p e > Q < / P e r i o d T y p e >  
             < Y e a r > 2 0 0 3 < / Y e a r >  
         < / P e r i o d W r a p p e r >  
         < P e r i o d W r a p p e r >  
             < M i l e s t o n e > A C T < / M i l e s t o n e >  
             < E n d D a t e > 3 0 S e p 1 6 < / E n d D a t e >  
             < P e r i o d N u m b e r > 3 < / P e r i o d N u m b e r >  
             < P e r i o d T y p e > Q < / P e r i o d T y p e >  
             < Y e a r > 2 0 1 6 < / Y e a r >  
         < / P e r i o d W r a p p e r >  
         < P e r i o d W r a p p e r >  
             < M i l e s t o n e > A C T < / M i l e s t o n e >  
             < E n d D a t e > 3 1 D e c 1 7 < / E n d D a t e >  
             < P e r i o d N u m b e r > 4 < / P e r i o d N u m b e r >  
             < P e r i o d T y p e > Q < / P e r i o d T y p e >  
             < Y e a r > 2 0 1 7 < / Y e a r >  
         < / P e r i o d W r a p p e r >  
         < P e r i o d W r a p p e r >  
             < M i l e s t o n e > A C T < / M i l e s t o n e >  
             < E n d D a t e > 3 1 M a r 1 1 < / E n d D a t e >  
             < P e r i o d N u m b e r > 1 < / P e r i o d N u m b e r >  
             < P e r i o d T y p e > Q < / P e r i o d T y p e >  
             < Y e a r > 2 0 1 1 < / Y e a r >  
         < / P e r i o d W r a p p e r >  
         < P e r i o d W r a p p e r >  
             < M i l e s t o n e > A C T < / M i l e s t o n e >  
             < E n d D a t e > 3 1 M a r 0 6 < / E n d D a t e >  
             < P e r i o d N u m b e r > 1 < / P e r i o d N u m b e r >  
             < P e r i o d T y p e > Q < / P e r i o d T y p e >  
             < Y e a r > 2 0 0 6 < / Y e a r >  
         < / P e r i o d W r a p p e r >  
         < P e r i o d W r a p p e r >  
             < M i l e s t o n e > A C T < / M i l e s t o n e >  
             < E n d D a t e > 3 1 D e c 1 4 < / E n d D a t e >  
             < P e r i o d N u m b e r > 4 < / P e r i o d N u m b e r >  
             < P e r i o d T y p e > Q < / P e r i o d T y p e >  
             < Y e a r > 2 0 1 4 < / Y e a r >  
         < / P e r i o d W r a p p e r >  
         < P e r i o d W r a p p e r >  
             < M i l e s t o n e > A C T < / M i l e s t o n e >  
             < E n d D a t e > 3 1 D e c 0 5 < / E n d D a t e >  
             < P e r i o d N u m b e r > 4 < / P e r i o d N u m b e r >  
             < P e r i o d T y p e > Q < / P e r i o d T y p e >  
             < Y e a r > 2 0 0 5 < / Y e a r >  
         < / P e r i o d W r a p p e r >  
         < P e r i o d W r a p p e r >  
             < M i l e s t o n e > A C T < / M i l e s t o n e >  
             < E n d D a t e > 3 0 J u n 1 3 < / E n d D a t e >  
             < P e r i o d N u m b e r > 2 < / P e r i o d N u m b e r >  
             < P e r i o d T y p e > Q < / P e r i o d T y p e >  
             < Y e a r > 2 0 1 3 < / Y e a r >  
         < / P e r i o d W r a p p e r >  
         < P e r i o d W r a p p e r >  
             < M i l e s t o n e > A C T < / M i l e s t o n e >  
             < E n d D a t e > 3 0 J u n 1 8 < / E n d D a t e >  
             < P e r i o d N u m b e r > 2 < / P e r i o d N u m b e r >  
             < P e r i o d T y p e > Q < / P e r i o d T y p e >  
             < Y e a r > 2 0 1 8 < / Y e a r >  
         < / P e r i o d W r a p p e r >  
         < P e r i o d W r a p p e r >  
             < M i l e s t o n e > A C T < / M i l e s t o n e >  
             < E n d D a t e > 3 1 M a r 1 6 < / E n d D a t e >  
             < P e r i o d N u m b e r > 1 < / P e r i o d N u m b e r >  
             < P e r i o d T y p e > Q < / P e r i o d T y p e >  
             < Y e a r > 2 0 1 6 < / Y e a r >  
         < / P e r i o d W r a p p e r >  
         < P e r i o d W r a p p e r >  
             < M i l e s t o n e > A C T < / M i l e s t o n e >  
             < E n d D a t e > 3 1 D e c 0 4 < / E n d D a t e >  
             < P e r i o d N u m b e r > 4 < / P e r i o d N u m b e r >  
             < P e r i o d T y p e > Q < / P e r i o d T y p e >  
             < Y e a r > 2 0 0 4 < / Y e a r >  
         < / P e r i o d W r a p p e r >  
         < P e r i o d W r a p p e r >  
             < M i l e s t o n e > A C T < / M i l e s t o n e >  
             < E n d D a t e > 3 1 D e c 1 6 < / E n d D a t e >  
             < P e r i o d N u m b e r > 4 < / P e r i o d N u m b e r >  
             < P e r i o d T y p e > Q < / P e r i o d T y p e >  
             < Y e a r > 2 0 1 6 < / Y e a r >  
         < / P e r i o d W r a p p e r >  
         < P e r i o d W r a p p e r >  
             < M i l e s t o n e > A C T < / M i l e s t o n e >  
             < E n d D a t e > 3 0 J u n 1 9 < / E n d D a t e >  
             < P e r i o d N u m b e r > 2 < / P e r i o d N u m b e r >  
             < P e r i o d T y p e > Q < / P e r i o d T y p e >  
             < Y e a r > 2 0 1 9 < / Y e a r >  
         < / P e r i o d W r a p p e r >  
         < P e r i o d W r a p p e r >  
             < M i l e s t o n e > A C T < / M i l e s t o n e >  
             < E n d D a t e > 3 1 D e c 0 3 < / E n d D a t e >  
             < P e r i o d N u m b e r > 4 < / P e r i o d N u m b e r >  
             < P e r i o d T y p e > Q < / P e r i o d T y p e >  
             < Y e a r > 2 0 0 3 < / Y e a r >  
         < / P e r i o d W r a p p e r >  
         < P e r i o d W r a p p e r >  
             < M i l e s t o n e > A C T < / M i l e s t o n e >  
             < E n d D a t e > 3 1 D e c 1 8 < / E n d D a t e >  
             < P e r i o d N u m b e r > 4 < / P e r i o d N u m b e r >  
             < P e r i o d T y p e > Q < / P e r i o d T y p e >  
             < Y e a r > 2 0 1 8 < / Y e a r >  
         < / P e r i o d W r a p p e r >  
         < P e r i o d W r a p p e r >  
             < M i l e s t o n e > A C T < / M i l e s t o n e >  
             < E n d D a t e > 3 1 D e c 0 6 < / E n d D a t e >  
             < P e r i o d N u m b e r > 4 < / P e r i o d N u m b e r >  
             < P e r i o d T y p e > Q < / P e r i o d T y p e >  
             < Y e a r > 2 0 0 6 < / Y e a r >  
         < / P e r i o d W r a p p e r >  
         < P e r i o d W r a p p e r >  
             < M i l e s t o n e > A C T < / M i l e s t o n e >  
             < E n d D a t e > 3 0 S e p 1 1 < / E n d D a t e >  
             < P e r i o d N u m b e r > 3 < / P e r i o d N u m b e r >  
             < P e r i o d T y p e > Q < / P e r i o d T y p e >  
             < Y e a r > 2 0 1 1 < / Y e a r >  
         < / P e r i o d W r a p p e r >  
         < P e r i o d W r a p p e r >  
             < M i l e s t o n e > A C T < / M i l e s t o n e >  
             < E n d D a t e > 3 0 J u n 1 7 < / E n d D a t e >  
             < P e r i o d N u m b e r > 2 < / P e r i o d N u m b e r >  
             < P e r i o d T y p e > Q < / P e r i o d T y p e >  
             < Y e a r > 2 0 1 7 < / Y e a r >  
         < / P e r i o d W r a p p e r >  
         < P e r i o d W r a p p e r >  
             < M i l e s t o n e > A C T < / M i l e s t o n e >  
             < E n d D a t e > 3 0 S e p 1 3 < / E n d D a t e >  
             < P e r i o d N u m b e r > 3 < / P e r i o d N u m b e r >  
             < P e r i o d T y p e > Q < / P e r i o d T y p e >  
             < Y e a r > 2 0 1 3 < / Y e a r >  
         < / P e r i o d W r a p p e r >  
         < P e r i o d W r a p p e r >  
             < M i l e s t o n e > A C T < / M i l e s t o n e >  
             < E n d D a t e > 3 0 J u n 0 8 < / E n d D a t e >  
             < P e r i o d N u m b e r > 2 < / P e r i o d N u m b e r >  
             < P e r i o d T y p e > Q < / P e r i o d T y p e >  
             < Y e a r > 2 0 0 8 < / Y e a r >  
         < / P e r i o d W r a p p e r >  
         < P e r i o d W r a p p e r >  
             < M i l e s t o n e > A C T < / M i l e s t o n e >  
             < E n d D a t e > 3 0 J u n 1 6 < / E n d D a t e >  
             < P e r i o d N u m b e r > 2 < / P e r i o d N u m b e r >  
             < P e r i o d T y p e > Q < / P e r i o d T y p e >  
             < Y e a r > 2 0 1 6 < / Y e a r >  
         < / P e r i o d W r a p p e r >  
         < P e r i o d W r a p p e r >  
             < M i l e s t o n e > A C T < / M i l e s t o n e >  
             < E n d D a t e > 3 1 M a r 0 5 < / E n d D a t e >  
             < P e r i o d N u m b e r > 1 < / P e r i o d N u m b e r >  
             < P e r i o d T y p e > Q < / P e r i o d T y p e >  
             < Y e a r > 2 0 0 5 < / Y e a r >  
         < / P e r i o d W r a p p e r >  
         < P e r i o d W r a p p e r >  
             < M i l e s t o n e > E S T < / M i l e s t o n e >  
             < E n d D a t e > 3 1 D e c 2 0 < / E n d D a t e >  
             < P e r i o d N u m b e r > 4 < / P e r i o d N u m b e r >  
             < P e r i o d T y p e > Q < / P e r i o d T y p e >  
             < Y e a r > 2 0 2 0 < / Y e a r >  
         < / P e r i o d W r a p p e r >  
         < P e r i o d W r a p p e r >  
             < M i l e s t o n e > A C T < / M i l e s t o n e >  
             < E n d D a t e > 3 0 S e p 0 7 < / E n d D a t e >  
             < P e r i o d N u m b e r > 3 < / P e r i o d N u m b e r >  
             < P e r i o d T y p e > Q < / P e r i o d T y p e >  
             < Y e a r > 2 0 0 7 < / Y e a r >  
         < / P e r i o d W r a p p e r >  
         < P e r i o d W r a p p e r >  
             < M i l e s t o n e > A C T < / M i l e s t o n e >  
             < E n d D a t e > 3 0 S e p 1 4 < / E n d D a t e >  
             < P e r i o d N u m b e r > 3 < / P e r i o d N u m b e r >  
             < P e r i o d T y p e > Q < / P e r i o d T y p e >  
             < Y e a r > 2 0 1 4 < / Y e a r >  
         < / P e r i o d W r a p p e r >  
         < P e r i o d W r a p p e r >  
             < M i l e s t o n e > A C T < / M i l e s t o n e >  
             < E n d D a t e > 3 0 J u n 1 5 < / E n d D a t e >  
             < P e r i o d N u m b e r > 2 < / P e r i o d N u m b e r >  
             < P e r i o d T y p e > Q < / P e r i o d T y p e >  
             < Y e a r > 2 0 1 5 < / Y e a r >  
         < / P e r i o d W r a p p e r >  
         < P e r i o d W r a p p e r >  
             < M i l e s t o n e > A C T < / M i l e s t o n e >  
             < E n d D a t e > 3 1 M a r 0 7 < / E n d D a t e >  
             < P e r i o d N u m b e r > 1 < / P e r i o d N u m b e r >  
             < P e r i o d T y p e > Q < / P e r i o d T y p e >  
             < Y e a r > 2 0 0 7 < / Y e a r >  
         < / P e r i o d W r a p p e r >  
         < P e r i o d W r a p p e r >  
             < M i l e s t o n e > A C T < / M i l e s t o n e >  
             < E n d D a t e > 3 0 J u n 0 3 < / E n d D a t e >  
             < P e r i o d N u m b e r > 2 < / P e r i o d N u m b e r >  
             < P e r i o d T y p e > Q < / P e r i o d T y p e >  
             < Y e a r > 2 0 0 3 < / Y e a r >  
         < / P e r i o d W r a p p e r >  
         < P e r i o d W r a p p e r >  
             < M i l e s t o n e > A C T < / M i l e s t o n e >  
             < E n d D a t e > 3 0 S e p 0 5 < / E n d D a t e >  
             < P e r i o d N u m b e r > 3 < / P e r i o d N u m b e r >  
             < P e r i o d T y p e > Q < / P e r i o d T y p e >  
             < Y e a r > 2 0 0 5 < / Y e a r >  
         < / P e r i o d W r a p p e r >  
         < P e r i o d W r a p p e r >  
             < M i l e s t o n e > A C T < / M i l e s t o n e >  
             < E n d D a t e > 3 1 D e c 0 8 < / E n d D a t e >  
             < P e r i o d N u m b e r > 4 < / P e r i o d N u m b e r >  
             < P e r i o d T y p e > Q < / P e r i o d T y p e >  
             < Y e a r > 2 0 0 8 < / Y e a r >  
         < / P e r i o d W r a p p e r >  
         < P e r i o d W r a p p e r >  
             < M i l e s t o n e > A C T < / M i l e s t o n e >  
             < E n d D a t e > 3 0 J u n 1 4 < / E n d D a t e >  
             < P e r i o d N u m b e r > 2 < / P e r i o d N u m b e r >  
             < P e r i o d T y p e > Q < / P e r i o d T y p e >  
             < Y e a r > 2 0 1 4 < / Y e a r >  
         < / P e r i o d W r a p p e r >  
         < P e r i o d W r a p p e r >  
             < M i l e s t o n e > A C T < / M i l e s t o n e >  
             < E n d D a t e > 3 0 S e p 1 2 < / E n d D a t e >  
             < P e r i o d N u m b e r > 3 < / P e r i o d N u m b e r >  
             < P e r i o d T y p e > Q < / P e r i o d T y p e >  
             < Y e a r > 2 0 1 2 < / Y e a r >  
         < / P e r i o d W r a p p e r >  
         < P e r i o d W r a p p e r >  
             < M i l e s t o n e > A C T < / M i l e s t o n e >  
             < E n d D a t e > 3 1 D e c 1 3 < / E n d D a t e >  
             < P e r i o d N u m b e r > 4 < / P e r i o d N u m b e r >  
             < P e r i o d T y p e > Q < / P e r i o d T y p e >  
             < Y e a r > 2 0 1 3 < / Y e a r >  
         < / P e r i o d W r a p p e r >  
         < P e r i o d W r a p p e r >  
             < M i l e s t o n e > A C T < / M i l e s t o n e >  
             < E n d D a t e > 3 1 M a r 1 9 < / E n d D a t e >  
             < P e r i o d N u m b e r > 1 < / P e r i o d N u m b e r >  
             < P e r i o d T y p e > Q < / P e r i o d T y p e >  
             < Y e a r > 2 0 1 9 < / Y e a r >  
         < / P e r i o d W r a p p e r >  
         < P e r i o d W r a p p e r >  
             < M i l e s t o n e > A C T < / M i l e s t o n e >  
             < E n d D a t e > 3 0 J u n 1 2 < / E n d D a t e >  
             < P e r i o d N u m b e r > 2 < / P e r i o d N u m b e r >  
             < P e r i o d T y p e > Q < / P e r i o d T y p e >  
             < Y e a r > 2 0 1 2 < / Y e a r >  
         < / P e r i o d W r a p p e r >  
         < P e r i o d W r a p p e r >  
             < M i l e s t o n e > A C T < / M i l e s t o n e >  
             < E n d D a t e > 3 1 M a r 1 4 < / E n d D a t e >  
             < P e r i o d N u m b e r > 1 < / P e r i o d N u m b e r >  
             < P e r i o d T y p e > Q < / P e r i o d T y p e >  
             < Y e a r > 2 0 1 4 < / Y e a r >  
         < / P e r i o d W r a p p e r >  
         < P e r i o d W r a p p e r >  
             < M i l e s t o n e > A C T < / M i l e s t o n e >  
             < E n d D a t e > 3 1 M a r 1 2 < / E n d D a t e >  
             < P e r i o d N u m b e r > 1 < / P e r i o d N u m b e r >  
             < P e r i o d T y p e > Q < / P e r i o d T y p e >  
             < Y e a r > 2 0 1 2 < / Y e a r >  
         < / P e r i o d W r a p p e r >  
         < P e r i o d W r a p p e r >  
             < M i l e s t o n e > A C T < / M i l e s t o n e >  
             < E n d D a t e > 3 0 J u n 1 0 < / E n d D a t e >  
             < P e r i o d N u m b e r > 2 < / P e r i o d N u m b e r >  
             < P e r i o d T y p e > Q < / P e r i o d T y p e >  
             < Y e a r > 2 0 1 0 < / Y e a r >  
         < / P e r i o d W r a p p e r >  
         < P e r i o d W r a p p e r >  
             < M i l e s t o n e > A C T < / M i l e s t o n e >  
             < E n d D a t e > 3 1 M a r 1 0 < / E n d D a t e >  
             < P e r i o d N u m b e r > 1 < / P e r i o d N u m b e r >  
             < P e r i o d T y p e > Q < / P e r i o d T y p e >  
             < Y e a r > 2 0 1 0 < / Y e a r >  
         < / P e r i o d W r a p p e r >  
         < P e r i o d W r a p p e r >  
             < M i l e s t o n e > A C T < / M i l e s t o n e >  
             < E n d D a t e > 3 1 D e c 1 1 < / E n d D a t e >  
             < P e r i o d N u m b e r > 4 < / P e r i o d N u m b e r >  
             < P e r i o d T y p e > Q < / P e r i o d T y p e >  
             < Y e a r > 2 0 1 1 < / Y e a r >  
         < / P e r i o d W r a p p e r >  
         < P e r i o d W r a p p e r >  
             < M i l e s t o n e > A C T < / M i l e s t o n e >  
             < E n d D a t e > 3 1 D e c 0 9 < / E n d D a t e >  
             < P e r i o d N u m b e r > 4 < / P e r i o d N u m b e r >  
             < P e r i o d T y p e > Q < / P e r i o d T y p e >  
             < Y e a r > 2 0 0 9 < / Y e a r >  
         < / P e r i o d W r a p p e r >  
         < P e r i o d W r a p p e r >  
             < M i l e s t o n e > A C T < / M i l e s t o n e >  
             < E n d D a t e > 3 1 D e c 1 2 < / E n d D a t e >  
             < P e r i o d N u m b e r > 4 < / P e r i o d N u m b e r >  
             < P e r i o d T y p e > Q < / P e r i o d T y p e >  
             < Y e a r > 2 0 1 2 < / Y e a r >  
         < / P e r i o d W r a p p e r >  
         < P e r i o d W r a p p e r >  
             < M i l e s t o n e > A C T < / M i l e s t o n e >  
             < E n d D a t e > 3 1 D e c 1 5 < / E n d D a t e >  
             < P e r i o d N u m b e r > 4 < / P e r i o d N u m b e r >  
             < P e r i o d T y p e > Q < / P e r i o d T y p e >  
             < Y e a r > 2 0 1 5 < / Y e a r >  
         < / P e r i o d W r a p p e r >  
         < P e r i o d W r a p p e r >  
             < M i l e s t o n e > A C T < / M i l e s t o n e >  
             < E n d D a t e > 3 1 M a r 0 9 < / E n d D a t e >  
             < P e r i o d N u m b e r > 1 < / P e r i o d N u m b e r >  
             < P e r i o d T y p e > Q < / P e r i o d T y p e >  
             < Y e a r > 2 0 0 9 < / Y e a r >  
         < / P e r i o d W r a p p e r >  
         < P e r i o d W r a p p e r >  
             < M i l e s t o n e > A C T < / M i l e s t o n e >  
             < E n d D a t e > 3 0 S e p 0 8 < / E n d D a t e >  
             < P e r i o d N u m b e r > 3 < / P e r i o d N u m b e r >  
             < P e r i o d T y p e > Q < / P e r i o d T y p e >  
             < Y e a r > 2 0 0 8 < / Y e a r >  
         < / P e r i o d W r a p p e r >  
         < P e r i o d W r a p p e r >  
             < M i l e s t o n e > A C T < / M i l e s t o n e >  
             < E n d D a t e > 3 0 S e p 1 5 < / E n d D a t e >  
             < P e r i o d N u m b e r > 3 < / P e r i o d N u m b e r >  
             < P e r i o d T y p e > Q < / P e r i o d T y p e >  
             < Y e a r > 2 0 1 5 < / Y e a r >  
         < / P e r i o d W r a p p e r >  
         < P e r i o d W r a p p e r >  
             < M i l e s t o n e > A C T < / M i l e s t o n e >  
             < E n d D a t e > 3 1 M a r 0 4 < / E n d D a t e >  
             < P e r i o d N u m b e r > 1 < / P e r i o d N u m b e r >  
             < P e r i o d T y p e > Q < / P e r i o d T y p e >  
             < Y e a r > 2 0 0 4 < / Y e a r >  
         < / P e r i o d W r a p p e r >  
         < P e r i o d W r a p p e r >  
             < M i l e s t o n e > E S T < / M i l e s t o n e >  
             < E n d D a t e > 3 0 S e p 2 0 < / E n d D a t e >  
             < P e r i o d N u m b e r > 3 < / P e r i o d N u m b e r >  
             < P e r i o d T y p e > Q < / P e r i o d T y p e >  
             < Y e a r > 2 0 2 0 < / Y e a r >  
         < / P e r i o d W r a p p e r >  
         < P e r i o d W r a p p e r >  
             < M i l e s t o n e > A C T < / M i l e s t o n e >  
             < E n d D a t e > 3 0 S e p 1 7 < / E n d D a t e >  
             < P e r i o d N u m b e r > 3 < / P e r i o d N u m b e r >  
             < P e r i o d T y p e > Q < / P e r i o d T y p e >  
             < Y e a r > 2 0 1 7 < / Y e a r >  
         < / P e r i o d W r a p p e r >  
         < P e r i o d W r a p p e r >  
             < M i l e s t o n e > A C T < / M i l e s t o n e >  
             < E n d D a t e > 3 0 J u n 0 5 < / E n d D a t e >  
             < P e r i o d N u m b e r > 2 < / P e r i o d N u m b e r >  
             < P e r i o d T y p e > Q < / P e r i o d T y p e >  
             < Y e a r > 2 0 0 5 < / Y e a r >  
         < / P e r i o d W r a p p e r >  
         < P e r i o d W r a p p e r >  
             < M i l e s t o n e > A C T < / M i l e s t o n e >  
             < E n d D a t e > 3 1 D e c 0 7 < / E n d D a t e >  
             < P e r i o d N u m b e r > 4 < / P e r i o d N u m b e r >  
             < P e r i o d T y p e > Q < / P e r i o d T y p e >  
             < Y e a r > 2 0 0 7 < / Y e a r >  
         < / P e r i o d W r a p p e r >  
         < P e r i o d W r a p p e r >  
             < M i l e s t o n e > A C T < / M i l e s t o n e >  
             < E n d D a t e > 3 1 M a r 1 7 < / E n d D a t e >  
             < P e r i o d N u m b e r > 1 < / P e r i o d N u m b e r >  
             < P e r i o d T y p e > Q < / P e r i o d T y p e >  
             < Y e a r > 2 0 1 7 < / Y e a r >  
         < / P e r i o d W r a p p e r >  
         < P e r i o d W r a p p e r >  
             < M i l e s t o n e > A C T < / M i l e s t o n e >  
             < E n d D a t e > 3 0 J u n 0 9 < / E n d D a t e >  
             < P e r i o d N u m b e r > 2 < / P e r i o d N u m b e r >  
             < P e r i o d T y p e > Q < / P e r i o d T y p e >  
             < Y e a r > 2 0 0 9 < / Y e a r >  
         < / P e r i o d W r a p p e r >  
         < P e r i o d W r a p p e r >  
             < M i l e s t o n e > A C T < / M i l e s t o n e >  
             < E n d D a t e > 3 1 M a r 0 8 < / E n d D a t e >  
             < P e r i o d N u m b e r > 1 < / P e r i o d N u m b e r >  
             < P e r i o d T y p e > Q < / P e r i o d T y p e >  
             < Y e a r > 2 0 0 8 < / Y e a r >  
         < / P e r i o d W r a p p e r >  
         < P e r i o d W r a p p e r >  
             < M i l e s t o n e > E S T < / M i l e s t o n e >  
             < E n d D a t e > 3 0 J u n 2 0 < / E n d D a t e >  
             < P e r i o d N u m b e r > 2 < / P e r i o d N u m b e r >  
             < P e r i o d T y p e > Q < / P e r i o d T y p e >  
             < Y e a r > 2 0 2 0 < / Y e a r >  
         < / P e r i o d W r a p p e r >  
         < P e r i o d W r a p p e r >  
             < M i l e s t o n e > A C T < / M i l e s t o n e >  
             < E n d D a t e > 3 0 J u n 1 1 < / E n d D a t e >  
             < P e r i o d N u m b e r > 2 < / P e r i o d N u m b e r >  
             < P e r i o d T y p e > Q < / P e r i o d T y p e >  
             < Y e a r > 2 0 1 1 < / Y e a r >  
         < / P e r i o d W r a p p e r >  
         < P e r i o d W r a p p e r >  
             < M i l e s t o n e > A C T < / M i l e s t o n e >  
             < E n d D a t e > 3 1 M a r 1 8 < / E n d D a t e >  
             < P e r i o d N u m b e r > 1 < / P e r i o d N u m b e r >  
             < P e r i o d T y p e > Q < / P e r i o d T y p e >  
             < Y e a r > 2 0 1 8 < / Y e a r >  
         < / P e r i o d W r a p p e r >  
     < / T e m p l a t e P e r i o d s >  
     < E n t i t y T e m p l a t e T e m p l a t e s >  
         < E n t i t y T e m p l a t e W r a p p e r >  
             < E n t i t y >  
                 < E n t i t y I d > 2 0 8 0 0 2 9 2 2 < / E n t i t y I d >  
                 < E n t i t y T y p e > I S S R < / E n t i t y T y p e >  
             < / E n t i t y >  
             < T e m p l a t e K e y w o r d s >  
                 < K e y w o r d M e t a d a t a W r a p p e r >  
                     < K e y w o r d > M A _ P R O B < / K e y w o r d >  
                     < K e y w o r d T y p e > C N T B < / K e y w o r d T y p e >  
                     < S h o r t D e s c > M & a m p ; A   p r o b a b i l i t y   ( 1   =   h i g h ,   3   =   l o w ) < / S h o r t D e s c >  
                     < E n t i t y T y p e > I S S R < / E n t i t y T y p e >  
                     < I s S c a l a r > t r u e < / I s S c a l a r >  
                     < D a t a T y p e > I N T E G E R 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< / F o r m a t M a s k >  
                     < K e y w o r d O r d e r > 2 1 0 < / K e y w o r d O r d e r >  
                     < K e y w o r d S e c t i o n I d > 1 3 A < / K e y w o r d S e c t i o n I d >  
                 < / K e y w o r d M e t a d a t a W r a p p e r >  
                 < K e y w o r d M e t a d a t a W r a p p e r >  
                     < K e y w o r d > S A L E S < / K e y w o r d >  
                     < K e y w o r d T y p e > C N T B < / K e y w o r d T y p e >  
                     < S h o r t D e s c > S a l e s ,   n e t   r e v e n u e 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< / F o r m a t M a s k >  
                     < K e y w o r d O r d e r > 1 5 5 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 C O S T _ G D _ S D < / K e y w o r d >  
                     < K e y w o r d T y p e > C N T B < / K e y w o r d T y p e >  
                     < S h o r t D e s c > C o s t   o f   g o o d s   s o l d ,   C O G S 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 2 3 0 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 S E L _ G L _ A D < / K e y w o r d >  
                     < K e y w o r d T y p e > C N T B < / K e y w o r d T y p e >  
                     < S h o r t D e s c > S G & a m p ; A ,   s e l l i n g ,   g e n e r a l   a n d   a d m i n .   e x p e n s e 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 2 5 5 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 O P _ C O S T < / K e y w o r d >  
                     < K e y w o r d T y p e > C N T B < / K e y w o r d T y p e >  
                     < S h o r t D e s c > T o t a l   o p e r a t i n g   e x p e n s e 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 2 6 5 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 R D _ E X P < / K e y w o r d >  
                     < K e y w o r d T y p e > C N T B < / K e y w o r d T y p e >  
                     < S h o r t D e s c > R & a m p ; D   e x p e n s e 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 2 7 0 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 E S O _ P R E _ T A X < / K e y w o r d >  
                     < K e y w o r d T y p e > C N T B < / K e y w o r d T y p e >  
                     < S h o r t D e s c > E S O   e x p e n s e   ( p r e - t a x ) 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 2 7 1 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 O T H _ O P _ I N C _ E X P < / K e y w o r d >  
                     < K e y w o r d T y p e > C N T B < / K e y w o r d T y p e >  
                     < S h o r t D e s c > O t h e r   o p e r a t i n g   i n c o m e / ( e x p e n s e )   ( i n c l .   l e a s e s ) 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 2 7 2 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 T O T _ O P S _ E X P _ D D A < / K e y w o r d >  
                     < K e y w o r d T y p e > C N T B < / K e y w o r d T y p e >  
                     < S h o r t D e s c > T o t a l   o p e r a t i n g   e x p e n s e   ( i n c l .   D & a m p ; A ) 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 3 2 5 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 T O T _ O P S _ E X P < / K e y w o r d >  
                     < K e y w o r d T y p e > C N T B < / K e y w o r d T y p e >  
                     < S h o r t D e s c > T o t a l   o p e r a t i n g   e x p e n s e   ( e x c l .   D & a m p ; A ) 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 3 3 0 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 E B I T D A _ C A L C < / K e y w o r d >  
                     < K e y w o r d T y p e > C N T B < / K e y w o r d T y p e >  
                     < S h o r t D e s c > E B I T D A 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 3 3 5 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 D E P R E C < / K e y w o r d >  
                     < K e y w o r d T y p e > C N T B < / K e y w o r d T y p e >  
                     < S h o r t D e s c > D e p r e c i a t i o n 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 3 4 5 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 G O O D W I L L _ A M O R T < / K e y w o r d >  
                     < K e y w o r d T y p e > C N T B < / K e y w o r d T y p e >  
                     < S h o r t D e s c > A m o r t i z a t i o n 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 3 5 0 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 E B I T < / K e y w o r d >  
                     < K e y w o r d T y p e > C N T B < / K e y w o r d T y p e >  
                     < S h o r t D e s c > E B I T ,   o p e r a t i n g   p r o f i t 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 3 7 5 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 I N T _ I N C _ I N D < / K e y w o r d >  
                     < K e y w o r d T y p e > C N T B < / K e y w o r d T y p e >  
                     < S h o r t D e s c > I n t e r e s t   i n c o m e 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 3 8 5 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 I N T _ E X P _ I N D < / K e y w o r d >  
                     < K e y w o r d T y p e > C N T B < / K e y w o r d T y p e >  
                     < S h o r t D e s c > I n t e r e s t   e x p e n s e 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 3 9 0 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 N E T _ I N T _ E X P < / K e y w o r d >  
                     < K e y w o r d T y p e > C N T B < / K e y w o r d T y p e >  
                     < S h o r t D e s c > N e t   i n t e r e s t   i n c o m e / ( e x p e n s e ) 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 4 0 5 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 A S S O C I A T E < / K e y w o r d >  
                     < K e y w o r d T y p e > C N T B < / K e y w o r d T y p e >  
                     < S h o r t D e s c > I n c o m e / ( l o s s )   f r o m   u n c o n s o l i d a t e d   s u b s   & a m p ;   a s s o c i a t e s 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 4 1 0 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 P R O F I T _ O N _ D I S P < / K e y w o r d >  
                     < K e y w o r d T y p e > C N T B < / K e y w o r d T y p e >  
                     < S h o r t D e s c > P r o f i t / ( l o s s )   o n   d i s p o s a l s   o f   a s s e t s ,   p r e - t a x 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 4 1 5 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 O T H _ C O S T _ I N C < / K e y w o r d >  
                     < K e y w o r d T y p e > C N T B < / K e y w o r d T y p e >  
                     < S h o r t D e s c > O t h e r   n o n - o p s   i n c o m e / ( e x p e n s e ) 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 4 3 0 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 P T _ P R O F < / K e y w o r d >  
                     < K e y w o r d T y p e > C N T B < / K e y w o r d T y p e >  
                     < S h o r t D e s c > P r e - t a x   p r o f i t 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 4 6 0 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 L E A S E _ P A Y < / K e y w o r d >  
                     < K e y w o r d T y p e > C N T B < / K e y w o r d T y p e >  
                     < S h o r t D e s c > O p e r a t i n g   l e a s e   c o s t 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 1 0 0 < / K e y w o r d O r d e r >  
                     < K e y w o r d S e c t i o n I d > 1 3 V < / K e y w o r d S e c t i o n I d >  
                 < / K e y w o r d M e t a d a t a W r a p p e r >  
                 < K e y w o r d M e t a d a t a W r a p p e r >  
                     < K e y w o r d > L E A S E _ D E E M _ I N T < / K e y w o r d >  
                     < K e y w o r d T y p e > C N T B < / K e y w o r d T y p e >  
                     < S h o r t D e s c > L e a s e   p a y m e n t s   ( d e e m e d   i n t e r e s t   p o r t i o n ) 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 1 0 1 < / K e y w o r d O r d e r >  
                     < K e y w o r d S e c t i o n I d > 1 3 V < / K e y w o r d S e c t i o n I d >  
                 < / K e y w o r d M e t a d a t a W r a p p e r >  
                 < K e y w o r d M e t a d a t a W r a p p e r >  
                     < K e y w o r d > L E A S E _ D E E M _ D E P R < / K e y w o r d >  
                     < K e y w o r d T y p e > C N T B < / K e y w o r d T y p e >  
                     < S h o r t D e s c > L e a s e   p a y m e n t s   ( d e e m e d   d e p r e c i a t i o n   p o r t i o n ) 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 1 0 2 < / K e y w o r d O r d e r >  
                     < K e y w o r d S e c t i o n I d > 1 3 V < / K e y w o r d S e c t i o n I d >  
                 < / K e y w o r d M e t a d a t a W r a p p e r >  
                 < K e y w o r d M e t a d a t a W r a p p e r >  
                     < K e y w o r d > N E T _ I N T _ C H < / K e y w o r d >  
                     < K e y w o r d T y p e > C N T B < / K e y w o r d T y p e >  
                     < S h o r t D e s c > G r o s s   i n t e r e s t   c h a r g e 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 1 1 0 < / K e y w o r d O r d e r >  
                     < K e y w o r d S e c t i o n I d > 1 3 V < / K e y w o r d S e c t i o n I d >  
                 < / K e y w o r d M e t a d a t a W r a p p e r >  
                 < K e y w o r d M e t a d a t a W r a p p e r >  
                     < K e y w o r d > A S S O C I A T E _ O P < / K e y w o r d >  
                     < K e y w o r d T y p e > C N T B < / K e y w o r d T y p e >  
                     < S h o r t D e s c > I n c o m e   f r o m   a s s o c i a t e s   ( o p e r a t i n g ) 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 1 1 1 < / K e y w o r d O r d e r >  
                     < K e y w o r d S e c t i o n I d > 1 3 V < / K e y w o r d S e c t i o n I d >  
                 < / K e y w o r d M e t a d a t a W r a p p e r >  
                 < K e y w o r d M e t a d a t a W r a p p e r >  
                     < K e y w o r d > D E P R _ R O U _ A S S E T S < / K e y w o r d >  
                     < K e y w o r d T y p e > C N T B < / K e y w o r d T y p e >  
                     < S h o r t D e s c > D e p r e c i a t i o n   R O U   a s s e t s       ( a p p l i c a b l e   t o   I F R S   c o s . ) 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 6 3 5 0 < / K e y w o r d O r d e r >  
                     < K e y w o r d S e c t i o n I d > 1 3 V < / K e y w o r d S e c t i o n I d >  
                 < / K e y w o r d M e t a d a t a W r a p p e r >  
                 < K e y w o r d M e t a d a t a W r a p p e r >  
                     < K e y w o r d > L E A S E _ I N T _ C H G < / K e y w o r d >  
                     < K e y w o r d T y p e > C N T B < / K e y w o r d T y p e >  
                     < S h o r t D e s c > L e a s e   i n t e r e s t   c h a r g e     ( a p p l i c a b l e   t o   I F R S   c o s . ) 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 6 4 0 0 < / K e y w o r d O r d e r >  
                     < K e y w o r d S e c t i o n I d > 1 3 V < / K e y w o r d S e c t i o n I d >  
                 < / K e y w o r d M e t a d a t a W r a p p e r >  
                 < K e y w o r d M e t a d a t a W r a p p e r >  
                     < K e y w o r d > L E A S E _ A D O P T < / K e y w o r d >  
                     < K e y w o r d T y p e > C N T B < / K e y w o r d T y p e >  
                     < S h o r t D e s c > L e a s e   s t a n d a r d   a d o p t e d   ( U S   G A A P   A S C   8 4 2 /   I F R S   1 6 ) < / S h o r t D e s c >  
                     < E n t i t y T y p e > I S S R < / E n t i t y T y p e >  
                     < I s S c a l a r > t r u e < / I s S c a l a r >  
                     < D a t a T y p e > E N U M < / D a t a T y p e >  
                     < E n u m O p t i o n s >  
                         < K e y w o r d E n u m W r a p p e r >  
                             < D i s p l a y N a m e > Y < / D i s p l a y N a m e >  
                             < E n u m C o d e > Y < / E n u m C o d e >  
                         < / K e y w o r d E n u m W r a p p e r >  
                         < K e y w o r d E n u m W r a p p e r >  
                             < D i s p l a y N a m e > N < / D i s p l a y N a m e >  
                             < E n u m C o d e > N < / E n u m C o d e >  
                         < / K e y w o r d E n u m W r a p p e r >  
                     < / E n u m O p t i o n s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/ >  
                     < K e y w o r d O r d e r > 6 4 5 0 < / K e y w o r d O r d e r >  
                     < K e y w o r d S e c t i o n I d > 1 3 V < / K e y w o r d S e c t i o n I d >  
                 < / K e y w o r d M e t a d a t a W r a p p e r >  
                 < K e y w o r d M e t a d a t a W r a p p e r >  
                     < K e y w o r d > C A S H _ E Q < / K e y w o r d >  
                     < K e y w o r d T y p e > C N T B < / K e y w o r d T y p e >  
                     < S h o r t D e s c > C a s h   & a m p ;   c a s h   e q u i v a l e n t s 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 8 5 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 D E B T O R S < / K e y w o r d >  
                     < K e y w o r d T y p e > C N T B < / K e y w o r d T y p e >  
                     < S h o r t D e s c > A c c o u n t s   r e c e i v a b l e 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 1 9 0 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 S T O C K S < / K e y w o r d >  
                     < K e y w o r d T y p e > C N T B < / K e y w o r d T y p e >  
                     < S h o r t D e s c > I n v e n t o r y 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 2 4 0 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 O T H _ C U R _ A S S < / K e y w o r d >  
                     < K e y w o r d T y p e > C N T B < / K e y w o r d T y p e >  
                     < S h o r t D e s c > O t h e r   c u r r e n t   a s s e t s 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 2 7 0 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 C U R _ A S S < / K e y w o r d >  
                     < K e y w o r d T y p e > C N T B < / K e y w o r d T y p e >  
                     < S h o r t D e s c > T o t a l   c u r r e n t   a s s e t s 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 2 8 5 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 G R _ F I X _ A S S < / K e y w o r d >  
                     < K e y w o r d T y p e > C N T B < / K e y w o r d T y p e >  
                     < S h o r t D e s c > G r o s s   f i x e d   a s s e t s ,   P P & a m p ; E 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 2 9 0 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 A C C _ D D A < / K e y w o r d >  
                     < K e y w o r d T y p e > C N T B < / K e y w o r d T y p e >  
                     < S h o r t D e s c > A c c u m u l a t e d   d e p r e c i a t i o n 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 3 0 0 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 N E T _ F I X _ A S S < / K e y w o r d >  
                     < K e y w o r d T y p e > C N T B < / K e y w o r d T y p e >  
                     < S h o r t D e s c > N e t   P P & a m p ; E 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 3 0 5 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 G R _ I N T A N G < / K e y w o r d >  
                     < K e y w o r d T y p e > C N T B < / K e y w o r d T y p e >  
                     < S h o r t D e s c > G r o s s   i n t a n g i b l e s 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 3 3 5 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 A C C _ A M O R T < / K e y w o r d >  
                     < K e y w o r d T y p e > C N T B < / K e y w o r d T y p e >  
                     < S h o r t D e s c > A c c u m u l a t e d   a m o r t i z a t i o n 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 3 4 0 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 N E T _ I N T A N G < / K e y w o r d >  
                     < K e y w o r d T y p e > C N T B < / K e y w o r d T y p e >  
                     < S h o r t D e s c > N e t   i n t a n g i b l e   a s s e t s 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 3 5 5 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 F I X _ A S S _ I N V < / K e y w o r d >  
                     < K e y w o r d T y p e > C N T B < / K e y w o r d T y p e >  
                     < S h o r t D e s c > E q u i t y   m e t h o d   i n v e s t m e n t s 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 3 7 0 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 I N V _ S E C U R < / K e y w o r d >  
                     < K e y w o r d T y p e > C N T B < / K e y w o r d T y p e >  
                     < S h o r t D e s c > I n v e s t m e n t s   i n   s e c u r i t i e s 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 3 7 5 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 O T H _ L T _ A S S < / K e y w o r d >  
                     < K e y w o r d T y p e > C N T B < / K e y w o r d T y p e >  
                     < S h o r t D e s c > O t h e r   l o n g - t e r m   a s s e t s 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 3 8 0 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 T O T _ A S S E T < / K e y w o r d >  
                     < K e y w o r d T y p e > C N T B < / K e y w o r d T y p e >  
                     < S h o r t D e s c > T o t a l   a s s e t s 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 3 9 0 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 A C C _ P A Y _ G Q < / K e y w o r d >  
                     < K e y w o r d T y p e > C N T B < / K e y w o r d T y p e >  
                     < S h o r t D e s c > A c c o u n t s   p a y a b l e 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 4 9 5 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 S H O R T _ T _ D E B T < / K e y w o r d >  
                     < K e y w o r d T y p e > C N T B < / K e y w o r d T y p e >  
                     < S h o r t D e s c > S h o r t - t e r m   d e b t 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 5 6 5 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 S T _ L E A S E _ L I A B < / K e y w o r d >  
                     < K e y w o r d T y p e > C N T B < / K e y w o r d T y p e >  
                     < S h o r t D e s c > C u r r e n t   l e a s e   l i a b i l i t i e s   ( o p   l e a s e :   U S   G A A P ) 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 5 6 9 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 O T H _ C U R _ L I A B S < / K e y w o r d >  
                     < K e y w o r d T y p e > C N T B < / K e y w o r d T y p e >  
                     < S h o r t D e s c > O t h e r   c u r r e n t   l i a b i l i t i e s 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 5 7 0 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 S H O R T _ T E R M _ L I A B S < / K e y w o r d >  
                     < K e y w o r d T y p e > C N T B < / K e y w o r d T y p e >  
                     < S h o r t D e s c > T o t a l   c u r r e n t   l i a b i l i t i e s 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 5 7 5 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 L T _ D E B T < / K e y w o r d >  
                     < K e y w o r d T y p e > C N T B < / K e y w o r d T y p e >  
                     < S h o r t D e s c > L o n g - t e r m     d e b t 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 5 8 5 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 L T _ L E A S E _ L I A B < / K e y w o r d >  
                     < K e y w o r d T y p e > C N T B < / K e y w o r d T y p e >  
                     < S h o r t D e s c > N o n - c u r r e n t   l e a s e   l i a b i l i t i e s   ( o p   l e a s e :   U S   G A A P ) 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 5 8 8 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 O T H _ L T _ C R E D _ G Q < / K e y w o r d >  
                     < K e y w o r d T y p e > C N T B < / K e y w o r d T y p e >  
                     < S h o r t D e s c > O t h e r   l o n g - t e r m   l i a b i l i t i e s 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 6 1 5 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 T O T _ L T _ L I A B < / K e y w o r d >  
                     < K e y w o r d T y p e > C N T B < / K e y w o r d T y p e >  
                     < S h o r t D e s c > T o t a l   l o n g - t e r m   l i a b i l i t i e s 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 6 2 0 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 T O T _ L I A B < / K e y w o r d >  
                     < K e y w o r d T y p e > C N T B < / K e y w o r d T y p e >  
                     < S h o r t D e s c > T o t a l   l i a b i l i t i e s 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 6 4 5 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 P R E F _ S H < / K e y w o r d >  
                     < K e y w o r d T y p e > C N T B < / K e y w o r d T y p e >  
                     < S h o r t D e s c > P r e f e r r e d   s h a r e s 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 6 7 5 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 O R D _ S H _ F U N D < / K e y w o r d >  
                     < K e y w o r d T y p e > C N T B < / K e y w o r d T y p e >  
                     < S h o r t D e s c > T o t a l   c o m m o n   e q u i t y 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 6 8 0 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 M I N O R I T I E S < / K e y w o r d >  
                     < K e y w o r d T y p e > C N T B < / K e y w o r d T y p e >  
                     < S h o r t D e s c > M i n o r i t y   i n t e r e s t 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 7 0 5 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 E Q < / K e y w o r d >  
                     < K e y w o r d T y p e > C N T B < / K e y w o r d T y p e >  
                     < S h o r t D e s c > T o t a l   s h a r e h o l d e r s '   e q u i t y 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 7 1 0 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 T O T _ L I A B _ E Q < / K e y w o r d >  
                     < K e y w o r d T y p e > C N T B < / K e y w o r d T y p e >  
                     < S h o r t D e s c > T o t a l   l i a b i l i t i e s   a n d   e q u i t y 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 7 2 0 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 T O T _ U S D _ D E B T < / K e y w o r d >  
                     < K e y w o r d T y p e > C N T B < / K e y w o r d T y p e >  
                     < S h o r t D e s c > T o t a l   U S $   d e b t   ( i n   U S $ ) 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 T O T _ P C T _ U S D _ D E B T _ H E D G E D < / K e y w o r d >  
                     < K e y w o r d T y p e > C N T B < / K e y w o r d T y p e >  
                     < S h o r t D e s c > %   U S $   d e b t   h e d g e d   ( p r i n c i p a l ) 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 4 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 F L O A T I N G _ P C T _ L O C A L _ D E B T < / K e y w o r d >  
                     < K e y w o r d T y p e > C N T B < / K e y w o r d T y p e >  
                     < S h o r t D e s c > %   F l o a t i n g   d e b t   ( l o c a l   c u r r e n c y   d e b t ) 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 6 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 F L O A T I N G _ P C T _ L O C A L _ D E B T _ H E D G E D < / K e y w o r d >  
                     < K e y w o r d T y p e > C N T B < / K e y w o r d T y p e >  
                     < S h o r t D e s c > %   f l o a t i n g   d e b t   h e d g e d   ( r a t e s ) 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 8 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 N E T _ D E B T < / K e y w o r d >  
                     < K e y w o r d T y p e > C N T B < / K e y w o r d T y p e >  
                     < S h o r t D e s c > N e t   d e b t 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 1 3 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 C A P _ L E A S E S < / K e y w o r d >  
                     < K e y w o r d T y p e > C N T B < / K e y w o r d T y p e >  
                     < S h o r t D e s c > C a p i t a l i z e d   o p e r a t i n g   l e a s e s   ( o f f - b a l a n c e   s h e e t ) 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 2 0 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 D E F _ I N C _ T A X < / K e y w o r d >  
                     < K e y w o r d T y p e > C N T B < / K e y w o r d T y p e >  
                     < S h o r t D e s c > D e f e r r e d   i n c o m e   t a x e s 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 2 5 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 N E T _ O P _ L O S S _ C F W D < / K e y w o r d >  
                     < K e y w o r d T y p e > C N T B < / K e y w o r d T y p e >  
                     < S h o r t D e s c > N e t   o p e r a t i n g   l o s s   c a r r y f o r w a r d s   ( N O L s ) 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 2 7 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 M V _ A S S O C I A T E S < / K e y w o r d >  
                     < K e y w o r d T y p e > C N T B < / K e y w o r d T y p e >  
                     < S h o r t D e s c > A s s o c i a t e s   ( m k t   v a l u e )   u s e d   i n   E V   c a l c u l a t i o n 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 3 0 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 N E T _ D E B T _ A D J < / K e y w o r d >  
                     < K e y w o r d T y p e > C N T B < / K e y w o r d T y p e >  
                     < S h o r t D e s c > N e t   d e b t   a d j u s t m e n t 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 3 5 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 C O _ B O R _ M A R G I N < / K e y w o r d >  
                     < K e y w o r d T y p e > C N T B < / K e y w o r d T y p e >  
                     < S h o r t D e s c > C o m p a n y   b o r r o w i n g   m a r g i n 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 f 0 % < / F o r m a t M a s k >  
                     < K e y w o r d O r d e r > 4 0 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 U N F _ P E N S < / K e y w o r d >  
                     < K e y w o r d T y p e > C N T B < / K e y w o r d T y p e >  
                     < S h o r t D e s c > U n f u n d e d   p e n s i o n s   & a m p ;   o t h e r   p r o v i s i o n s 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 4 5 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 U N F _ P E N S _ O F F < / K e y w o r d >  
                     < K e y w o r d T y p e > C N T B < / K e y w o r d T y p e >  
                     < S h o r t D e s c > U n f u n d e d   p e n s i o n   l i a b i l i t i e s   ( o f f   b a l a n c e   s h e e t ) 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 5 0 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 U N F _ P E N S _ L I A B _ O T H < / K e y w o r d >  
                     < K e y w o r d T y p e > C N T B < / K e y w o r d T y p e >  
                     < S h o r t D e s c > U n f u n d e d   p e n s i o n   l i a b i l i t i e s   & a m p ;   o t h e r ,   u s e d   i n   E V 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 5 5 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 A D J _ U N F _ P E N S _ G O O D < / K e y w o r d >  
                     < K e y w o r d T y p e > C N T B < / K e y w o r d T y p e >  
                     < S h o r t D e s c > A d j u s t m e n t   f o r   u n f u n d e d   p e n s i o n s   & a m p ;   g o o d w i l l 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 6 0 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 O T H _ G C I _ A D J < / K e y w o r d >  
                     < K e y w o r d T y p e > C N T B < / K e y w o r d T y p e >  
                     < S h o r t D e s c > O t h e r   G C I   a d j u s t m e n t s 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 6 3 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 G C I _ I N F L < / K e y w o r d >  
                     < K e y w o r d T y p e > C N T B < / K e y w o r d T y p e >  
                     < S h o r t D e s c > G C I   i n f l a t o r 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 6 5 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 B A L _ M I N O _ I N T < / K e y w o r d >  
                     < K e y w o r d T y p e > C N T B < / K e y w o r d T y p e >  
                     < S h o r t D e s c > M i n o r i t y   i n t e r e s t 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 6 6 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 R O U _ A S S E T < / K e y w o r d >  
                     < K e y w o r d T y p e > C N T B < / K e y w o r d T y p e >  
                     < S h o r t D e s c > R i g h t - o f - u s e   a s s e t s   ( o p   l e a s e   a s s e t s   u n d e r   U S   G A A P ) 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 6 2 5 0 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 C F _ I N C _ M I N O R I T Y < / K e y w o r d >  
                     < K e y w o r d T y p e > C N T B < / K e y w o r d T y p e >  
                     < S h o r t D e s c > M i n o r i t y   i n t e r e s t   a d d - b a c k 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 1 5 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 D E P R _ A M O R T < / K e y w o r d >  
                     < K e y w o r d T y p e > C N T B < / K e y w o r d T y p e >  
                     < S h o r t D e s c > D e p r e c i a t i o n   & a m p ;   a m o r t i z a t i o n   a d d - b a c k 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 2 0 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 W O R K _ C A P < / K e y w o r d >  
                     < K e y w o r d T y p e > C N T B < / K e y w o r d T y p e >  
                     < S h o r t D e s c > ( I n c r e a s e ) / d e c r e a s e   i n   w o r k i n g   c a p i t a l 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 2 5 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 O T H _ O P _ C F < / K e y w o r d >  
                     < K e y w o r d T y p e > C N T B < / K e y w o r d T y p e >  
                     < S h o r t D e s c > O t h e r   o p e r a t i n g   c a s h   f l o w   i t e m s 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 3 0 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 C F _ O P S < / K e y w o r d >  
                     < K e y w o r d T y p e > C N T B < / K e y w o r d T y p e >  
                     < S h o r t D e s c > C a s h   f l o w   f r o m   o p e r a t i n g   a c t i v i t i e s 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 3 5 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 C A P E X < / K e y w o r d >  
                     < K e y w o r d T y p e > C N T B < / K e y w o r d T y p e >  
                     < S h o r t D e s c > C a p i t a l   e x p e n d i t u r e s ,   C a p e x 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 4 0 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 A C Q < / K e y w o r d >  
                     < K e y w o r d T y p e > C N T B < / K e y w o r d T y p e >  
                     < S h o r t D e s c > A c q u i s i t i o n s 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 4 5 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 D I V E S T < / K e y w o r d >  
                     < K e y w o r d T y p e > C N T B < / K e y w o r d T y p e >  
                     < S h o r t D e s c > D i v e s t i t u r e s 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 5 0 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 O T H _ I N V _ C F < / K e y w o r d >  
                     < K e y w o r d T y p e > C N T B < / K e y w o r d T y p e >  
                     < S h o r t D e s c > O t h e r   i n v e s t i n g   c a s h   f l o w   i t e m s 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 5 5 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 C F _ I N V < / K e y w o r d >  
                     < K e y w o r d T y p e > C N T B < / K e y w o r d T y p e >  
                     < S h o r t D e s c > C a s h   f l o w   f r o m   i n v e s t i n g 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 6 0 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 D I V _ P A I D < / K e y w o r d >  
                     < K e y w o r d T y p e > C N T B < / K e y w o r d T y p e >  
                     < S h o r t D e s c > D i v i d e n d s   p a i d 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 6 5 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 S H _ R E P U R < / K e y w o r d >  
                     < K e y w o r d T y p e > C N T B < / K e y w o r d T y p e >  
                     < S h o r t D e s c > C o m m o n   s t o c k   i s s u a n c e / ( r e p u r c h a s e ) 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 7 0 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 C H G _ L T _ D E B T < / K e y w o r d >  
                     < K e y w o r d T y p e > C N T B < / K e y w o r d T y p e >  
                     < S h o r t D e s c > I n c r e a s e / ( d e c r e a s e )   i n   t o t a l   d e b t 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 7 1 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 L E A S E _ P R I N C I P A L _ C A S H < / K e y w o r d >  
                     < K e y w o r d T y p e > C N T B < / K e y w o r d T y p e >  
                     < S h o r t D e s c > L e a s e   p r i n c i p a l   p a y m e n t s     ( a p p l i c a b l e   t o   I F R S   c o s . ) 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 7 5 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 O T H _ F I N _ C F < / K e y w o r d >  
                     < K e y w o r d T y p e > C N T B < / K e y w o r d T y p e >  
                     < S h o r t D e s c > O t h e r   f i n a n c i n g   c a s h   f l o w   i t e m s 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 8 0 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 C F _ F I N < / K e y w o r d >  
                     < K e y w o r d T y p e > C N T B < / K e y w o r d T y p e >  
                     < S h o r t D e s c > C a s h   f l o w   f r o m   f i n a n c i n g 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 8 5 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 T O T _ C F < / K e y w o r d >  
                     < K e y w o r d T y p e > C N T B < / K e y w o r d T y p e >  
                     < S h o r t D e s c > T o t a l   c a s h   f l o w 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 1 0 0 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 A S S O C _ J V _ A D D B K < / K e y w o r d >  
                     < K e y w o r d T y p e > C N T B < / K e y w o r d T y p e >  
                     < S h o r t D e s c > A s s o c i a t e   a n d   J V   a d d - b a c k 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 1 0 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 P L _ S A L E _ A S S E T S < / K e y w o r d >  
                     < K e y w o r d T y p e > C N T B < / K e y w o r d T y p e >  
                     < S h o r t D e s c > P r o f i t / ( l o s s )   o n   s a l e   o f   a s s e t s 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 2 0 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 O T H _ N O N C A S H _ A D J < / K e y w o r d >  
                     < K e y w o r d T y p e > C N T B < / K e y w o r d T y p e >  
                     < S h o r t D e s c > O t h e r   n o n - c a s h   a d j u s t m e n t s 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 3 0 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 O T H _ D A C F _ A D J < / K e y w o r d >  
                     < K e y w o r d T y p e > C N T B < / K e y w o r d T y p e >  
                     < S h o r t D e s c > O t h e r   D A C F   a d j u s t m e n t s 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 3 5 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 C H G _ D E F _ T A X _ C F < / K e y w o r d >  
                     < K e y w o r d T y p e > C N T B < / K e y w o r d T y p e >  
                     < S h o r t D e s c > C h a n g e   i n   L T   d e f e r r e d   i n c o m e   t a x e s   ( C a s h   f l o w ) 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 3 7 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 O T H _ A D J _ C A S H _ T A X < / K e y w o r d >  
                     < K e y w o r d T y p e > C N T B < / K e y w o r d T y p e >  
                     < S h o r t D e s c > O t h e r   i t e m s / a d j u s t m e n t s   f o r   c o m p u t i n g   c a s h   t a x   r a t e   ( e x c e p t   d e f   t a x e s ) 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 3 8 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 C A S H _ I N T _ E X P < / K e y w o r d >  
                     < K e y w o r d T y p e > C N T B < / K e y w o r d T y p e >  
                     < S h o r t D e s c > C a s h   i n t e r e s t   e x p e n s e 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 4 0 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 C A S H _ T A X _ E X P < / K e y w o r d >  
                     < K e y w o r d T y p e > C N T B < / K e y w o r d T y p e >  
                     < S h o r t D e s c > C a s h   t a x   e x p e n s e 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 5 0 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 D I V D S _ A S S O C _ J V < / K e y w o r d >  
                     < K e y w o r d T y p e > C N T B < / K e y w o r d T y p e >  
                     < S h o r t D e s c > D i v i d e n d s   r e c e i v e d   f r o m   a s s o c i a t e s / J V s 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 6 0 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 C A P E X _ M A I N T E N A N C E < / K e y w o r d >  
                     < K e y w o r d T y p e > C N T B < / K e y w o r d T y p e >  
                     < S h o r t D e s c > C a p e x   m a i n t e n a n c e 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 7 0 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 C A P E X _ E X P A N S I O N < / K e y w o r d >  
                     < K e y w o r d T y p e > C N T B < / K e y w o r d T y p e >  
                     < S h o r t D e s c > C a p e x   e x p a n s i o n 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 8 0 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 N O N P P E _ C A P E X < / K e y w o r d >  
                     < K e y w o r d T y p e > C N T B < / K e y w o r d T y p e >  
                     < S h o r t D e s c > N o n - P P & a m p ; E   c a p e x 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 9 0 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 D I V D S _ P D _ M I N O R I T I E S < / K e y w o r d >  
                     < K e y w o r d T y p e > C N T B < / K e y w o r d T y p e >  
                     < S h o r t D e s c > D i v i d e n d s   p a i d   t o   m i n o r i t i e s 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 1 0 0 < / K e y w o r d O r d e r >  
                     < K e y w o r d S e c t i o n I d > 1 3 1 J < / K e y w o r d S e c t i o n I d >  
                 < / K e y w o r d M e t a d a t a W r a p p e r >  
                 < K e y w o r d M e t a d a t a W r a p p e r >  
                     < K e y w o r d > E M P L O Y E E S < / K e y w o r d >  
                     < K e y w o r d T y p e > C N T B < / K e y w o r d T y p e >  
                     < S h o r t D e s c > N u m b e r   o f   e m p l o y e e s 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 0 < / K e y w o r d O r d e r >  
                     < K e y w o r d S e c t i o n I d > 1 3 1 O < / K e y w o r d S e c t i o n I d >  
                 < / K e y w o r d M e t a d a t a W r a p p e r >  
                 < K e y w o r d M e t a d a t a W r a p p e r >  
                     < K e y w o r d > S A L E S _ C A N A D A < / K e y w o r d >  
                     < K e y w o r d T y p e > C N T B < / K e y w o r d T y p e >  
                     < S h o r t D e s c > S a l e s   -   %   C a n a d a 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 S A L E S _ U S < / K e y w o r d >  
                     < K e y w o r d T y p e > C N T B < / K e y w o r d T y p e >  
                     < S h o r t D e s c > S a l e s   -   %   U n i t e d   S t a t e s 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 1 2 0 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 S A L E S _ O T H _ N O _ A M E R < / K e y w o r d >  
                     < K e y w o r d T y p e > C N T B < / K e y w o r d T y p e >  
                     < S h o r t D e s c > S a l e s   -   %   O t h e r   N o r t h   A m e r i c a s 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 1 4 0 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 S A L E S _ A R G E N T I N A < / K e y w o r d >  
                     < K e y w o r d T y p e > C N T B < / K e y w o r d T y p e >  
                     < S h o r t D e s c > S a l e s   -   %   A r g e n t i n a 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 S A L E S _ B R A Z I L < / K e y w o r d >  
                     < K e y w o r d T y p e > C N T B < / K e y w o r d T y p e >  
                     < S h o r t D e s c > S a l e s   -   %   B r a z i l 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 S A L E S _ C H I L E < / K e y w o r d >  
                     < K e y w o r d T y p e > C N T B < / K e y w o r d T y p e >  
                     < S h o r t D e s c > S a l e s   -   %   C h i l e 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 2 0 0 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 S A L E S _ C O L O M B I A < / K e y w o r d >  
                     < K e y w o r d T y p e > C N T B < / K e y w o r d T y p e >  
                     < S h o r t D e s c > S a l e s   -   %   C o l o m b i a 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 2 2 0 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 S A L E S _ M E X I C O < / K e y w o r d >  
                     < K e y w o r d T y p e > C N T B < / K e y w o r d T y p e >  
                     < S h o r t D e s c > S a l e s   -   %   M e x i c o 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 2 4 0 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 S A L E S _ V E N E Z U E L A < / K e y w o r d >  
                     < K e y w o r d T y p e > C N T B < / K e y w o r d T y p e >  
                     < S h o r t D e s c > S a l e s   -   %   V e n e z u e l a 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 2 6 0 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 S A L E S _ O T H _ L A T A M < / K e y w o r d >  
                     < K e y w o r d T y p e > C N T B < / K e y w o r d T y p e >  
                     < S h o r t D e s c > S a l e s   -   %   O t h e r   L a t i n   A m e r i c a s 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 2 8 0 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 S A L E S _ A U S T R I A < / K e y w o r d >  
                     < K e y w o r d T y p e > C N T B < / K e y w o r d T y p e >  
                     < S h o r t D e s c > S a l e s   -   %   A u s t r i a 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 3 0 0 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 S A L E S _ B E L < / K e y w o r d >  
                     < K e y w o r d T y p e > C N T B < / K e y w o r d T y p e >  
                     < S h o r t D e s c > S a l e s   -   %   B e l g i u m 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 3 2 0 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 S A L E S _ F R A < / K e y w o r d >  
                     < K e y w o r d T y p e > C N T B < / K e y w o r d T y p e >  
                     < S h o r t D e s c > S a l e s   -   %   F r a n c e 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 3 4 0 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 S A L E S _ G E R < / K e y w o r d >  
                     < K e y w o r d T y p e > C N T B < / K e y w o r d T y p e >  
                     < S h o r t D e s c > S a l e s   -   %   G e r m a n y 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 3 6 0 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 S A L E S _ G R E < / K e y w o r d >  
                     < K e y w o r d T y p e > C N T B < / K e y w o r d T y p e >  
                     < S h o r t D e s c > S a l e s   -   %   G r e e c e 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 3 8 0 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 S A L E S _ I R E < / K e y w o r d >  
                     < K e y w o r d T y p e > C N T B < / K e y w o r d T y p e >  
                     < S h o r t D e s c > S a l e s   -   %   I r e l a n d 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 4 0 0 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 S A L E S _ I T A < / K e y w o r d >  
                     < K e y w o r d T y p e > C N T B < / K e y w o r d T y p e >  
                     < S h o r t D e s c > S a l e s   -   %   I t a l y 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 4 2 0 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 S A L E S _ N E T H < / K e y w o r d >  
                     < K e y w o r d T y p e > C N T B < / K e y w o r d T y p e >  
                     < S h o r t D e s c > S a l e s   -   %   N e t h e r l a n d s 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 4 4 0 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 S A L E S _ N O R < / K e y w o r d >  
                     < K e y w o r d T y p e > C N T B < / K e y w o r d T y p e >  
                     < S h o r t D e s c > S a l e s   -   %   N o r w a y 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 4 6 0 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 S A L E S _ P O R < / K e y w o r d >  
                     < K e y w o r d T y p e > C N T B < / K e y w o r d T y p e >  
                     < S h o r t D e s c > S a l e s   -   %   P o r t u g a l 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 4 8 0 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 S A L E S _ S P A < / K e y w o r d >  
                     < K e y w o r d T y p e > C N T B < / K e y w o r d T y p e >  
                     < S h o r t D e s c > S a l e s   -   %   S p a i n 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 5 0 0 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 S A L E S _ S W E < / K e y w o r d >  
                     < K e y w o r d T y p e > C N T B < / K e y w o r d T y p e >  
                     < S h o r t D e s c > S a l e s   -   %   S w e d e n 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 5 2 0 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 S A L E S _ S W I T < / K e y w o r d >  
                     < K e y w o r d T y p e > C N T B < / K e y w o r d T y p e >  
                     < S h o r t D e s c > S a l e s   -   %   S w i t z e r l a n d 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 5 4 0 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 S A L E S _ U K < / K e y w o r d >  
                     < K e y w o r d T y p e > C N T B < / K e y w o r d T y p e >  
                     < S h o r t D e s c > S a l e s   -   %   U K 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 5 6 0 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 S A L E S _ O T H _ W E S T _ E U R O < / K e y w o r d >  
                     < K e y w o r d T y p e > C N T B < / K e y w o r d T y p e >  
                     < S h o r t D e s c > S a l e s   -   %   O t h e r   W e s t e r n   E u r o p e 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 5 8 0 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 S A L E S _ P O L A N D < / K e y w o r d >  
                     < K e y w o r d T y p e > C N T B < / K e y w o r d T y p e >  
                     < S h o r t D e s c > S a l e s   -   %   P o l a n d 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 6 0 0 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 S A L E S _ R U S S I A < / K e y w o r d >  
                     < K e y w o r d T y p e > C N T B < / K e y w o r d T y p e >  
                     < S h o r t D e s c > S a l e s   -   %   R u s s i a 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 6 2 0 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 S A L E S _ T U R K E Y < / K e y w o r d >  
                     < K e y w o r d T y p e > C N T B < / K e y w o r d T y p e >  
                     < S h o r t D e s c > S a l e s   -   %   T u r k e y 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 6 4 0 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 S A L E S _ O T H _ C E E < / K e y w o r d >  
                     < K e y w o r d T y p e > C N T B < / K e y w o r d T y p e >  
                     < S h o r t D e s c > S a l e s   -   %   O t h e r   C E E 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 6 6 0 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 S A L E S _ S A U D I _ A R A B I A < / K e y w o r d >  
                     < K e y w o r d T y p e > C N T B < / K e y w o r d T y p e >  
                     < S h o r t D e s c > S a l e s   -   %   S a u d i   A r a b i a 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 6 8 0 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 S A L E S _ U A E < / K e y w o r d >  
                     < K e y w o r d T y p e > C N T B < / K e y w o r d T y p e >  
                     < S h o r t D e s c > S a l e s   -   %   U n i t e d   A r a b   E m i r a t e s 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 7 0 0 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 S A L E S _ O T H _ M E < / K e y w o r d >  
                     < K e y w o r d T y p e > C N T B < / K e y w o r d T y p e >  
                     < S h o r t D e s c > S a l e s   -   %   O t h e r   M i d d l e   E a s t 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 7 2 0 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 S A L E S _ N I G E R I A < / K e y w o r d >  
                     < K e y w o r d T y p e > C N T B < / K e y w o r d T y p e >  
                     < S h o r t D e s c > S a l e s   -   %   N i g e r i a 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 7 4 0 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 S A L E S _ S O _ A F R I C A < / K e y w o r d >  
                     < K e y w o r d T y p e > C N T B < / K e y w o r d T y p e >  
                     < S h o r t D e s c > S a l e s   -   %   S o u t h   A f r i c a 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 7 6 0 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 S A L E S _ O T H _ A F R I C A < / K e y w o r d >  
                     < K e y w o r d T y p e > C N T B < / K e y w o r d T y p e >  
                     < S h o r t D e s c > S a l e s   -   %   O t h e r   A f r i c a 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 7 8 0 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 S A L E S _ H O N G _ K O N G < / K e y w o r d >  
                     < K e y w o r d T y p e > C N T B < / K e y w o r d T y p e >  
                     < S h o r t D e s c > S a l e s   -   %   H o n g   K o n g 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 8 0 0 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 S A L E S _ J A P A N < / K e y w o r d >  
                     < K e y w o r d T y p e > C N T B < / K e y w o r d T y p e >  
                     < S h o r t D e s c > S a l e s   -   %   J a p a n 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 8 2 0 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 S A L E S _ S I N G A P O R E < / K e y w o r d >  
                     < K e y w o r d T y p e > C N T B < / K e y w o r d T y p e >  
                     < S h o r t D e s c > S a l e s   -   %   S i n g a p o r e 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 8 4 0 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 S A L E S _ S K < / K e y w o r d >  
                     < K e y w o r d T y p e > C N T B < / K e y w o r d T y p e >  
                     < S h o r t D e s c > S a l e s   -   %   S o u t h   K o r e a 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 8 6 0 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 S A L E S _ T A I W A N < / K e y w o r d >  
                     < K e y w o r d T y p e > C N T B < / K e y w o r d T y p e >  
                     < S h o r t D e s c > S a l e s   -   %   T a i w a n 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 8 8 0 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 S A L E S _ O T H _ D E V _ A S I A < / K e y w o r d >  
                     < K e y w o r d T y p e > C N T B < / K e y w o r d T y p e >  
                     < S h o r t D e s c > S a l e s   -   %   O t h e r   D e v e l o p e d   A s i a 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 9 0 0 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 S A L E S _ C H I N A < / K e y w o r d >  
                     < K e y w o r d T y p e > C N T B < / K e y w o r d T y p e >  
                     < S h o r t D e s c > S a l e s   -   %   C h i n a 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 9 2 0 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 S A L E S _ I N D I A < / K e y w o r d >  
                     < K e y w o r d T y p e > C N T B < / K e y w o r d T y p e >  
                     < S h o r t D e s c > S a l e s   -   %   I n d i a 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 9 4 0 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 S A L E S _ I N D O N E S I A < / K e y w o r d >  
                     < K e y w o r d T y p e > C N T B < / K e y w o r d T y p e >  
                     < S h o r t D e s c > S a l e s   -   %   I n d o n e s i a 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 9 6 0 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 S A L E S _ T H A I L A N D < / K e y w o r d >  
                     < K e y w o r d T y p e > C N T B < / K e y w o r d T y p e >  
                     < S h o r t D e s c > S a l e s   -   %   T h a i l a n d 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 9 8 0 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 S A L E S _ O T H _ E M E R G _ A S I A < / K e y w o r d >  
                     < K e y w o r d T y p e > C N T B < / K e y w o r d T y p e >  
                     < S h o r t D e s c > S a l e s   -   %   O t h e r   E m e r g i n g   A s i a 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 1 0 0 0 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 S A L E S _ A U S T R A < / K e y w o r d >  
                     < K e y w o r d T y p e > C N T B < / K e y w o r d T y p e >  
                     < S h o r t D e s c > S a l e s   -   %   A u s t r a l i a 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 1 0 2 0 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 S A L E S _ N Z < / K e y w o r d >  
                     < K e y w o r d T y p e > C N T B < / K e y w o r d T y p e >  
                     < S h o r t D e s c > S a l e s   -   %   N e w   Z e a l a n d 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 1 0 4 0 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 S A L E S _ O T H E R < / K e y w o r d >  
                     < K e y w o r d T y p e > C N T B < / K e y w o r d T y p e >  
                     < S h o r t D e s c > S a l e s   -   %   O t h e r s 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 1 0 6 0 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 C O G S _ P C T _ U S < / K e y w o r d >  
                     < K e y w o r d T y p e > C N T B < / K e y w o r d T y p e >  
                     < S h o r t D e s c > %   o f   C o G S   f r o m   U . S .   ( G S   e s t i m a t e ) 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 1 0 6 5 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 C O G S _ P C T _ R O W < / K e y w o r d >  
                     < K e y w o r d T y p e > C N T B < / K e y w o r d T y p e >  
                     < S h o r t D e s c > %   o f   C o G S   f r o m   n o n - U . S .   ( G S   e s t i m a t e ) 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 1 0 6 8 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 S G A _ P C T _ U S < / K e y w o r d >  
                     < K e y w o r d T y p e > C N T B < / K e y w o r d T y p e >  
                     < S h o r t D e s c > %   o f   S G & a m p ; A   f r o m   U . S .   ( G S   e s t i m a t e ) 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 1 0 7 0 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 S G A _ P C T _ R O W < / K e y w o r d >  
                     < K e y w o r d T y p e > C N T B < / K e y w o r d T y p e >  
                     < S h o r t D e s c > %   o f   S G & a m p ; A   f r o m   n o n - U . S .   ( G S   e s t i m a t e ) < / S h o r t D e s c >  
                     < E n t i t y T y p e > I S S R 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 1 0 7 2 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 S A L E S _ C O N S < / K e y w o r d >  
                     < K e y w o r d T y p e > C N T B < / K e y w o r d T y p e >  
                     < S h o r t D e s c > S a l e s   - %   C o n s u m e r   ( C ) 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 1 0 8 0 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 S A L E S _ I N D < / K e y w o r d >  
                     < K e y w o r d T y p e > C N T B < / K e y w o r d T y p e >  
                     < S h o r t D e s c > S a l e s   - %   I n d u s t r y   ( I ) 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 1 1 0 0 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 S A L E S _ G O V < / K e y w o r d >  
                     < K e y w o r d T y p e > C N T B < / K e y w o r d T y p e >  
                     < S h o r t D e s c > S a l e s   - %   G o v e r n m e n t   ( G ) 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 1 1 2 0 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 S A L E S _ F I N A N < / K e y w o r d >  
                     < K e y w o r d T y p e > C N T B < / K e y w o r d T y p e >  
                     < S h o r t D e s c > S a l e s   -   %   I n d u s t r y   S u b - S e g m e n t :   F i n a n c i a l   S e r v i c e s 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 1 1 4 0 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 S A L E S _ O I L _ G A S < / K e y w o r d >  
                     < K e y w o r d T y p e > C N T B < / K e y w o r d T y p e >  
                     < S h o r t D e s c > S a l e s   -   %   I n d u s t r y   S u b - S e g m e n t :   O i l   & a m p ;   G a s 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 1 1 6 0 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 S A L E S _ S M B < / K e y w o r d >  
                     < K e y w o r d T y p e > C N T B < / K e y w o r d T y p e >  
                     < S h o r t D e s c > S a l e s   ( % )   S M B 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 1 1 8 0 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 C A S H _ P C T _ O S _ U S < / K e y w o r d >  
                     < K e y w o r d T y p e > C N T B < / K e y w o r d T y p e >  
                     < S h o r t D e s c > %   o f   t o t a l   c a s h   b a l a n c e   h e l d   o v e r s e a s   ( o u t s i d e   t h e   U S ) 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 2 2 6 0 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 R E V _ F I N _ S E G M E N T < / K e y w o r d >  
                     < K e y w o r d T y p e > C N T B < / K e y w o r d T y p e >  
                     < S h o r t D e s c > S a l e s   -   %   f r o m   C a p t i v e   F i n a n c i n g   B u s i n e s s 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 2 2 8 0 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 E B I T _ F I N _ S E G M E N T < / K e y w o r d >  
                     < K e y w o r d T y p e > C N T B < / K e y w o r d T y p e >  
                     < S h o r t D e s c > O p e r a t i n g   E a r n i n g s   -   %   f r o m   C a p t i v e   F i n a n c i n g   B u s i n e s s 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 2 3 0 0 < / K e y w o r d O r d e r >  
                     < K e y w o r d S e c t i o n I d > 1 3 1 6 8 < / K e y w o r d S e c t i o n I d >  
                 < / K e y w o r d M e t a d a t a W r a p p e r >  
                 < K e y w o r d M e t a d a t a W r a p p e r >  
                     < K e y w o r d > S A L E S _ O T H _ C O M M O D I T Y < / K e y w o r d >  
                     < K e y w o r d T y p e > C N T B < / K e y w o r d T y p e >  
                     < S h o r t D e s c > S a l e s   -   %   O t h e r   c o m m o d i t y 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 4 3 0 0 < / K e y w o r d O r d e r >  
                     < K e y w o r d S e c t i o n I d > 1 3 1 6 S < / K e y w o r d S e c t i o n I d >  
                 < / K e y w o r d M e t a d a t a W r a p p e r >  
                 < K e y w o r d M e t a d a t a W r a p p e r >  
                     < K e y w o r d > S A L E S _ O T H _ S A L E S _ S O U R C E S < / K e y w o r d >  
                     < K e y w o r d T y p e > C N T B < / K e y w o r d T y p e >  
                     < S h o r t D e s c > S a l e s   -   %   O t h e r   ( N o n - C o m m o d i t y )   s a l e s   s o u r c e s 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 4 3 5 0 < / K e y w o r d O r d e r >  
                     < K e y w o r d S e c t i o n I d > 1 3 1 6 S < / K e y w o r d S e c t i o n I d >  
                 < / K e y w o r d M e t a d a t a W r a p p e r >  
                 < K e y w o r d M e t a d a t a W r a p p e r >  
                     < K e y w o r d > E X P _ O I L _ P E T R O _ F U E L < / K e y w o r d >  
                     < K e y w o r d T y p e > C N T B < / K e y w o r d T y p e >  
                     < S h o r t D e s c > E x p e n s e   -   %   O i l / P e t r o l / F u e l 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 4 4 0 0 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 E X P _ O I L _ D E R I V _ N G L S _ P L A S T I C S < / K e y w o r d >  
                     < K e y w o r d T y p e > C N T B < / K e y w o r d T y p e >  
                     < S h o r t D e s c > E x p e n s e   -   %   O i l   d e r i v a t i v e s / N G L s / p l a s t i c s 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 4 5 0 0 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 E X P _ N A T _ G A S < / K e y w o r d >  
                     < K e y w o r d T y p e > C N T B < / K e y w o r d T y p e >  
                     < S h o r t D e s c > E x p e n s e   -   %   N a t   G a s 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 4 6 0 0 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 E X P _ G O L D < / K e y w o r d >  
                     < K e y w o r d T y p e > C N T B < / K e y w o r d T y p e >  
                     < S h o r t D e s c > E x p e n s e   -   %   G o l d 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 4 7 0 0 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 E X P _ C O P P E R < / K e y w o r d >  
                     < K e y w o r d T y p e > C N T B < / K e y w o r d T y p e >  
                     < S h o r t D e s c > E x p e n s e   -   %   C o p p e r 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 4 8 0 0 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 E X P _ S I L V E R < / K e y w o r d >  
                     < K e y w o r d T y p e > C N T B < / K e y w o r d T y p e >  
                     < S h o r t D e s c > E x p e n s e   -   %   S i l v e r 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 4 9 0 0 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 E X P _ P L A T I N U M < / K e y w o r d >  
                     < K e y w o r d T y p e > C N T B < / K e y w o r d T y p e >  
                     < S h o r t D e s c > E x p e n s e   -   %   P l a t i n u m 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 5 0 0 0 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 E X P _ P A L L A D I U M < / K e y w o r d >  
                     < K e y w o r d T y p e > C N T B < / K e y w o r d T y p e >  
                     < S h o r t D e s c > E x p e n s e   -   %   P a l l a d i u m 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 5 1 0 0 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 E X P _ A L U M I N I U M < / K e y w o r d >  
                     < K e y w o r d T y p e > C N T B < / K e y w o r d T y p e >  
                     < S h o r t D e s c > E x p e n s e   -   %   A l u m i n i u m 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 5 2 0 0 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 E X P _ N I C K E L < / K e y w o r d >  
                     < K e y w o r d T y p e > C N T B < / K e y w o r d T y p e >  
                     < S h o r t D e s c > E x p e n s e   -   %   N i c k e l 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 5 3 0 0 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 E X P _ Z I N C < / K e y w o r d >  
                     < K e y w o r d T y p e > C N T B < / K e y w o r d T y p e >  
                     < S h o r t D e s c > E x p e n s e   -   %   Z i n c 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 5 4 0 0 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 E X P _ S T E E L < / K e y w o r d >  
                     < K e y w o r d T y p e > C N T B < / K e y w o r d T y p e >  
                     < S h o r t D e s c > E x p e n s e   -   %   S t e e l 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 5 5 0 0 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 E X P _ G L A S S < / K e y w o r d >  
                     < K e y w o r d T y p e > C N T B < / K e y w o r d T y p e >  
                     < S h o r t D e s c > E x p e n s e   -   %   G l a s s 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 6 4 0 0 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 E X P _ R U B B E R < / K e y w o r d >  
                     < K e y w o r d T y p e > C N T B < / K e y w o r d T y p e >  
                     < S h o r t D e s c > E x p e n s e   -   %   R u b b e r 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 6 6 0 0 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 E X P _ W A T E R < / K e y w o r d >  
                     < K e y w o r d T y p e > C N T B < / K e y w o r d T y p e >  
                     < S h o r t D e s c > E x p e n s e   -   %   W a t e r 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 8 5 0 0 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 E X P _ O T H _ C O M M O D I T Y < / K e y w o r d >  
                     < K e y w o r d T y p e > C N T B < / K e y w o r d T y p e >  
                     < S h o r t D e s c > E x p e n s e   -   %   O t h e r   c o m m o d i t y 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 8 6 0 0 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 E X P _ O T H _ C O S T < / K e y w o r d >  
                     < K e y w o r d T y p e > C N T B < / K e y w o r d T y p e >  
                     < S h o r t D e s c > E x p e n s e   -   %   O t h e r   ( N o n - C o m m o d i t y )   c o s t 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 8 7 0 0 < / K e y w o r d O r d e r >  
                     < K e y w o r d S e c t i o n I d > 1 3 1 6 T < / K e y w o r d S e c t i o n I d >  
                 < / K e y w o r d M e t a d a t a W r a p p e r >  
                 < K e y w o r d M e t a d a t a W r a p p e r >  
                     < K e y w o r d > S A L E S _ F X _ G P B < / K e y w o r d >  
                     < K e y w o r d T y p e > C N T B < / K e y w o r d T y p e >  
                     < S h o r t D e s c > S a l e s   -   %   F X :   B r i t i s h   P o u n d s / P e n c e 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 1 0 0 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 S A L E S _ F X _ E U R < / K e y w o r d >  
                     < K e y w o r d T y p e > C N T B < / K e y w o r d T y p e >  
                     < S h o r t D e s c > S a l e s   -   %   F X :   E u r o 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 2 0 0 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 S A L E S _ F X _ R U B < / K e y w o r d >  
                     < K e y w o r d T y p e > C N T B < / K e y w o r d T y p e >  
                     < S h o r t D e s c > S a l e s   -   %   F X :   N e w   R u s s i a n   R u b l e 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 3 0 0 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 S A L E S _ F X _ U S D < / K e y w o r d >  
                     < K e y w o r d T y p e > C N T B < / K e y w o r d T y p e >  
                     < S h o r t D e s c > S a l e s   -   %   F X :   U . S .   D o l l a r 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 4 0 0 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 S A L E S _ F X _ B R L < / K e y w o r d >  
                     < K e y w o r d T y p e > C N T B < / K e y w o r d T y p e >  
                     < S h o r t D e s c > S a l e s   -   %   F X :   B r a z i l i a n   R e a l 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 5 0 0 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 S A L E S _ F X _ Y E N < / K e y w o r d >  
                     < K e y w o r d T y p e > C N T B < / K e y w o r d T y p e >  
                     < S h o r t D e s c > S a l e s   -   %   F X :   J a p a n e s e   Y e n 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 6 0 0 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 S A L E S _ F X _ C N Y < / K e y w o r d >  
                     < K e y w o r d T y p e > C N T B < / K e y w o r d T y p e >  
                     < S h o r t D e s c > S a l e s   -   %   F X :   C h i n e s e   R e n m i n b i 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 7 0 0 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 S A L E S _ F X _ I N R < / K e y w o r d >  
                     < K e y w o r d T y p e > C N T B < / K e y w o r d T y p e >  
                     < S h o r t D e s c > S a l e s   -   %   F X :   I n d i a n   R u p e e 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 8 0 0 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 S A L E S _ F X _ C A D < / K e y w o r d >  
                     < K e y w o r d T y p e > C N T B < / K e y w o r d T y p e >  
                     < S h o r t D e s c > S a l e s   -   %   F X :   C a n a d i a n   D o l l a r 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 1 4 0 0 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 S A L E S _ F X _ M X N < / K e y w o r d >  
                     < K e y w o r d T y p e > C N T B < / K e y w o r d T y p e >  
                     < S h o r t D e s c > S a l e s   -   %   F X :   M e x i c a n   P e s o 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 1 5 0 0 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 S A L E S _ F X _ C O P < / K e y w o r d >  
                     < K e y w o r d T y p e > C N T B < / K e y w o r d T y p e >  
                     < S h o r t D e s c > S a l e s   -   %   F X :   C o l o m b i a n   P e s o 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 1 6 0 0 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 S A L E S _ F X _ A R S < / K e y w o r d >  
                     < K e y w o r d T y p e > C N T B < / K e y w o r d T y p e >  
                     < S h o r t D e s c > S a l e s   -   %   F X :   A r g e n t i n e   P e s o 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 1 7 0 0 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 S A L E S _ F X _ C L P < / K e y w o r d >  
                     < K e y w o r d T y p e > C N T B < / K e y w o r d T y p e >  
                     < S h o r t D e s c > S a l e s   -   %   F X :   C h i l e a n   P e s o 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 1 8 0 0 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 S A L E S _ F X _ V E F < / K e y w o r d >  
                     < K e y w o r d T y p e > C N T B < / K e y w o r d T y p e >  
                     < S h o r t D e s c > S a l e s   -   %   F X :   V e n e z u e l a n   b o l i v a r 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 1 9 0 0 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 S A L E S _ F X _ O T H < / K e y w o r d >  
                     < K e y w o r d T y p e > C N T B < / K e y w o r d T y p e >  
                     < S h o r t D e s c > S a l e s   -   %   F X :   O t h e r   C u r r e n c y 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 2 6 0 0 < / K e y w o r d O r d e r >  
                     < K e y w o r d S e c t i o n I d > 1 3 1 6 U < / K e y w o r d S e c t i o n I d >  
                 < / K e y w o r d M e t a d a t a W r a p p e r >  
                 < K e y w o r d M e t a d a t a W r a p p e r >  
                     < K e y w o r d > S A L E S _ T O T _ A M < / K e y w o r d >  
                     < K e y w o r d T y p e > C N T B < / K e y w o r d T y p e >  
                     < S h o r t D e s c > S a l e s   -   T o t a l   %   A m e r i c a s 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 1 0 0 < / K e y w o r d O r d e r >  
                     < K e y w o r d S e c t i o n I d > 1 3 6 E < / K e y w o r d S e c t i o n I d >  
                 < / K e y w o r d M e t a d a t a W r a p p e r >  
                 < K e y w o r d M e t a d a t a W r a p p e r >  
                     < K e y w o r d > S A L E S _ O T H _ A M < / K e y w o r d >  
                     < K e y w o r d T y p e > C N T B < / K e y w o r d T y p e >  
                     < S h o r t D e s c > S a l e s   -   %   O t h e r   A m e r i c a s 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 1 5 0 < / K e y w o r d O r d e r >  
                     < K e y w o r d S e c t i o n I d > 1 3 6 E < / K e y w o r d S e c t i o n I d >  
                 < / K e y w o r d M e t a d a t a W r a p p e r >  
                 < K e y w o r d M e t a d a t a W r a p p e r >  
                     < K e y w o r d > S A L E S _ T O T _ E M E A < / K e y w o r d >  
                     < K e y w o r d T y p e > C N T B < / K e y w o r d T y p e >  
                     < S h o r t D e s c > S a l e s   -   T o t a l   %   E M E A 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 2 5 0 < / K e y w o r d O r d e r >  
                     < K e y w o r d S e c t i o n I d > 1 3 6 E < / K e y w o r d S e c t i o n I d >  
                 < / K e y w o r d M e t a d a t a W r a p p e r >  
                 < K e y w o r d M e t a d a t a W r a p p e r >  
                     < K e y w o r d > S A L E S _ E U _ E X _ U K < / K e y w o r d >  
                     < K e y w o r d T y p e > C N T B < / K e y w o r d T y p e >  
                     < S h o r t D e s c > S a l e s   -   %   W e s t e r n   E u r o p e - E x   U K 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 3 0 0 < / K e y w o r d O r d e r >  
                     < K e y w o r d S e c t i o n I d > 1 3 6 E < / K e y w o r d S e c t i o n I d >  
                 < / K e y w o r d M e t a d a t a W r a p p e r >  
                 < K e y w o r d M e t a d a t a W r a p p e r >  
                     < K e y w o r d > S A L E S _ C E E < / K e y w o r d >  
                     < K e y w o r d T y p e > C N T B < / K e y w o r d T y p e >  
                     < S h o r t D e s c > S a l e s   -   %   C e n t r a l   & a m p ;   E a s t e r n   E u r o p e 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 4 0 0 < / K e y w o r d O r d e r >  
                     < K e y w o r d S e c t i o n I d > 1 3 6 E < / K e y w o r d S e c t i o n I d >  
                 < / K e y w o r d M e t a d a t a W r a p p e r >  
                 < K e y w o r d M e t a d a t a W r a p p e r >  
                     < K e y w o r d > S A L E S _ M E < / K e y w o r d >  
                     < K e y w o r d T y p e > C N T B < / K e y w o r d T y p e >  
                     < S h o r t D e s c > S a l e s   -   %   M i d d l e   E a s t 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 4 5 0 < / K e y w o r d O r d e r >  
                     < K e y w o r d S e c t i o n I d > 1 3 6 E < / K e y w o r d S e c t i o n I d >  
                 < / K e y w o r d M e t a d a t a W r a p p e r >  
                 < K e y w o r d M e t a d a t a W r a p p e r >  
                     < K e y w o r d > S A L E S _ T O T _ A F R I C A < / K e y w o r d >  
                     < K e y w o r d T y p e > C N T B < / K e y w o r d T y p e >  
                     < S h o r t D e s c > S a l e s   -   %   T o t a l   A f r i c a 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 5 0 0 < / K e y w o r d O r d e r >  
                     < K e y w o r d S e c t i o n I d > 1 3 6 E < / K e y w o r d S e c t i o n I d >  
                 < / K e y w o r d M e t a d a t a W r a p p e r >  
                 < K e y w o r d M e t a d a t a W r a p p e r >  
                     < K e y w o r d > S A L E S _ O T H _ E M E A < / K e y w o r d >  
                     < K e y w o r d T y p e > C N T B < / K e y w o r d T y p e >  
                     < S h o r t D e s c > S a l e s   -   %   O t h e r   E M E A 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 5 5 0 < / K e y w o r d O r d e r >  
                     < K e y w o r d S e c t i o n I d > 1 3 6 E < / K e y w o r d S e c t i o n I d >  
                 < / K e y w o r d M e t a d a t a W r a p p e r >  
                 < K e y w o r d M e t a d a t a W r a p p e r >  
                     < K e y w o r d > S A L E S _ T O T _ A S I A < / K e y w o r d >  
                     < K e y w o r d T y p e > C N T B < / K e y w o r d T y p e >  
                     < S h o r t D e s c > S a l e s   -   T o t a l   %   A s i a   ( i n c l   A u s t r a l i a   & a m p ;   N e w   Z e a l a n d ) 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 6 0 0 < / K e y w o r d O r d e r >  
                     < K e y w o r d S e c t i o n I d > 1 3 6 E < / K e y w o r d S e c t i o n I d >  
                 < / K e y w o r d M e t a d a t a W r a p p e r >  
                 < K e y w o r d M e t a d a t a W r a p p e r >  
                     < K e y w o r d > S A L E S _ O T H _ A E J < / K e y w o r d >  
                     < K e y w o r d T y p e > C N T B < / K e y w o r d T y p e >  
                     < S h o r t D e s c > S a l e s   -   %   O t h e r   A s i a < / S h o r t D e s c >  
                     < E n t i t y T y p e > I S S R 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 f 0 . 0 0 % < / F o r m a t M a s k >  
                     < K e y w o r d O r d e r > 6 5 0 < / K e y w o r d O r d e r >  
                     < K e y w o r d S e c t i o n I d > 1 3 6 E < / K e y w o r d S e c t i o n I d >  
                 < / K e y w o r d M e t a d a t a W r a p p e r >  
             < / T e m p l a t e K e y w o r d s >  
             < T e m p l a t e S e c t i o n s >  
                 < K e y w o r d S e c t i o n W r a p p e r >  
                     < S e c t i o n I d > 1 3 A < / S e c t i o n I d >  
                     < D i s p l a y N a m e > G e n e r a l   I n f o r m a t i o n < / D i s p l a y N a m e >  
                     < D i s p l a y O r d e r > 5 < / D i s p l a y O r d e r >  
                     < P a r e n t I d / >  
                 < / K e y w o r d S e c t i o n W r a p p e r >  
                 < K e y w o r d S e c t i o n W r a p p e r >  
                     < S e c t i o n I d > 1 3 U < / S e c t i o n I d >  
                     < D i s p l a y N a m e > I n c o m e   S t a t e m e n t < / D i s p l a y N a m e >  
                     < D i s p l a y O r d e r > 4 5 < / D i s p l a y O r d e r >  
                     < P a r e n t I d / >  
                 < / K e y w o r d S e c t i o n W r a p p e r >  
                 < K e y w o r d S e c t i o n W r a p p e r >  
                     < S e c t i o n I d > 1 3 V < / S e c t i o n I d >  
                     < D i s p l a y N a m e > A d d i t i o n a l   I n c o m e   S t a t e m e n t   I t e m s < / D i s p l a y N a m e >  
                     < D i s p l a y O r d e r > 5 0 < / D i s p l a y O r d e r >  
                     < P a r e n t I d > 1 3 U < / P a r e n t I d >  
                 < / K e y w o r d S e c t i o n W r a p p e r >  
                 < K e y w o r d S e c t i o n W r a p p e r >  
                     < S e c t i o n I d > 1 3 1 4 < / S e c t i o n I d >  
                     < D i s p l a y N a m e > B a l a n c e   S h e e t < / D i s p l a y N a m e >  
                     < D i s p l a y O r d e r > 8 5 < / D i s p l a y O r d e r >  
                     < P a r e n t I d / >  
                 < / K e y w o r d S e c t i o n W r a p p e r >  
                 < K e y w o r d S e c t i o n W r a p p e r >  
                     < S e c t i o n I d > 1 3 1 9 < / S e c t i o n I d >  
                     < D i s p l a y N a m e > A d d i t i o n a l   B a l a n c e   S h e e t   I t e m s < / D i s p l a y N a m e >  
                     < D i s p l a y O r d e r > 9 0 < / D i s p l a y O r d e r >  
                     < P a r e n t I d > 1 3 1 4 < / P a r e n t I d >  
                 < / K e y w o r d S e c t i o n W r a p p e r >  
                 < K e y w o r d S e c t i o n W r a p p e r >  
                     < S e c t i o n I d > 1 3 1 E < / S e c t i o n I d >  
                     < D i s p l a y N a m e > C a s h   F l o w   S t a t e m e n t < / D i s p l a y N a m e >  
                     < D i s p l a y O r d e r > 1 0 0 < / D i s p l a y O r d e r >  
                     < P a r e n t I d / >  
                 < / K e y w o r d S e c t i o n W r a p p e r >  
                 < K e y w o r d S e c t i o n W r a p p e r >  
                     < S e c t i o n I d > 1 3 1 J < / S e c t i o n I d >  
                     < D i s p l a y N a m e > A d d i t i o n a l   C a s h   F l o w   I t e m s < / D i s p l a y N a m e >  
                     < D i s p l a y O r d e r > 1 0 5 < / D i s p l a y O r d e r >  
                     < P a r e n t I d > 1 3 1 4 < / P a r e n t I d >  
                 < / K e y w o r d S e c t i o n W r a p p e r >  
                 < K e y w o r d S e c t i o n W r a p p e r >  
                     < S e c t i o n I d > 1 3 1 O < / S e c t i o n I d >  
                     < D i s p l a y N a m e > O t h e r   I t e m s < / D i s p l a y N a m e >  
                     < D i s p l a y O r d e r > 1 1 5 < / D i s p l a y O r d e r >  
                     < P a r e n t I d / >  
                 < / K e y w o r d S e c t i o n W r a p p e r >  
                 < K e y w o r d S e c t i o n W r a p p e r >  
                     < S e c t i o n I d > 1 3 1 6 8 < / S e c t i o n I d >  
                     < D i s p l a y N a m e > G e o g r a p h i c a l   B r e a k d o w n < / D i s p l a y N a m e >  
                     < D i s p l a y O r d e r > 3 0 7 < / D i s p l a y O r d e r >  
                     < P a r e n t I d / >  
                 < / K e y w o r d S e c t i o n W r a p p e r >  
                 < K e y w o r d S e c t i o n W r a p p e r >  
                     < S e c t i o n I d > 1 3 1 6 S < / S e c t i o n I d >  
                     < D i s p l a y N a m e > C o m m o d i t i e s   E x p o s u r e   -   S a l e s < / D i s p l a y N a m e >  
                     < D i s p l a y O r d e r > 6 9 0 < / D i s p l a y O r d e r >  
                     < P a r e n t I d / >  
                 < / K e y w o r d S e c t i o n W r a p p e r >  
                 < K e y w o r d S e c t i o n W r a p p e r >  
                     < S e c t i o n I d > 1 3 1 6 T < / S e c t i o n I d >  
                     < D i s p l a y N a m e > C o m m o d i t i e s   E x p o s u r e   -   E x p e n s e < / D i s p l a y N a m e >  
                     < D i s p l a y O r d e r > 7 2 0 < / D i s p l a y O r d e r >  
                     < P a r e n t I d / >  
                 < / K e y w o r d S e c t i o n W r a p p e r >  
                 < K e y w o r d S e c t i o n W r a p p e r >  
                     < S e c t i o n I d > 1 3 1 6 U < / S e c t i o n I d >  
                     < D i s p l a y N a m e > F X   E x p o s u r e   -   S a l e s < / D i s p l a y N a m e >  
                     < D i s p l a y O r d e r > 7 5 0 < / D i s p l a y O r d e r >  
                     < P a r e n t I d / >  
                 < / K e y w o r d S e c t i o n W r a p p e r >  
                 < K e y w o r d S e c t i o n W r a p p e r >  
                     < S e c t i o n I d > 1 3 6 E < / S e c t i o n I d >  
                     < D i s p l a y N a m e > I t e m s   t o   b e   r e m o v e d < / D i s p l a y N a m e >  
                     < D i s p l a y O r d e r > 7 8 0 < / D i s p l a y O r d e r >  
                     < P a r e n t I d / >  
                 < / K e y w o r d S e c t i o n W r a p p e r >  
             < / T e m p l a t e S e c t i o n s >  
             < R e f D a t a >  
                 < R e f D a t a I t e m W r a p p e r >  
                     < L a b e l > I s s u e r   N a m e < / L a b e l >  
                     < V a l u e > H e x c e l   C o r p . < / V a l u e >  
                     < K e y w o r d / >  
                 < / R e f D a t a I t e m W r a p p e r >  
                 < R e f D a t a I t e m W r a p p e r >  
                     < L a b e l > R e p o r t i n g   C u r r e n c y < / L a b e l >  
                     < V a l u e > U S D < / V a l u e >  
                     < K e y w o r d > C U R R E N C Y _ I S O < / K e y w o r d >  
                 < / R e f D a t a I t e m W r a p p e r >  
             < / R e f D a t a >  
             < Q u b e H e l p e r A t t r i b u t e s >  
                 < S c a l a r T i c k e r > H X L < / S c a l a r T i c k e r >  
                 < S h a r e s T i c k e r / >  
             < / Q u b e H e l p e r A t t r i b u t e s >  
         < / E n t i t y T e m p l a t e W r a p p e r >  
         < E n t i t y T e m p l a t e W r a p p e r >  
             < E n t i t y >  
                 < E n t i t y I d > 2 0 0 0 0 7 5 5 8 < / E n t i t y I d >  
                 < E n t i t y T y p e > E Q T Y < / E n t i t y T y p e >  
             < / E n t i t y >  
             < T e m p l a t e K e y w o r d s >  
                 < K e y w o r d M e t a d a t a W r a p p e r >  
                     < K e y w o r d > A M E R _ L I S T < / K e y w o r d >  
                     < K e y w o r d T y p e > C N T B < / K e y w o r d T y p e >  
                     < S h o r t D e s c > A m e r i c a s   I n v e s t m e n t   L i s t < / S h o r t D e s c >  
                     < E n t i t y T y p e > E Q T Y < / E n t i t y T y p e >  
                     < I s S c a l a r > t r u e < / I s S c a l a r >  
                     < D a t a T y p e > E N U M < / D a t a T y p e >  
                     < E n u m O p t i o n s >  
                         < K e y w o r d E n u m W r a p p e r >  
                             < D i s p l a y N a m e > B u y < / D i s p l a y N a m e >  
                             < E n u m C o d e > B < / E n u m C o d e >  
                         < / K e y w o r d E n u m W r a p p e r >  
                         < K e y w o r d E n u m W r a p p e r >  
                             < D i s p l a y N a m e > S e l l < / D i s p l a y N a m e >  
                             < E n u m C o d e > S < / E n u m C o d e >  
                         < / K e y w o r d E n u m W r a p p e r >  
                     < / E n u m O p t i o n s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/ >  
                     < K e y w o r d O r d e r > 1 < / K e y w o r d O r d e r >  
                     < K e y w o r d S e c t i o n I d > 1 3 A < / K e y w o r d S e c t i o n I d >  
                 < / K e y w o r d M e t a d a t a W r a p p e r >  
                 < K e y w o r d M e t a d a t a W r a p p e r >  
                     < K e y w o r d > A M E R _ C O N V I C T I O N < / K e y w o r d >  
                     < K e y w o r d T y p e > C N T B < / K e y w o r d T y p e >  
                     < S h o r t D e s c > A m e r i c a s   C o n v i c t i o n   L i s t < / S h o r t D e s c >  
                     < E n t i t y T y p e > E Q T Y < / E n t i t y T y p e >  
                     < I s S c a l a r > t r u e < / I s S c a l a r >  
                     < D a t a T y p e > E N U M < / D a t a T y p e >  
                     < E n u m O p t i o n s >  
                         < K e y w o r d E n u m W r a p p e r >  
                             < D i s p l a y N a m e > B u y < / D i s p l a y N a m e >  
                             < E n u m C o d e > B < / E n u m C o d e >  
                         < / K e y w o r d E n u m W r a p p e r >  
                         < K e y w o r d E n u m W r a p p e r >  
                             < D i s p l a y N a m e > S e l l < / D i s p l a y N a m e >  
                             < E n u m C o d e > S < / E n u m C o d e >  
                         < / K e y w o r d E n u m W r a p p e r >  
                     < / E n u m O p t i o n s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/ >  
                     < K e y w o r d O r d e r > 2 < / K e y w o r d O r d e r >  
                     < K e y w o r d S e c t i o n I d > 1 3 A < / K e y w o r d S e c t i o n I d >  
                 < / K e y w o r d M e t a d a t a W r a p p e r >  
                 < K e y w o r d M e t a d a t a W r a p p e r >  
                     < K e y w o r d > L E G A L _ R A T I N G < / K e y w o r d >  
                     < K e y w o r d T y p e > C N T B < / K e y w o r d T y p e >  
                     < S h o r t D e s c > L e g a l   r a t i n g < / S h o r t D e s c >  
                     < E n t i t y T y p e > E Q T Y < / E n t i t y T y p e >  
                     < I s S c a l a r > t r u e < / I s S c a l a r >  
                     < D a t a T y p e > E N U M < / D a t a T y p e >  
                     < E n u m O p t i o n s >  
                         < K e y w o r d E n u m W r a p p e r >  
                             < D i s p l a y N a m e > N o t   R a t e d < / D i s p l a y N a m e >  
                             < E n u m C o d e > N R < / E n u m C o d e >  
                         < / K e y w o r d E n u m W r a p p e r >  
                         < K e y w o r d E n u m W r a p p e r >  
                             < D i s p l a y N a m e > C o v e r a g e   S u s p e n d e d < / D i s p l a y N a m e >  
                             < E n u m C o d e > C S < / E n u m C o d e >  
                         < / K e y w o r d E n u m W r a p p e r >  
                         < K e y w o r d E n u m W r a p p e r >  
                             < D i s p l a y N a m e > R a t i n g   S u s p e n d e d < / D i s p l a y N a m e >  
                             < E n u m C o d e > R S < / E n u m C o d e >  
                         < / K e y w o r d E n u m W r a p p e r >  
                     < / E n u m O p t i o n s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/ >  
                     < K e y w o r d O r d e r > 1 1 < / K e y w o r d O r d e r >  
                     < K e y w o r d S e c t i o n I d > 1 3 A < / K e y w o r d S e c t i o n I d >  
                 < / K e y w o r d M e t a d a t a W r a p p e r >  
                 < K e y w o r d M e t a d a t a W r a p p e r >  
                     < K e y w o r d > T A R G E T _ P R I C E < / K e y w o r d >  
                     < K e y w o r d T y p e > C N T B < / K e y w o r d T y p e >  
                     < S h o r t D e s c > T a r g e t   p r i c e < / S h o r t D e s c >  
                     < E n t i t y T y p e > E Q T Y < / E n t i t y T y p e >  
                     < I s S c a l a r > t r u e 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 P R I 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 1 2 < / K e y w o r d O r d e r >  
                     < K e y w o r d S e c t i o n I d > 1 3 A < / K e y w o r d S e c t i o n I d >  
                 < / K e y w o r d M e t a d a t a W r a p p e r >  
                 < K e y w o r d M e t a d a t a W r a p p e r >  
                     < K e y w o r d > T P _ P E R I O D < / K e y w o r d >  
                     < K e y w o r d T y p e > C N T B < / K e y w o r d T y p e >  
                     < S h o r t D e s c > T a r g e t   p r i c e   p e r i o d < / S h o r t D e s c >  
                     < E n t i t y T y p e > E Q T Y < / E n t i t y T y p e >  
                     < I s S c a l a r > t r u e < / I s S c a l a r >  
                     < D a t a T y p e > E N U M < / D a t a T y p e >  
                     < E n u m O p t i o n s >  
                         < K e y w o r d E n u m W r a p p e r >  
                             < D i s p l a y N a m e > 6   m o n t h s < / D i s p l a y N a m e >  
                             < E n u m C o d e > 6 M < / E n u m C o d e >  
                         < / K e y w o r d E n u m W r a p p e r >  
                         < K e y w o r d E n u m W r a p p e r >  
                             < D i s p l a y N a m e > 1 2   m o n t h s < / D i s p l a y N a m e >  
                             < E n u m C o d e > 1 2 M < / E n u m C o d e >  
                         < / K e y w o r d E n u m W r a p p e r >  
                         < K e y w o r d E n u m W r a p p e r >  
                             < D i s p l a y N a m e > 1 8   m o n t h s < / D i s p l a y N a m e >  
                             < E n u m C o d e > 1 8 M < / E n u m C o d e >  
                         < / K e y w o r d E n u m W r a p p e r >  
                         < K e y w o r d E n u m W r a p p e r >  
                             < D i s p l a y N a m e > 2   y e a r s < / D i s p l a y N a m e >  
                             < E n u m C o d e > 2 Y < / E n u m C o d e >  
                         < / K e y w o r d E n u m W r a p p e r >  
                         < K e y w o r d E n u m W r a p p e r >  
                             < D i s p l a y N a m e > 1   m o n t h < / D i s p l a y N a m e >  
                             < E n u m C o d e > 1 M < / E n u m C o d e >  
                         < / K e y w o r d E n u m W r a p p e r >  
                         < K e y w o r d E n u m W r a p p e r >  
                             < D i s p l a y N a m e > 3   m o n t h s < / D i s p l a y N a m e >  
                             < E n u m C o d e > 3 M < / E n u m C o d e >  
                         < / K e y w o r d E n u m W r a p p e r >  
                         < K e y w o r d E n u m W r a p p e r >  
                             < D i s p l a y N a m e > 9   m o n t h s < / D i s p l a y N a m e >  
                             < E n u m C o d e > 9 M < / E n u m C o d e >  
                         < / K e y w o r d E n u m W r a p p e r >  
                         < K e y w o r d E n u m W r a p p e r >  
                             < D i s p l a y N a m e > 3   y e a r s < / D i s p l a y N a m e >  
                             < E n u m C o d e > 3 Y < / E n u m C o d e >  
                         < / K e y w o r d E n u m W r a p p e r >  
                     < / E n u m O p t i o n s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/ >  
                     < K e y w o r d O r d e r > 1 3 < / K e y w o r d O r d e r >  
                     < K e y w o r d S e c t i o n I d > 1 3 A < / K e y w o r d S e c t i o n I d >  
                 < / K e y w o r d M e t a d a t a W r a p p e r >  
                 < K e y w o r d M e t a d a t a W r a p p e r >  
                     < K e y w o r d > T A R G E T _ P R I C E _ F U N D A M E N T A L < / K e y w o r d >  
                     < K e y w o r d T y p e > C N T B < / K e y w o r d T y p e >  
                     < S h o r t D e s c > F u n d a m e n t a l   v a l u e < / S h o r t D e s c >  
                     < E n t i t y T y p e > E Q T Y < / E n t i t y T y p e >  
                     < I s S c a l a r > t r u e 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 P R I 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 1 4 < / K e y w o r d O r d e r >  
                     < K e y w o r d S e c t i o n I d > 1 3 A < / K e y w o r d S e c t i o n I d >  
                 < / K e y w o r d M e t a d a t a W r a p p e r >  
                 < K e y w o r d M e t a d a t a W r a p p e r >  
                     < K e y w o r d > T A R G E T _ P R I C E _ M A < / K e y w o r d >  
                     < K e y w o r d T y p e > C N T B < / K e y w o r d T y p e >  
                     < S h o r t D e s c > M & a m p ; A   v a l u e < / S h o r t D e s c >  
                     < E n t i t y T y p e > E Q T Y < / E n t i t y T y p e >  
                     < I s S c a l a r > t r u e 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 P R I 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 1 5 < / K e y w o r d O r d e r >  
                     < K e y w o r d S e c t i o n I d > 1 3 A < / K e y w o r d S e c t i o n I d >  
                 < / K e y w o r d M e t a d a t a W r a p p e r >  
                 < K e y w o r d M e t a d a t a W r a p p e r >  
                     < K e y w o r d > N U M _ S H < / K e y w o r d >  
                     < K e y w o r d T y p e > C N T B < / K e y w o r d T y p e >  
                     < S h o r t D e s c > C u r r e n t   s h a r e s   o u t s t a n d i n g   ( m n ) < / S h o r t D e s c >  
                     < E n t i t y T y p e > E Q T Y < / E n t i t y T y p e >  
                     < I s S c a l a r > t r u e 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 2 0 < / K e y w o r d O r d e r >  
                     < K e y w o r d S e c t i o n I d > 1 3 A < / K e y w o r d S e c t i o n I d >  
                 < / K e y w o r d M e t a d a t a W r a p p e r >  
                 < K e y w o r d M e t a d a t a W r a p p e r >  
                     < K e y w o r d > F R E E _ F L O A T < / K e y w o r d >  
                     < K e y w o r d T y p e > C N T B < / K e y w o r d T y p e >  
                     < S h o r t D e s c > F r e e   f l o a t < / S h o r t D e s c >  
                     < E n t i t y T y p e > E Q T Y < / E n t i t y T y p e >  
                     < I s S c a l a r > t r u e 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 3 0 < / K e y w o r d O r d e r >  
                     < K e y w o r d S e c t i o n I d > 1 3 A < / K e y w o r d S e c t i o n I d >  
                 < / K e y w o r d M e t a d a t a W r a p p e r >  
                 < K e y w o r d M e t a d a t a W r a p p e r >  
                     < K e y w o r d > A C T < / K e y w o r d >  
                     < K e y w o r d T y p e > C N T B < / K e y w o r d T y p e >  
                     < S h o r t D e s c > S h a r e h o l d e r   o w n e r s h i p   ( % ) < / S h o r t D e s c >  
                     < E n t i t y T y p e > E Q T Y < / E n t i t y T y p e >  
                     < I s S c a l a r > t r u e < / I s S c a l a r >  
                     < D a t a T y p e > P E R C E N T A G E < / D a t a T y p e >  
                     < E n u m O p t i o n s / >  
                     < B r e a k d o w n D a t a T y p e > P E R C E N T A G E 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 f 0 . 0 % < / F o r m a t M a s k >  
                     < K e y w o r d O r d e r > 1 2 1 < / K e y w o r d O r d e r >  
                     < K e y w o r d S e c t i o n I d > 1 3 A < / K e y w o r d S e c t i o n I d >  
                 < / K e y w o r d M e t a d a t a W r a p p e r >  
                 < K e y w o r d M e t a d a t a W r a p p e r >  
                     < K e y w o r d > B V P S _ P U B < / K e y w o r d >  
                     < K e y w o r d T y p e > C N T B < / K e y w o r d T y p e >  
                     < S h o r t D e s c > B o o k   v a l u e   p e r   s h a r e ,   B V P S 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 1 0 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 D P S _ P U B < / K e y w o r d >  
                     < K e y w o r d T y p e > C N T B < / K e y w o r d T y p e >  
                     < S h o r t D e s c > D P S ,   d i v i d e n d   p e r   s h a r e 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 1 1 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 D P S _ S P E C I A L _ P U B < / K e y w o r d >  
                     < K e y w o r d T y p e > C N T B < / K e y w o r d T y p e >  
                     < S h o r t D e s c > S p e c i a l   d i v i d e n d   p e r   s h a r e 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 1 1 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 E B I T D A _ P U B < / K e y w o r d >  
                     < K e y w o r d T y p e > C N T B < / K e y w o r d T y p e >  
                     < S h o r t D e s c > E B I T D A 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 1 2 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 E P S _ P U B < / K e y w o r d >  
                     < K e y w o r d T y p e > C N T B < / K e y w o r d T y p e >  
                     < S h o r t D e s c > E P S 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 1 3 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 C E E E _ E P S < / K e y w o r d >  
                     < K e y w o r d T y p e > C N T B < / K e y w o r d T y p e >  
                     < S h o r t D e s c > C o n s e n s u s   e a r n i n g s   e q u i v a l e n t   e s t i m a t e 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 2 0 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 E P S _ P U B _ E X _ E S O < / K e y w o r d >  
                     < K e y w o r d T y p e > C N T B < / K e y w o r d T y p e >  
                     < S h o r t D e s c > E P S   ( e x c l .   E S O ) 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 2 5 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 E V _ A D J _ P U B < / K e y w o r d >  
                     < K e y w o r d T y p e > C N T B < / K e y w o r d T y p e >  
                     < S h o r t D e s c > E V   a d j u s t m e n t 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 3 0 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 N E T _ D E B T _ P U B < / K e y w o r d >  
                     < K e y w o r d T y p e > C N T B < / K e y w o r d T y p e >  
                     < S h o r t D e s c > N e t   d e b t 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 4 0 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 N E T _ D E B T _ E X _ L E A S E S _ P U B < / K e y w o r d >  
                     < K e y w o r d T y p e > C N T B < / K e y w o r d T y p e >  
                     < S h o r t D e s c > N e t   D e b t   ( e x   l e a s e s ) 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 4 1 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 C E E E _ N D E B T < / K e y w o r d >  
                     < K e y w o r d T y p e > C N T B < / K e y w o r d T y p e >  
                     < S h o r t D e s c > C o n s e n s u s   e q u i v a l e n t   n e t   d e b t 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 4 3 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 N I _ P U B < / K e y w o r d >  
                     < K e y w o r d T y p e > C N T B < / K e y w o r d T y p e >  
                     < S h o r t D e s c > N e t   i n c o m e 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 4 5 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 E B I T _ P U B < / K e y w o r d >  
                     < K e y w o r d T y p e > C N T B < / K e y w o r d T y p e >  
                     < S h o r t D e s c > E B I T ,   o p e r a t i n g   p r o f i t 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 5 0 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 P T P _ P U B < / K e y w o r d >  
                     < K e y w o r d T y p e > C N T B < / K e y w o r d T y p e >  
                     < S h o r t D e s c > P r e - t a x   p r o f i t 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 5 5 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 R E V S _ P U B < / K e y w o r d >  
                     < K e y w o r d T y p e > C N T B < / K e y w o r d T y p e >  
                     < S h o r t D e s c > S a l e s ,   r e v e n u e 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 6 0 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 E Q _ P U B < / K e y w o r d >  
                     < K e y w o r d T y p e > C N T B < / K e y w o r d T y p e >  
                     < S h o r t D e s c > T o t a l   s h a r e h o l d e r s '   e q u i t y   ( P u b ) 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 P U B 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 6 5 < / K e y w o r d O r d e r >  
                     < K e y w o r d S e c t i o n I d > 1 3 K < / K e y w o r d S e c t i o n I d >  
                 < / K e y w o r d M e t a d a t a W r a p p e r >  
                 < K e y w o r d M e t a d a t a W r a p p e r >  
                     < K e y w o r d > P R O V _ I N C _ T A X < / K e y w o r d >  
                     < K e y w o r d T y p e > C N T B < / K e y w o r d T y p e >  
                     < S h o r t D e s c > P r o v i s i o n   f o r   i n c o m e   t a x 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 4 8 0 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 I N C _ M I N O R I T Y < / K e y w o r d >  
                     < K e y w o r d T y p e > C N T B < / K e y w o r d T y p e >  
                     < S h o r t D e s c > M i n o r i t y   i n t e r e s t 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 4 9 0 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 N I _ P R E _ P R E F < / K e y w o r d >  
                     < K e y w o r d T y p e > C N T B < / K e y w o r d T y p e >  
                     < S h o r t D e s c > N e t   i n c o m e   ( p r e - p r e f e r r e d   d i v i d e n d s ) 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 5 1 5 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 P R E F _ D I V < / K e y w o r d >  
                     < K e y w o r d T y p e > C N T B < / K e y w o r d T y p e >  
                     < S h o r t D e s c > P r e f e r r e d   d i v i d e n d s 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 5 4 0 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 N E T _ E A R N I N G < / K e y w o r d >  
                     < K e y w o r d T y p e > C N T B < / K e y w o r d T y p e >  
                     < S h o r t D e s c > N e t   i n c o m e   ( p r e - e x c e p t i o n a l s ) 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 5 6 5 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 T A X _ E X C < / K e y w o r d >  
                     < K e y w o r d T y p e > C N T B < / K e y w o r d T y p e >  
                     < S h o r t D e s c > P o s t - t a x   e x c e p t i o n a l s 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 5 8 0 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 N E T _ I N C < / K e y w o r d >  
                     < K e y w o r d T y p e > C N T B < / K e y w o r d T y p e >  
                     < S h o r t D e s c > N e t   i n c o m e   ( p o s t - e x c e p t i o n a l s ) 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 5 9 0 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 E P S < / K e y w o r d >  
                     < K e y w o r d T y p e > C N T B < / K e y w o r d T y p e >  
                     < S h o r t D e s c > E P S   ( p r e - e x c e p t i o n a l s ,   b a s i c ) 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 6 0 0 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 E P S _ F U L _ D I L < / K e y w o r d >  
                     < K e y w o r d T y p e > C N T B < / K e y w o r d T y p e >  
                     < S h o r t D e s c > E P S   ( p r e - e x c e p t i o n a l s ,   d i l u t e d ) 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 6 2 0 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 E P S _ P O S T _ B A S I C < / K e y w o r d >  
                     < K e y w o r d T y p e > C N T B < / K e y w o r d T y p e >  
                     < S h o r t D e s c > E P S   ( p o s t - e x c e p t i o n a l s ,   b a s i c ) 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 6 3 5 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 F U L L Y _ D I L _ E P S < / K e y w o r d >  
                     < K e y w o r d T y p e > C N T B < / K e y w o r d T y p e >  
                     < S h o r t D e s c > E P S   ( p o s t - e x c e p t i o n a l s ,   d i l u t e d ) 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 6 4 6 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 C O M M O N _ D I V _ P A I D < / K e y w o r d >  
                     < K e y w o r d T y p e > C N T B < / K e y w o r d T y p e >  
                     < S h o r t D e s c > C o m m o n   d i v i d e n d s   p a i d 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 6 7 5 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 D P S < / K e y w o r d >  
                     < K e y w o r d T y p e > C N T B < / K e y w o r d T y p e >  
                     < S h o r t D e s c > D P S ,   d i v i d e n d   p e r   s h a r e 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 6 8 5 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 S H < / K e y w o r d >  
                     < K e y w o r d T y p e > C N T B < / K e y w o r d T y p e >  
                     < S h o r t D e s c > W e i g h t e d   a v e r a g e   s h a r e s   o u t s t a n d i n g ,   b a s i c 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 7 1 5 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 D I L U T E _ S H A R E S < / K e y w o r d >  
                     < K e y w o r d T y p e > C N T B < / K e y w o r d T y p e >  
                     < S h o r t D e s c > D i l u t e d   a v e r a g e   s h a r e s   o u t s t a n d i n g   ( m n ) 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 7 2 0 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 N O N _ O P _ A D D < / K e y w o r d >  
                     < K e y w o r d T y p e > C N T B < / K e y w o r d T y p e >  
                     < S h o r t D e s c > P e r i o d - e n d   s h a r e s   o u t s t a n d i n g 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 7 3 0 < / K e y w o r d O r d e r >  
                     < K e y w o r d S e c t i o n I d > 1 3 U < / K e y w o r d S e c t i o n I d >  
                 < / K e y w o r d M e t a d a t a W r a p p e r >  
                 < K e y w o r d M e t a d a t a W r a p p e r >  
                     < K e y w o r d > M A R G I N _ T A X _ R A T E < / K e y w o r d >  
                     < K e y w o r d T y p e > C N T B < / K e y w o r d T y p e >  
                     < S h o r t D e s c > M a r g i n a l   t a x   r a t e < / S h o r t D e s c >  
                     < E n t i t y T y p e > E Q T Y < / E n t i t y T y p e >  
                     < I s S c a l a r > f a l s e 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 f 0 % < / F o r m a t M a s k >  
                     < K e y w o r d O r d e r > 1 9 5 < / K e y w o r d O r d e r >  
                     < K e y w o r d S e c t i o n I d > 1 3 V < / K e y w o r d S e c t i o n I d >  
                 < / K e y w o r d M e t a d a t a W r a p p e r >  
                 < K e y w o r d M e t a d a t a W r a p p e r >  
                     < K e y w o r d > F V _ G R A N T < / K e y w o r d >  
                     < K e y w o r d T y p e > C N T B < / K e y w o r d T y p e >  
                     < S h o r t D e s c > F a i r   v a l u e   o f   g r a n t 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 1 0 < / K e y w o r d O r d e r >  
                     < K e y w o r d S e c t i o n I d > 1 3 W < / K e y w o r d S e c t i o n I d >  
                 < / K e y w o r d M e t a d a t a W r a p p e r >  
                 < K e y w o r d M e t a d a t a W r a p p e r >  
                     < K e y w o r d > E S O _ P O S T _ T A X < / K e y w o r d >  
                     < K e y w o r d T y p e > C N T B < / K e y w o r d T y p e >  
                     < S h o r t D e s c > E S O   e x p e n s e   ( p o s t - t a x ) 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 1 5 < / K e y w o r d O r d e r >  
                     < K e y w o r d S e c t i o n I d > 1 3 W < / K e y w o r d S e c t i o n I d >  
                 < / K e y w o r d M e t a d a t a W r a p p e r >  
                 < K e y w o r d M e t a d a t a W r a p p e r >  
                     < K e y w o r d > E P S _ E X _ E S O _ B < / K e y w o r d >  
                     < K e y w o r d T y p e > C N T B < / K e y w o r d T y p e >  
                     < S h o r t D e s c > E P S   ( e x c l .   E S O   e x p e n s e ,   b a s i c ) 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 2 0 < / K e y w o r d O r d e r >  
                     < K e y w o r d S e c t i o n I d > 1 3 W < / K e y w o r d S e c t i o n I d >  
                 < / K e y w o r d M e t a d a t a W r a p p e r >  
                 < K e y w o r d M e t a d a t a W r a p p e r >  
                     < K e y w o r d > E P S _ E X _ E S O _ D < / K e y w o r d >  
                     < K e y w o r d T y p e > C N T B < / K e y w o r d T y p e >  
                     < S h o r t D e s c > E P S   ( e x c l .   E S O   e x p e n s e ,   d i l u t e d ) 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 2 5 < / K e y w o r d O r d e r >  
                     < K e y w o r d S e c t i o n I d > 1 3 W < / K e y w o r d S e c t i o n I d >  
                 < / K e y w o r d M e t a d a t a W r a p p e r >  
                 < K e y w o r d M e t a d a t a W r a p p e r >  
                     < K e y w o r d > E S O _ Y E A R < / K e y w o r d >  
                     < K e y w o r d T y p e > C N T B < / K e y w o r d T y p e >  
                     < S h o r t D e s c > Y e a r   t h a t   E S O   e x p e n s e   t a k e s   e f f e c t < / S h o r t D e s c >  
                     < E n t i t y T y p e > E Q T Y < / E n t i t y T y p e >  
                     < I s S c a l a r > t r u e < / I s S c a l a r >  
                     < D a t a T y p e > T E X T 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/ >  
                     < K e y w o r d O r d e r > 3 0 < / K e y w o r d O r d e r >  
                     < K e y w o r d S e c t i o n I d > 1 3 W < / K e y w o r d S e c t i o n I d >  
                 < / K e y w o r d M e t a d a t a W r a p p e r >  
                 < K e y w o r d M e t a d a t a W r a p p e r >  
                     < K e y w o r d > B V P S < / K e y w o r d >  
                     < K e y w o r d T y p e > C N T B < / K e y w o r d T y p e >  
                     < S h o r t D e s c > B V P S ,   b o o k   v a l u e   p e r   s h a r e 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 7 3 0 < / K e y w o r d O r d e r >  
                     < K e y w o r d S e c t i o n I d > 1 3 1 4 < / K e y w o r d S e c t i o n I d >  
                 < / K e y w o r d M e t a d a t a W r a p p e r >  
                 < K e y w o r d M e t a d a t a W r a p p e r >  
                     < K e y w o r d > R E P U R _ T O T _ A U T H < / K e y w o r d >  
                     < K e y w o r d T y p e > C N T B < / K e y w o r d T y p e >  
                     < S h o r t D e s c > T o t a l   r e p u r c h a s e   a u t h o r i z a t i o n < / S h o r t D e s c >  
                     < E n t i t y T y p e > E Q T Y < / E n t i t y T y p e >  
                     < I s S c a l a r > t r u e 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 R E P U R _ R E M A I N I N G < / K e y w o r d >  
                     < K e y w o r d T y p e > C N T B < / K e y w o r d T y p e >  
                     < S h o r t D e s c > R e m a i n i n g   r e p u r c h a s e   a u t h o r i z a t i o n < / S h o r t D e s c >  
                     < E n t i t y T y p e > E Q T Y < / E n t i t y T y p e >  
                     < I s S c a l a r > t r u e 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 3 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 R E P U R _ S U S P E N D E D < / K e y w o r d >  
                     < K e y w o r d T y p e > C N T B < / K e y w o r d T y p e >  
                     < S h o r t D e s c > S u s p e n d e d   r e p u r c h a s e   a u t h o r i z a t i o n < / S h o r t D e s c >  
                     < E n t i t y T y p e > E Q T Y < / E n t i t y T y p e >  
                     < I s S c a l a r > t r u e 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 5 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 R E P U R _ A C T U A L < / K e y w o r d >  
                     < K e y w o r d T y p e > C N T B < / K e y w o r d T y p e >  
                     < S h o r t D e s c > S h a r e s   r e p u r c h a s e d   d u r i n g   p e r i o d 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 7 < / K e y w o r d O r d e r >  
                     < K e y w o r d S e c t i o n I d > 1 3 1 9 < / K e y w o r d S e c t i o n I d >  
                 < / K e y w o r d M e t a d a t a W r a p p e r >  
                 < K e y w o r d M e t a d a t a W r a p p e r >  
                     < K e y w o r d > C F _ N I _ P R E _ P R E F < / K e y w o r d >  
                     < K e y w o r d T y p e > C N T B < / K e y w o r d T y p e >  
                     < S h o r t D e s c > N e t   i n c o m e   ( p r e - p r e f e r r e d   d i v i d e n d s ) < / S h o r t D e s c >  
                     < E n t i t y T y p e > E Q T Y < / E n t i t y T y p e >  
                     < I s S c a l a r > f a l s e 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 R E P < / C u r r e n c y T y p e >  
                     < A n n o t a t i o n R e q u i r e m e n t > O P T I O N A L < / A n n o t a t i o n R e q u i r e m e n t >  
                     < F o r m a t M a s k > f 0 . 0 < / F o r m a t M a s k >  
                     < K e y w o r d O r d e r > 1 0 < / K e y w o r d O r d e r >  
                     < K e y w o r d S e c t i o n I d > 1 3 1 E < / K e y w o r d S e c t i o n I d >  
                 < / K e y w o r d M e t a d a t a W r a p p e r >  
                 < K e y w o r d M e t a d a t a W r a p p e r >  
                     < K e y w o r d > B E T A _ A N A L Y S T < / K e y w o r d >  
                     < K e y w o r d T y p e > C N T B < / K e y w o r d T y p e >  
                     < S h o r t D e s c > B e t a < / S h o r t D e s c >  
                     < E n t i t y T y p e > E Q T Y < / E n t i t y T y p e >  
                     < I s S c a l a r > t r u e < / I s S c a l a r >  
                     < D a t a T y p e > R E A L 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 f 0 . 0 0 < / F o r m a t M a s k >  
                     < K e y w o r d O r d e r > 0 < / K e y w o r d O r d e r >  
                     < K e y w o r d S e c t i o n I d > 1 3 1 O < / K e y w o r d S e c t i o n I d >  
                 < / K e y w o r d M e t a d a t a W r a p p e r >  
                 < K e y w o r d M e t a d a t a W r a p p e r >  
                     < K e y w o r d > M K T _ E Q _ R I S K _ P R E M < / K e y w o r d >  
                     < K e y w o r d T y p e > C N T B < / K e y w o r d T y p e >  
                     < S h o r t D e s c > M a r k e t   e q u i t y   r i s k   p r e m i u m < / S h o r t D e s c >  
                     < E n t i t y T y p e > E Q T Y < / E n t i t y T y p e >  
                     < I s S c a l a r > t r u e 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 f 0 % < / F o r m a t M a s k >  
                     < K e y w o r d O r d e r > 3 5 0 < / K e y w o r d O r d e r >  
                     < K e y w o r d S e c t i o n I d > 1 3 1 O < / K e y w o r d S e c t i o n I d >  
                 < / K e y w o r d M e t a d a t a W r a p p e r >  
                 < K e y w o r d M e t a d a t a W r a p p e r >  
                     < K e y w o r d > R I S K _ F R _ R A T E < / K e y w o r d >  
                     < K e y w o r d T y p e > C N T B < / K e y w o r d T y p e >  
                     < S h o r t D e s c > R i s k - f r e e   r a t e < / S h o r t D e s c >  
                     < E n t i t y T y p e > E Q T Y < / E n t i t y T y p e >  
                     < I s S c a l a r > t r u e < / I s S c a l a r >  
                     < D a t a T y p e > P E R C E N T A G E < / D a t a T y p e >  
                     < E n u m O p t i o n s / >  
                     < B r e a k d o w n D a t a T y p e > N O N E < / B r e a k d o w n D a t a T y p e >  
                     < B r e a k d o w n M a x I n d e x > 0 < / B r e a k d o w n M a x I n d e x >  
                     < C u r r e n c y T y p e > N O N E < / C u r r e n c y T y p e >  
                     < A n n o t a t i o n R e q u i r e m e n t > O P T I O N A L < / A n n o t a t i o n R e q u i r e m e n t >  
                     < F o r m a t M a s k > f 0 % < / F o r m a t M a s k >  
                     < K e y w o r d O r d e r > 3 6 0 < / K e y w o r d O r d e r >  
                     < K e y w o r d S e c t i o n I d > 1 3 1 O < / K e y w o r d S e c t i o n I d >  
                 < / K e y w o r d M e t a d a t a W r a p p e r >  
             < / T e m p l a t e K e y w o r d s >  
             < T e m p l a t e S e c t i o n s >  
                 < K e y w o r d S e c t i o n W r a p p e r >  
                     < S e c t i o n I d > 1 3 A < / S e c t i o n I d >  
                     < D i s p l a y N a m e > G e n e r a l   I n f o r m a t i o n < / D i s p l a y N a m e >  
                     < D i s p l a y O r d e r > 5 < / D i s p l a y O r d e r >  
                     < P a r e n t I d / >  
                 < / K e y w o r d S e c t i o n W r a p p e r >  
                 < K e y w o r d S e c t i o n W r a p p e r >  
                     < S e c t i o n I d > 1 3 K < / S e c t i o n I d >  
                     < D i s p l a y N a m e > P u b l i s h i n g   I t e m s < / D i s p l a y N a m e >  
                     < D i s p l a y O r d e r > 1 0 < / D i s p l a y O r d e r >  
                     < P a r e n t I d / >  
                 < / K e y w o r d S e c t i o n W r a p p e r >  
                 < K e y w o r d S e c t i o n W r a p p e r >  
                     < S e c t i o n I d > 1 3 U < / S e c t i o n I d >  
                     < D i s p l a y N a m e > I n c o m e   S t a t e m e n t < / D i s p l a y N a m e >  
                     < D i s p l a y O r d e r > 4 5 < / D i s p l a y O r d e r >  
                     < P a r e n t I d / >  
                 < / K e y w o r d S e c t i o n W r a p p e r >  
                 < K e y w o r d S e c t i o n W r a p p e r >  
                     < S e c t i o n I d > 1 3 V < / S e c t i o n I d >  
                     < D i s p l a y N a m e > A d d i t i o n a l   I n c o m e   S t a t e m e n t   I t e m s < / D i s p l a y N a m e >  
                     < D i s p l a y O r d e r > 5 0 < / D i s p l a y O r d e r >  
                     < P a r e n t I d > 1 3 U < / P a r e n t I d >  
                 < / K e y w o r d S e c t i o n W r a p p e r >  
                 < K e y w o r d S e c t i o n W r a p p e r >  
                     < S e c t i o n I d > 1 3 W < / S e c t i o n I d >  
                     < D i s p l a y N a m e > E S O < / D i s p l a y N a m e >  
                     < D i s p l a y O r d e r > 5 5 < / D i s p l a y O r d e r >  
                     < P a r e n t I d > 1 3 1 O < / P a r e n t I d >  
                 < / K e y w o r d S e c t i o n W r a p p e r >  
                 < K e y w o r d S e c t i o n W r a p p e r >  
                     < S e c t i o n I d > 1 3 1 4 < / S e c t i o n I d >  
                     < D i s p l a y N a m e > B a l a n c e   S h e e t < / D i s p l a y N a m e >  
                     < D i s p l a y O r d e r > 8 5 < / D i s p l a y O r d e r >  
                     < P a r e n t I d / >  
                 < / K e y w o r d S e c t i o n W r a p p e r >  
                 < K e y w o r d S e c t i o n W r a p p e r >  
                     < S e c t i o n I d > 1 3 1 9 < / S e c t i o n I d >  
                     < D i s p l a y N a m e > A d d i t i o n a l   B a l a n c e   S h e e t   I t e m s < / D i s p l a y N a m e >  
                     < D i s p l a y O r d e r > 9 0 < / D i s p l a y O r d e r >  
                     < P a r e n t I d > 1 3 1 4 < / P a r e n t I d >  
                 < / K e y w o r d S e c t i o n W r a p p e r >  
                 < K e y w o r d S e c t i o n W r a p p e r >  
                     < S e c t i o n I d > 1 3 1 E < / S e c t i o n I d >  
                     < D i s p l a y N a m e > C a s h   F l o w   S t a t e m e n t < / D i s p l a y N a m e >  
                     < D i s p l a y O r d e r > 1 0 0 < / D i s p l a y O r d e r >  
                     < P a r e n t I d / >  
                 < / K e y w o r d S e c t i o n W r a p p e r >  
                 < K e y w o r d S e c t i o n W r a p p e r >  
                     < S e c t i o n I d > 1 3 1 O < / S e c t i o n I d >  
                     < D i s p l a y N a m e > O t h e r   I t e m s < / D i s p l a y N a m e >  
                     < D i s p l a y O r d e r > 1 1 5 < / D i s p l a y O r d e r >  
                     < P a r e n t I d / >  
                 < / K e y w o r d S e c t i o n W r a p p e r >  
             < / T e m p l a t e S e c t i o n s >  
             < R e f D a t a >  
                 < R e f D a t a I t e m W r a p p e r >  
                     < L a b e l > T i c k e r < / L a b e l >  
                     < V a l u e > H X L < / V a l u e >  
                     < K e y w o r d / >  
                 < / R e f D a t a I t e m W r a p p e r >  
                 < R e f D a t a I t e m W r a p p e r >  
                     < L a b e l > S e c u r i t y   N a m e < / L a b e l >  
                     < V a l u e > H e x c e l   C o r p . < / V a l u e >  
                     < K e y w o r d / >  
                 < / R e f D a t a I t e m W r a p p e r >  
                 < R e f D a t a I t e m W r a p p e r >  
                     < L a b e l > I n t e r i m   T y p e < / L a b e l >  
                     < V a l u e > Q < / V a l u e >  
                     < K e y w o r d / >  
                 < / R e f D a t a I t e m W r a p p e r >  
                 < R e f D a t a I t e m W r a p p e r >  
                     < L a b e l > P u b l i s h i n g   C u r r e n c y < / L a b e l >  
                     < V a l u e > U S D < / V a l u e >  
                     < K e y w o r d > P U B _ C U R R E N C Y _ I S O < / K e y w o r d >  
                 < / R e f D a t a I t e m W r a p p e r >  
                 < R e f D a t a I t e m W r a p p e r >  
                     < L a b e l > P r i c i n g   C u r r e n c y < / L a b e l >  
                     < V a l u e > U S D < / V a l u e >  
                     < K e y w o r d > P R I C E _ C U R R E N C Y _ I S O < / K e y w o r d >  
                 < / R e f D a t a I t e m W r a p p e r >  
                 < R e f D a t a I t e m W r a p p e r >  
                     < L a b e l > R e p o r t i n g   C u r r e n c y < / L a b e l >  
                     < V a l u e > U S D < / V a l u e >  
                     < K e y w o r d > C U R R E N C Y _ I S O < / K e y w o r d >  
                 < / R e f D a t a I t e m W r a p p e r >  
             < / R e f D a t a >  
             < Q u b e H e l p e r A t t r i b u t e s >  
                 < S c a l a r T i c k e r > H X L < / S c a l a r T i c k e r >  
                 < S h a r e s T i c k e r > H X L < / S h a r e s T i c k e r >  
             < / Q u b e H e l p e r A t t r i b u t e s >  
         < / E n t i t y T e m p l a t e W r a p p e r >  
     < / E n t i t y T e m p l a t e T e m p l a t e s >  
     < V e c t o r M i l e s t o n e s >  
         < M i l e s t o n e M e t a d a t a W r a p p e r >  
             < M i l e s t o n e >  
                 < T y p e C o d e > E S T < / T y p e C o d e >  
                 < N a m e > E s t i m a t e < / N a m e >  
             < / M i l e s t o n e >  
             < D i s p l a y N a m e > E s t i m a t e < / D i s p l a y N a m e >  
             < T r a n s i t i o n s >  
                 < s t r i n g > P R E < / s t r i n g >  
                 < s t r i n g > A C T < / s t r i n g >  
             < / T r a n s i t i o n s >  
         < / M i l e s t o n e M e t a d a t a W r a p p e r >  
         < M i l e s t o n e M e t a d a t a W r a p p e r >  
             < M i l e s t o n e >  
                 < T y p e C o d e > P R E < / T y p e C o d e >  
                 < N a m e > P r e l i m i n a r y < / N a m e >  
             < / M i l e s t o n e >  
             < D i s p l a y N a m e > P r e l i m i n a r y < / D i s p l a y N a m e >  
             < T r a n s i t i o n s >  
                 < s t r i n g > A C T < / s t r i n g >  
                 < s t r i n g > E S T < / s t r i n g >  
             < / T r a n s i t i o n s >  
         < / M i l e s t o n e M e t a d a t a W r a p p e r >  
         < M i l e s t o n e M e t a d a t a W r a p p e r >  
             < M i l e s t o n e >  
                 < T y p e C o d e > A C T < / T y p e C o d e >  
                 < N a m e > A c t u a l < / N a m e >  
             < / M i l e s t o n e >  
             < D i s p l a y N a m e > A c t u a l < / D i s p l a y N a m e >  
             < T r a n s i t i o n s >  
                 < s t r i n g > R S T < / s t r i n g >  
                 < s t r i n g > P R E < / s t r i n g >  
                 < s t r i n g > E S T < / s t r i n g >  
             < / T r a n s i t i o n s >  
         < / M i l e s t o n e M e t a d a t a W r a p p e r >  
         < M i l e s t o n e M e t a d a t a W r a p p e r >  
             < M i l e s t o n e >  
                 < T y p e C o d e > R S T < / T y p e C o d e >  
                 < N a m e > R e s t a t e d < / N a m e >  
             < / M i l e s t o n e >  
             < D i s p l a y N a m e > R e s t a t e d < / D i s p l a y N a m e >  
             < T r a n s i t i o n s >  
                 < s t r i n g > A C T < / s t r i n g >  
             < / T r a n s i t i o n s >  
         < / M i l e s t o n e M e t a d a t a W r a p p e r >  
     < / V e c t o r M i l e s t o n e s >  
     < S c a l a r M i l e s t o n e s / >  
 < / S u b m i s s i o n S h e e t T e m p l a t e W r a p p e r > 
</file>

<file path=customXml/itemProps1.xml><?xml version="1.0" encoding="utf-8"?>
<ds:datastoreItem xmlns:ds="http://schemas.openxmlformats.org/officeDocument/2006/customXml" ds:itemID="{72A95BE2-B5E2-45C6-9087-CE545272BF93}">
  <ds:schemaRefs>
    <ds:schemaRef ds:uri="http://www.w3.org/2001/XMLSchema"/>
    <ds:schemaRef ds:uri="Exchange-SubmissionSheetWrapp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CFLO</vt:lpstr>
      <vt:lpstr>Commercial Build up (2)</vt:lpstr>
      <vt:lpstr>Cash Flow</vt:lpstr>
      <vt:lpstr>End Market (2)</vt:lpstr>
      <vt:lpstr>SEG (2)</vt:lpstr>
      <vt:lpstr>IS (2)</vt:lpstr>
      <vt:lpstr>BS (2)</vt:lpstr>
      <vt:lpstr>Data (2)</vt:lpstr>
      <vt:lpstr>cashdiv</vt:lpstr>
      <vt:lpstr>cfo</vt:lpstr>
      <vt:lpstr>'BS (2)'!Print_Area</vt:lpstr>
      <vt:lpstr>'Cash Flow'!Print_Area</vt:lpstr>
      <vt:lpstr>'Commercial Build up (2)'!Print_Area</vt:lpstr>
      <vt:lpstr>'Data (2)'!Print_Area</vt:lpstr>
      <vt:lpstr>'End Market (2)'!Print_Area</vt:lpstr>
      <vt:lpstr>'IS (2)'!Print_Area</vt:lpstr>
      <vt:lpstr>'SEG (2)'!Print_Area</vt:lpstr>
      <vt:lpstr>'Data (2)'!Print_Titles</vt:lpstr>
      <vt:lpstr>q1.20</vt:lpstr>
      <vt:lpstr>q2.20</vt:lpstr>
      <vt:lpstr>q3.20</vt:lpstr>
      <vt:lpstr>q4.20</vt:lpstr>
      <vt:lpstr>repurch</vt:lpstr>
      <vt:lpstr>wc</vt:lpstr>
    </vt:vector>
  </TitlesOfParts>
  <Company>Goldman Sachs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krissa</dc:creator>
  <cp:lastModifiedBy>Xipu Li</cp:lastModifiedBy>
  <cp:lastPrinted>2020-04-13T19:39:53Z</cp:lastPrinted>
  <dcterms:created xsi:type="dcterms:W3CDTF">2009-11-05T09:51:05Z</dcterms:created>
  <dcterms:modified xsi:type="dcterms:W3CDTF">2020-04-30T16:56:51Z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qminfo">
    <vt:i4>3</vt:i4>
  </property>
  <property fmtid="{D5CDD505-2E9C-101B-9397-08002B2CF9AE}" pid="3" name="lqmsess">
    <vt:lpwstr>29291a0d-9a23-48e8-82b4-3c8a381358fd</vt:lpwstr>
  </property>
  <property fmtid="{D5CDD505-2E9C-101B-9397-08002B2CF9AE}" pid="4" name="TitusGUID">
    <vt:lpwstr>fb0f386d-b055-4382-938d-faebfce4af62</vt:lpwstr>
  </property>
  <property fmtid="{D5CDD505-2E9C-101B-9397-08002B2CF9AE}" pid="5" name="Classification">
    <vt:lpwstr>EB</vt:lpwstr>
  </property>
</Properties>
</file>