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pu/Box/Deal Folder/Mercari/"/>
    </mc:Choice>
  </mc:AlternateContent>
  <xr:revisionPtr revIDLastSave="0" documentId="13_ncr:1_{3B798BF1-DD40-6E47-9594-11D0934598E8}" xr6:coauthVersionLast="46" xr6:coauthVersionMax="46" xr10:uidLastSave="{00000000-0000-0000-0000-000000000000}"/>
  <bookViews>
    <workbookView xWindow="20220" yWindow="10260" windowWidth="23380" windowHeight="16280" activeTab="1" xr2:uid="{93219C8B-9E84-7E4F-A427-587A183DD505}"/>
  </bookViews>
  <sheets>
    <sheet name="GMV" sheetId="2" r:id="rId1"/>
    <sheet name="Sheet1" sheetId="3" r:id="rId2"/>
    <sheet name="I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H17" i="3" s="1"/>
  <c r="M59" i="3"/>
  <c r="J42" i="3"/>
  <c r="Q10" i="3"/>
  <c r="N58" i="3"/>
  <c r="O58" i="3" s="1"/>
  <c r="P58" i="3" s="1"/>
  <c r="K54" i="3"/>
  <c r="G30" i="3"/>
  <c r="G3" i="3"/>
  <c r="H3" i="3" s="1"/>
  <c r="H2" i="3"/>
  <c r="I2" i="3" s="1"/>
  <c r="J2" i="3" s="1"/>
  <c r="K2" i="3" s="1"/>
  <c r="L2" i="3" s="1"/>
  <c r="A1" i="3"/>
  <c r="B3" i="3" s="1"/>
  <c r="B5" i="3" s="1"/>
  <c r="B8" i="3" s="1"/>
  <c r="B9" i="3" s="1"/>
  <c r="B12" i="3" s="1"/>
  <c r="B15" i="3" s="1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C8" i="2"/>
  <c r="F7" i="2"/>
  <c r="N48" i="2"/>
  <c r="K12" i="2"/>
  <c r="N45" i="2"/>
  <c r="C12" i="2"/>
  <c r="D12" i="2"/>
  <c r="E12" i="2"/>
  <c r="F12" i="2"/>
  <c r="G12" i="2"/>
  <c r="H12" i="2"/>
  <c r="I12" i="2"/>
  <c r="J12" i="2"/>
  <c r="N34" i="2"/>
  <c r="P31" i="2" s="1"/>
  <c r="D10" i="2"/>
  <c r="E10" i="2"/>
  <c r="F10" i="2"/>
  <c r="G10" i="2"/>
  <c r="H10" i="2"/>
  <c r="I10" i="2"/>
  <c r="J10" i="2"/>
  <c r="K10" i="2"/>
  <c r="C10" i="2"/>
  <c r="H7" i="2"/>
  <c r="I7" i="2"/>
  <c r="J7" i="2"/>
  <c r="K7" i="2"/>
  <c r="G7" i="2"/>
  <c r="E8" i="2"/>
  <c r="F8" i="2"/>
  <c r="G8" i="2"/>
  <c r="H8" i="2"/>
  <c r="I8" i="2"/>
  <c r="J8" i="2"/>
  <c r="K8" i="2"/>
  <c r="D8" i="2"/>
  <c r="L29" i="3" l="1"/>
  <c r="M29" i="3" s="1"/>
  <c r="H6" i="3"/>
  <c r="H9" i="3" s="1"/>
  <c r="H11" i="3" s="1"/>
  <c r="I3" i="3"/>
  <c r="H30" i="3"/>
  <c r="I30" i="3" s="1"/>
  <c r="J30" i="3" s="1"/>
  <c r="K30" i="3" s="1"/>
  <c r="L30" i="3" s="1"/>
  <c r="P28" i="2"/>
  <c r="P30" i="2"/>
  <c r="P33" i="2"/>
  <c r="P29" i="2"/>
  <c r="P32" i="2"/>
  <c r="N38" i="2"/>
  <c r="N49" i="2"/>
  <c r="N50" i="2" s="1"/>
  <c r="H13" i="3" l="1"/>
  <c r="H14" i="3" s="1"/>
  <c r="J3" i="3"/>
  <c r="I6" i="3"/>
  <c r="I9" i="3" s="1"/>
  <c r="I11" i="3" s="1"/>
  <c r="I13" i="3" l="1"/>
  <c r="I14" i="3" s="1"/>
  <c r="J6" i="3"/>
  <c r="J9" i="3" s="1"/>
  <c r="J11" i="3" s="1"/>
  <c r="K3" i="3"/>
  <c r="J13" i="3" l="1"/>
  <c r="J14" i="3" s="1"/>
  <c r="J43" i="3" s="1"/>
  <c r="L3" i="3"/>
  <c r="L6" i="3" s="1"/>
  <c r="L9" i="3" s="1"/>
  <c r="L11" i="3" s="1"/>
  <c r="K6" i="3"/>
  <c r="K9" i="3" s="1"/>
  <c r="K11" i="3" s="1"/>
  <c r="L13" i="3" l="1"/>
  <c r="L14" i="3" s="1"/>
  <c r="K13" i="3"/>
  <c r="K14" i="3" s="1"/>
  <c r="J46" i="3"/>
  <c r="J47" i="3" s="1"/>
  <c r="K47" i="3" s="1"/>
  <c r="L47" i="3" s="1"/>
  <c r="N47" i="3" l="1"/>
  <c r="J48" i="3"/>
  <c r="K48" i="3" s="1"/>
  <c r="N59" i="3"/>
  <c r="O59" i="3" s="1"/>
  <c r="P59" i="3" s="1"/>
  <c r="H20" i="3"/>
  <c r="H22" i="3" s="1"/>
  <c r="H24" i="3" s="1"/>
  <c r="H25" i="3" s="1"/>
  <c r="H31" i="3" s="1"/>
  <c r="H32" i="3" s="1"/>
  <c r="H37" i="3" s="1"/>
  <c r="H15" i="3" s="1"/>
  <c r="I17" i="3"/>
  <c r="J17" i="3" s="1"/>
  <c r="J20" i="3" s="1"/>
  <c r="J22" i="3" s="1"/>
  <c r="J24" i="3" s="1"/>
  <c r="J25" i="3" s="1"/>
  <c r="J31" i="3" s="1"/>
  <c r="J34" i="3" s="1"/>
  <c r="J39" i="3" s="1"/>
  <c r="J15" i="3" s="1"/>
  <c r="M60" i="3"/>
  <c r="M61" i="3"/>
  <c r="M62" i="3"/>
  <c r="P60" i="3" l="1"/>
  <c r="P61" i="3" s="1"/>
  <c r="P62" i="3" s="1"/>
  <c r="P64" i="3"/>
  <c r="K17" i="3"/>
  <c r="M47" i="3"/>
  <c r="I20" i="3"/>
  <c r="I22" i="3" s="1"/>
  <c r="I24" i="3" s="1"/>
  <c r="I25" i="3" s="1"/>
  <c r="I31" i="3" s="1"/>
  <c r="I33" i="3" s="1"/>
  <c r="I38" i="3" s="1"/>
  <c r="I15" i="3" s="1"/>
  <c r="O47" i="3" l="1"/>
  <c r="O49" i="3"/>
  <c r="O50" i="3" s="1"/>
  <c r="O51" i="3" s="1"/>
  <c r="L17" i="3"/>
  <c r="L20" i="3" s="1"/>
  <c r="L22" i="3" s="1"/>
  <c r="L24" i="3" s="1"/>
  <c r="L25" i="3" s="1"/>
  <c r="L31" i="3" s="1"/>
  <c r="L36" i="3" s="1"/>
  <c r="L41" i="3" s="1"/>
  <c r="L15" i="3" s="1"/>
  <c r="K20" i="3"/>
  <c r="K22" i="3" s="1"/>
  <c r="K24" i="3" s="1"/>
  <c r="K25" i="3" s="1"/>
  <c r="K31" i="3" s="1"/>
  <c r="K35" i="3" s="1"/>
  <c r="K40" i="3" s="1"/>
  <c r="K15" i="3" s="1"/>
</calcChain>
</file>

<file path=xl/sharedStrings.xml><?xml version="1.0" encoding="utf-8"?>
<sst xmlns="http://schemas.openxmlformats.org/spreadsheetml/2006/main" count="138" uniqueCount="116">
  <si>
    <t>Income Statement</t>
  </si>
  <si>
    <t>30/06/16</t>
  </si>
  <si>
    <t>30/06/17</t>
  </si>
  <si>
    <t>30/06/18</t>
  </si>
  <si>
    <t>30/06/19</t>
  </si>
  <si>
    <t>30/06/20</t>
  </si>
  <si>
    <t>LTM</t>
  </si>
  <si>
    <t>Revenues</t>
  </si>
  <si>
    <t>Total Revenues</t>
  </si>
  <si>
    <t>   % Change YoY</t>
  </si>
  <si>
    <t>Cost of Goods Sold</t>
  </si>
  <si>
    <t>Gross Profit</t>
  </si>
  <si>
    <t>   % Gross Margins</t>
  </si>
  <si>
    <t>Selling General &amp; Admin Expenses</t>
  </si>
  <si>
    <t>Provision for Bad Debts</t>
  </si>
  <si>
    <t>Other Operating Expenses</t>
  </si>
  <si>
    <t>Operating Income</t>
  </si>
  <si>
    <t>   % Operating Margins</t>
  </si>
  <si>
    <t>Interest Expense</t>
  </si>
  <si>
    <t>Interest And Investment Income</t>
  </si>
  <si>
    <t>Currency Exchange Gains (Loss)</t>
  </si>
  <si>
    <t>Other Non Operating Income (Expenses)</t>
  </si>
  <si>
    <t>EBT Excl. Unusual Items</t>
  </si>
  <si>
    <t>Gain (Loss) On Sale Of Investments</t>
  </si>
  <si>
    <t>Asset Writedown</t>
  </si>
  <si>
    <t>Other Unusual Items</t>
  </si>
  <si>
    <t>EBT Incl. Unusual Items</t>
  </si>
  <si>
    <t>Income Tax Expense</t>
  </si>
  <si>
    <t>Earnings From Continuing Operations</t>
  </si>
  <si>
    <t>Net Income to Company</t>
  </si>
  <si>
    <t>Minority Interest</t>
  </si>
  <si>
    <t>Net Income</t>
  </si>
  <si>
    <t>Net Income to Common Incl Extra Items</t>
  </si>
  <si>
    <t>   % Net Income to Common Incl Extra Items Margins</t>
  </si>
  <si>
    <t>Net Income to Common Excl. Extra Items</t>
  </si>
  <si>
    <t>   % Net Income to Common Excl. Extra Items Margins</t>
  </si>
  <si>
    <t>Supplementary Data:</t>
  </si>
  <si>
    <t>Diluted EPS Excl Extra Items</t>
  </si>
  <si>
    <t>Weighted Average Diluted Shares Outstanding</t>
  </si>
  <si>
    <t>Weighted Average Basic Shares Outstanding</t>
  </si>
  <si>
    <t>Basic EPS</t>
  </si>
  <si>
    <t>EBITDA</t>
  </si>
  <si>
    <t>R&amp;D Expense</t>
  </si>
  <si>
    <t>Selling and Marketing Expense</t>
  </si>
  <si>
    <t>Effective Tax Rate %</t>
  </si>
  <si>
    <t>US</t>
  </si>
  <si>
    <t>19Q4</t>
  </si>
  <si>
    <t>20Q1</t>
  </si>
  <si>
    <t>20Q2</t>
  </si>
  <si>
    <t>20Q3</t>
  </si>
  <si>
    <t>20Q4</t>
  </si>
  <si>
    <t>GMV</t>
  </si>
  <si>
    <t>$ millions</t>
  </si>
  <si>
    <t>YoY Growth</t>
  </si>
  <si>
    <t>MAU</t>
  </si>
  <si>
    <t>millions</t>
  </si>
  <si>
    <t>Japan</t>
  </si>
  <si>
    <t>19Q3</t>
  </si>
  <si>
    <t>19Q1</t>
  </si>
  <si>
    <t>19Q2</t>
  </si>
  <si>
    <t>18Q4</t>
  </si>
  <si>
    <t>QoQ Growth</t>
  </si>
  <si>
    <t>Monthly GMV</t>
  </si>
  <si>
    <t>Promotion</t>
  </si>
  <si>
    <t>Other Expenses</t>
  </si>
  <si>
    <t>Commision Fees</t>
  </si>
  <si>
    <t>SG&amp;A</t>
  </si>
  <si>
    <t>Cost of Sales</t>
  </si>
  <si>
    <t>other cost of Sales</t>
  </si>
  <si>
    <t>Japan Cost Structure (YEN billions)</t>
  </si>
  <si>
    <t>%</t>
  </si>
  <si>
    <t>Total</t>
  </si>
  <si>
    <t>Est. Reve</t>
  </si>
  <si>
    <t>Net Sales</t>
  </si>
  <si>
    <t>Consolidated</t>
  </si>
  <si>
    <t>US Net Sales</t>
  </si>
  <si>
    <t>Merpay and Others</t>
  </si>
  <si>
    <t>Operating Expenses</t>
  </si>
  <si>
    <t>JP</t>
  </si>
  <si>
    <t>18Q3</t>
  </si>
  <si>
    <t>JPY Billions</t>
  </si>
  <si>
    <t>B JPY</t>
  </si>
  <si>
    <t>Assuming 36 MAU</t>
  </si>
  <si>
    <t>Take Rate</t>
  </si>
  <si>
    <t>EBIT</t>
  </si>
  <si>
    <t>Operating Income Margin</t>
  </si>
  <si>
    <t xml:space="preserve">Operating Income </t>
  </si>
  <si>
    <t>convert to MM</t>
  </si>
  <si>
    <t>Convert to MM</t>
  </si>
  <si>
    <t>Shares Out</t>
  </si>
  <si>
    <t>OI per Share</t>
  </si>
  <si>
    <t>Per share price</t>
  </si>
  <si>
    <t>Current Price</t>
  </si>
  <si>
    <t>IRR</t>
  </si>
  <si>
    <t>Implied JP Price</t>
  </si>
  <si>
    <t>Value for US and MerPay</t>
  </si>
  <si>
    <t>Merpay and others</t>
  </si>
  <si>
    <t>Implied EV in JP</t>
  </si>
  <si>
    <t>Implied EV in USD, millions</t>
  </si>
  <si>
    <t>Price Paid</t>
  </si>
  <si>
    <t>return</t>
  </si>
  <si>
    <t>EV Discount to Today</t>
  </si>
  <si>
    <t>Net Sales US, $m</t>
  </si>
  <si>
    <t>10x EV/Sales</t>
  </si>
  <si>
    <t>Convert to JPY</t>
  </si>
  <si>
    <t>Per Share</t>
  </si>
  <si>
    <t>JP EV</t>
  </si>
  <si>
    <t>JP Market Cap</t>
  </si>
  <si>
    <t>cash</t>
  </si>
  <si>
    <t>ev/ebit</t>
  </si>
  <si>
    <t>ev/sales</t>
  </si>
  <si>
    <t>US EV</t>
  </si>
  <si>
    <t>Total EV</t>
  </si>
  <si>
    <t>Total Market Cap</t>
  </si>
  <si>
    <t>2023 Est. Net Sales</t>
  </si>
  <si>
    <t>Implied EV/Sales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</si>
</sst>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74" formatCode="_(* #,##0.0000_);_(* \(#,##0.0000\);_(* &quot;-&quot;????_);_(@_)"/>
  </numFmts>
  <fonts count="17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i/>
      <sz val="14"/>
      <color theme="1"/>
      <name val="Arial"/>
      <family val="2"/>
    </font>
    <font>
      <b/>
      <i/>
      <sz val="14"/>
      <color rgb="FF000000"/>
      <name val="Arial"/>
      <family val="2"/>
    </font>
    <font>
      <sz val="14"/>
      <color rgb="FFF44336"/>
      <name val="Arial"/>
      <family val="2"/>
    </font>
    <font>
      <b/>
      <sz val="14"/>
      <color rgb="FFF44336"/>
      <name val="Arial"/>
      <family val="2"/>
    </font>
    <font>
      <b/>
      <i/>
      <sz val="14"/>
      <color rgb="FFF44336"/>
      <name val="Arial"/>
      <family val="2"/>
    </font>
    <font>
      <i/>
      <sz val="14"/>
      <color theme="1"/>
      <name val="Arial"/>
      <family val="2"/>
    </font>
    <font>
      <i/>
      <sz val="14"/>
      <color rgb="FF000000"/>
      <name val="Arial"/>
      <family val="2"/>
    </font>
    <font>
      <sz val="8"/>
      <name val="Cambria"/>
      <family val="2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4" fontId="3" fillId="0" borderId="0" xfId="0" applyNumberFormat="1" applyFont="1"/>
    <xf numFmtId="0" fontId="4" fillId="0" borderId="0" xfId="0" applyFont="1"/>
    <xf numFmtId="4" fontId="5" fillId="0" borderId="0" xfId="0" applyNumberFormat="1" applyFont="1"/>
    <xf numFmtId="0" fontId="6" fillId="0" borderId="0" xfId="0" applyFont="1"/>
    <xf numFmtId="10" fontId="7" fillId="0" borderId="0" xfId="0" applyNumberFormat="1" applyFont="1"/>
    <xf numFmtId="0" fontId="8" fillId="0" borderId="0" xfId="0" applyFont="1"/>
    <xf numFmtId="4" fontId="8" fillId="0" borderId="0" xfId="0" applyNumberFormat="1" applyFont="1"/>
    <xf numFmtId="4" fontId="9" fillId="0" borderId="0" xfId="0" applyNumberFormat="1" applyFont="1"/>
    <xf numFmtId="0" fontId="9" fillId="0" borderId="0" xfId="0" applyFont="1"/>
    <xf numFmtId="10" fontId="10" fillId="0" borderId="0" xfId="0" applyNumberFormat="1" applyFont="1"/>
    <xf numFmtId="0" fontId="3" fillId="0" borderId="0" xfId="0" applyFont="1"/>
    <xf numFmtId="0" fontId="11" fillId="0" borderId="0" xfId="0" applyFont="1"/>
    <xf numFmtId="10" fontId="12" fillId="0" borderId="0" xfId="0" applyNumberFormat="1" applyFont="1"/>
    <xf numFmtId="10" fontId="8" fillId="0" borderId="0" xfId="0" applyNumberFormat="1" applyFont="1"/>
    <xf numFmtId="10" fontId="3" fillId="0" borderId="0" xfId="0" applyNumberFormat="1" applyFont="1"/>
    <xf numFmtId="0" fontId="14" fillId="0" borderId="0" xfId="0" applyFont="1"/>
    <xf numFmtId="9" fontId="0" fillId="0" borderId="0" xfId="2" applyFont="1"/>
    <xf numFmtId="164" fontId="14" fillId="0" borderId="0" xfId="2" applyNumberFormat="1" applyFont="1"/>
    <xf numFmtId="0" fontId="0" fillId="0" borderId="0" xfId="0" applyAlignment="1">
      <alignment horizontal="right"/>
    </xf>
    <xf numFmtId="43" fontId="0" fillId="0" borderId="0" xfId="1" applyFont="1"/>
    <xf numFmtId="0" fontId="15" fillId="0" borderId="0" xfId="0" applyFont="1"/>
    <xf numFmtId="0" fontId="0" fillId="0" borderId="0" xfId="0" applyFont="1"/>
    <xf numFmtId="14" fontId="0" fillId="0" borderId="0" xfId="0" applyNumberFormat="1"/>
    <xf numFmtId="9" fontId="0" fillId="0" borderId="0" xfId="0" applyNumberFormat="1"/>
    <xf numFmtId="9" fontId="14" fillId="0" borderId="0" xfId="0" applyNumberFormat="1" applyFont="1"/>
    <xf numFmtId="43" fontId="0" fillId="0" borderId="0" xfId="0" applyNumberFormat="1"/>
    <xf numFmtId="165" fontId="0" fillId="0" borderId="0" xfId="1" applyNumberFormat="1" applyFont="1"/>
    <xf numFmtId="9" fontId="16" fillId="0" borderId="0" xfId="0" applyNumberFormat="1" applyFont="1"/>
    <xf numFmtId="165" fontId="0" fillId="0" borderId="0" xfId="0" applyNumberFormat="1"/>
    <xf numFmtId="2" fontId="0" fillId="0" borderId="0" xfId="0" applyNumberFormat="1"/>
    <xf numFmtId="174" fontId="0" fillId="0" borderId="0" xfId="0" applyNumberFormat="1"/>
    <xf numFmtId="0" fontId="0" fillId="0" borderId="1" xfId="0" applyBorder="1"/>
    <xf numFmtId="165" fontId="0" fillId="0" borderId="2" xfId="1" applyNumberFormat="1" applyFont="1" applyBorder="1"/>
    <xf numFmtId="0" fontId="0" fillId="0" borderId="2" xfId="0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GMV!$B$5:$G$5</c:f>
              <c:strCache>
                <c:ptCount val="6"/>
                <c:pt idx="0">
                  <c:v>18Q3</c:v>
                </c:pt>
                <c:pt idx="1">
                  <c:v>18Q4</c:v>
                </c:pt>
                <c:pt idx="2">
                  <c:v>19Q1</c:v>
                </c:pt>
                <c:pt idx="3">
                  <c:v>19Q2</c:v>
                </c:pt>
                <c:pt idx="4">
                  <c:v>19Q3</c:v>
                </c:pt>
                <c:pt idx="5">
                  <c:v>19Q4</c:v>
                </c:pt>
              </c:strCache>
            </c:strRef>
          </c:cat>
          <c:val>
            <c:numRef>
              <c:f>GMV!$B$6:$G$6</c:f>
              <c:numCache>
                <c:formatCode>General</c:formatCode>
                <c:ptCount val="6"/>
                <c:pt idx="0">
                  <c:v>71</c:v>
                </c:pt>
                <c:pt idx="1">
                  <c:v>87</c:v>
                </c:pt>
                <c:pt idx="2">
                  <c:v>103</c:v>
                </c:pt>
                <c:pt idx="3">
                  <c:v>100</c:v>
                </c:pt>
                <c:pt idx="4">
                  <c:v>109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0-2A47-8585-B96E5541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73680"/>
        <c:axId val="2127787248"/>
      </c:barChart>
      <c:catAx>
        <c:axId val="21277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87248"/>
        <c:crosses val="autoZero"/>
        <c:auto val="1"/>
        <c:lblAlgn val="ctr"/>
        <c:lblOffset val="100"/>
        <c:noMultiLvlLbl val="0"/>
      </c:catAx>
      <c:valAx>
        <c:axId val="2127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3</xdr:row>
      <xdr:rowOff>114300</xdr:rowOff>
    </xdr:from>
    <xdr:to>
      <xdr:col>15</xdr:col>
      <xdr:colOff>698500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A58F4-10E6-344A-B9DC-41C65404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FD7A-2AAC-C14D-ADC9-4E86E66AE8D3}">
  <dimension ref="A3:P50"/>
  <sheetViews>
    <sheetView workbookViewId="0">
      <selection activeCell="B12" sqref="B12"/>
    </sheetView>
  </sheetViews>
  <sheetFormatPr baseColWidth="10" defaultRowHeight="14" x14ac:dyDescent="0.15"/>
  <cols>
    <col min="13" max="13" width="19.5" customWidth="1"/>
  </cols>
  <sheetData>
    <row r="3" spans="1:11" x14ac:dyDescent="0.15">
      <c r="B3" t="s">
        <v>45</v>
      </c>
    </row>
    <row r="5" spans="1:11" x14ac:dyDescent="0.15">
      <c r="A5" t="s">
        <v>52</v>
      </c>
      <c r="B5" t="s">
        <v>79</v>
      </c>
      <c r="C5" s="20" t="s">
        <v>60</v>
      </c>
      <c r="D5" s="20" t="s">
        <v>58</v>
      </c>
      <c r="E5" s="20" t="s">
        <v>59</v>
      </c>
      <c r="F5" s="20" t="s">
        <v>57</v>
      </c>
      <c r="G5" s="20" t="s">
        <v>46</v>
      </c>
      <c r="H5" s="20" t="s">
        <v>47</v>
      </c>
      <c r="I5" s="20" t="s">
        <v>48</v>
      </c>
      <c r="J5" s="20" t="s">
        <v>49</v>
      </c>
      <c r="K5" s="20" t="s">
        <v>50</v>
      </c>
    </row>
    <row r="6" spans="1:11" x14ac:dyDescent="0.15">
      <c r="A6" t="s">
        <v>51</v>
      </c>
      <c r="B6">
        <v>71</v>
      </c>
      <c r="C6">
        <v>87</v>
      </c>
      <c r="D6">
        <v>103</v>
      </c>
      <c r="E6">
        <v>100</v>
      </c>
      <c r="F6">
        <v>109</v>
      </c>
      <c r="G6">
        <v>127</v>
      </c>
      <c r="H6">
        <v>160</v>
      </c>
      <c r="I6">
        <v>284</v>
      </c>
      <c r="J6">
        <v>289</v>
      </c>
      <c r="K6">
        <v>263</v>
      </c>
    </row>
    <row r="7" spans="1:11" x14ac:dyDescent="0.15">
      <c r="A7" s="17" t="s">
        <v>53</v>
      </c>
      <c r="C7" s="19"/>
      <c r="D7" s="19"/>
      <c r="E7" s="19"/>
      <c r="F7" s="19">
        <f>F6/B6-1</f>
        <v>0.53521126760563376</v>
      </c>
      <c r="G7" s="19">
        <f>G6/C6-1</f>
        <v>0.45977011494252884</v>
      </c>
      <c r="H7" s="19">
        <f t="shared" ref="H7:K7" si="0">H6/D6-1</f>
        <v>0.55339805825242716</v>
      </c>
      <c r="I7" s="19">
        <f t="shared" si="0"/>
        <v>1.8399999999999999</v>
      </c>
      <c r="J7" s="19">
        <f t="shared" si="0"/>
        <v>1.6513761467889907</v>
      </c>
      <c r="K7" s="19">
        <f t="shared" si="0"/>
        <v>1.0708661417322833</v>
      </c>
    </row>
    <row r="8" spans="1:11" x14ac:dyDescent="0.15">
      <c r="A8" s="17" t="s">
        <v>61</v>
      </c>
      <c r="C8" s="19">
        <f>C6/B6-1</f>
        <v>0.22535211267605626</v>
      </c>
      <c r="D8" s="19">
        <f>D6/C6-1</f>
        <v>0.18390804597701149</v>
      </c>
      <c r="E8" s="19">
        <f t="shared" ref="E8:K8" si="1">E6/D6-1</f>
        <v>-2.9126213592232997E-2</v>
      </c>
      <c r="F8" s="19">
        <f t="shared" si="1"/>
        <v>9.000000000000008E-2</v>
      </c>
      <c r="G8" s="19">
        <f t="shared" si="1"/>
        <v>0.16513761467889898</v>
      </c>
      <c r="H8" s="19">
        <f t="shared" si="1"/>
        <v>0.25984251968503935</v>
      </c>
      <c r="I8" s="19">
        <f t="shared" si="1"/>
        <v>0.77499999999999991</v>
      </c>
      <c r="J8" s="19">
        <f t="shared" si="1"/>
        <v>1.7605633802816989E-2</v>
      </c>
      <c r="K8" s="19">
        <f t="shared" si="1"/>
        <v>-8.9965397923875479E-2</v>
      </c>
    </row>
    <row r="10" spans="1:11" x14ac:dyDescent="0.15">
      <c r="A10" t="s">
        <v>62</v>
      </c>
      <c r="C10" s="21">
        <f>C6/3</f>
        <v>29</v>
      </c>
      <c r="D10" s="21">
        <f t="shared" ref="D10:K10" si="2">D6/3</f>
        <v>34.333333333333336</v>
      </c>
      <c r="E10" s="21">
        <f t="shared" si="2"/>
        <v>33.333333333333336</v>
      </c>
      <c r="F10" s="21">
        <f t="shared" si="2"/>
        <v>36.333333333333336</v>
      </c>
      <c r="G10" s="21">
        <f t="shared" si="2"/>
        <v>42.333333333333336</v>
      </c>
      <c r="H10" s="21">
        <f t="shared" si="2"/>
        <v>53.333333333333336</v>
      </c>
      <c r="I10" s="21">
        <f t="shared" si="2"/>
        <v>94.666666666666671</v>
      </c>
      <c r="J10" s="21">
        <f t="shared" si="2"/>
        <v>96.333333333333329</v>
      </c>
      <c r="K10" s="21">
        <f t="shared" si="2"/>
        <v>87.666666666666671</v>
      </c>
    </row>
    <row r="12" spans="1:11" x14ac:dyDescent="0.15">
      <c r="A12" t="s">
        <v>72</v>
      </c>
      <c r="C12">
        <f t="shared" ref="C12:J12" si="3">C6*12%</f>
        <v>10.44</v>
      </c>
      <c r="D12">
        <f t="shared" si="3"/>
        <v>12.36</v>
      </c>
      <c r="E12">
        <f t="shared" si="3"/>
        <v>12</v>
      </c>
      <c r="F12">
        <f t="shared" si="3"/>
        <v>13.08</v>
      </c>
      <c r="G12">
        <f t="shared" si="3"/>
        <v>15.24</v>
      </c>
      <c r="H12">
        <f t="shared" si="3"/>
        <v>19.2</v>
      </c>
      <c r="I12">
        <f t="shared" si="3"/>
        <v>34.08</v>
      </c>
      <c r="J12">
        <f t="shared" si="3"/>
        <v>34.68</v>
      </c>
      <c r="K12">
        <f>K6*15%</f>
        <v>39.449999999999996</v>
      </c>
    </row>
    <row r="16" spans="1:11" x14ac:dyDescent="0.15">
      <c r="A16" t="s">
        <v>55</v>
      </c>
    </row>
    <row r="17" spans="1:16" x14ac:dyDescent="0.15">
      <c r="A17" t="s">
        <v>54</v>
      </c>
      <c r="G17">
        <v>2.9</v>
      </c>
      <c r="H17">
        <v>3.4</v>
      </c>
      <c r="I17">
        <v>4.2</v>
      </c>
      <c r="J17">
        <v>4</v>
      </c>
      <c r="K17">
        <v>4.2</v>
      </c>
    </row>
    <row r="22" spans="1:16" x14ac:dyDescent="0.15">
      <c r="G22" t="s">
        <v>56</v>
      </c>
    </row>
    <row r="23" spans="1:16" x14ac:dyDescent="0.15">
      <c r="A23" t="s">
        <v>80</v>
      </c>
    </row>
    <row r="24" spans="1:16" x14ac:dyDescent="0.15">
      <c r="A24" t="s">
        <v>51</v>
      </c>
      <c r="B24">
        <v>99</v>
      </c>
      <c r="C24">
        <v>128.9</v>
      </c>
      <c r="D24">
        <v>133</v>
      </c>
      <c r="E24">
        <v>129.19999999999999</v>
      </c>
      <c r="F24">
        <v>126.8</v>
      </c>
      <c r="G24">
        <v>154.4</v>
      </c>
      <c r="H24">
        <v>164.1</v>
      </c>
      <c r="I24">
        <v>180.4</v>
      </c>
      <c r="J24">
        <v>170.6</v>
      </c>
      <c r="K24">
        <v>197</v>
      </c>
    </row>
    <row r="25" spans="1:16" x14ac:dyDescent="0.15">
      <c r="A25" s="17" t="s">
        <v>53</v>
      </c>
      <c r="C25" s="19"/>
      <c r="D25" s="19"/>
      <c r="E25" s="19"/>
      <c r="F25" s="19">
        <f>F24/B24-1</f>
        <v>0.28080808080808084</v>
      </c>
      <c r="G25" s="19">
        <f>G24/C24-1</f>
        <v>0.19782777346780445</v>
      </c>
      <c r="H25" s="19">
        <f t="shared" ref="H25" si="4">H24/D24-1</f>
        <v>0.23383458646616528</v>
      </c>
      <c r="I25" s="19">
        <f t="shared" ref="I25" si="5">I24/E24-1</f>
        <v>0.39628482972136236</v>
      </c>
      <c r="J25" s="19">
        <f t="shared" ref="J25" si="6">J24/F24-1</f>
        <v>0.34542586750788651</v>
      </c>
      <c r="K25" s="19">
        <f t="shared" ref="K25" si="7">K24/G24-1</f>
        <v>0.27590673575129521</v>
      </c>
    </row>
    <row r="26" spans="1:16" x14ac:dyDescent="0.15">
      <c r="A26" s="17" t="s">
        <v>61</v>
      </c>
      <c r="C26" s="19">
        <f>C24/B24-1</f>
        <v>0.30202020202020208</v>
      </c>
      <c r="D26" s="19">
        <f>D24/C24-1</f>
        <v>3.1807602792862655E-2</v>
      </c>
      <c r="E26" s="19">
        <f t="shared" ref="E26" si="8">E24/D24-1</f>
        <v>-2.8571428571428692E-2</v>
      </c>
      <c r="F26" s="19">
        <f t="shared" ref="F26" si="9">F24/E24-1</f>
        <v>-1.8575851393188736E-2</v>
      </c>
      <c r="G26" s="19">
        <f t="shared" ref="G26" si="10">G24/F24-1</f>
        <v>0.21766561514195581</v>
      </c>
      <c r="H26" s="19">
        <f t="shared" ref="H26" si="11">H24/G24-1</f>
        <v>6.2823834196891193E-2</v>
      </c>
      <c r="I26" s="19">
        <f t="shared" ref="I26" si="12">I24/H24-1</f>
        <v>9.9329677026203544E-2</v>
      </c>
      <c r="J26" s="19">
        <f t="shared" ref="J26" si="13">J24/I24-1</f>
        <v>-5.4323725055432481E-2</v>
      </c>
      <c r="K26" s="19">
        <f t="shared" ref="K26" si="14">K24/J24-1</f>
        <v>0.15474794841735062</v>
      </c>
      <c r="M26" s="20" t="s">
        <v>50</v>
      </c>
    </row>
    <row r="27" spans="1:16" x14ac:dyDescent="0.15">
      <c r="M27" s="22" t="s">
        <v>69</v>
      </c>
      <c r="P27" t="s">
        <v>70</v>
      </c>
    </row>
    <row r="28" spans="1:16" x14ac:dyDescent="0.15">
      <c r="M28" t="s">
        <v>63</v>
      </c>
      <c r="N28">
        <v>4.2</v>
      </c>
      <c r="P28" s="18">
        <f>N28/$N$34</f>
        <v>0.33333333333333331</v>
      </c>
    </row>
    <row r="29" spans="1:16" x14ac:dyDescent="0.15">
      <c r="M29" t="s">
        <v>64</v>
      </c>
      <c r="N29">
        <v>1.7</v>
      </c>
      <c r="P29" s="18">
        <f t="shared" ref="P29:P33" si="15">N29/$N$34</f>
        <v>0.13492063492063491</v>
      </c>
    </row>
    <row r="30" spans="1:16" x14ac:dyDescent="0.15">
      <c r="A30" t="s">
        <v>55</v>
      </c>
      <c r="M30" t="s">
        <v>65</v>
      </c>
      <c r="N30">
        <v>2.4</v>
      </c>
      <c r="P30" s="18">
        <f t="shared" si="15"/>
        <v>0.19047619047619044</v>
      </c>
    </row>
    <row r="31" spans="1:16" x14ac:dyDescent="0.15">
      <c r="A31" t="s">
        <v>54</v>
      </c>
      <c r="G31">
        <v>15.3</v>
      </c>
      <c r="K31">
        <v>18</v>
      </c>
      <c r="M31" t="s">
        <v>66</v>
      </c>
      <c r="N31">
        <v>1.5</v>
      </c>
      <c r="P31" s="18">
        <f t="shared" si="15"/>
        <v>0.11904761904761904</v>
      </c>
    </row>
    <row r="32" spans="1:16" x14ac:dyDescent="0.15">
      <c r="M32" t="s">
        <v>67</v>
      </c>
      <c r="N32">
        <v>1.3</v>
      </c>
      <c r="P32" s="18">
        <f t="shared" si="15"/>
        <v>0.10317460317460317</v>
      </c>
    </row>
    <row r="33" spans="13:16" x14ac:dyDescent="0.15">
      <c r="M33" t="s">
        <v>68</v>
      </c>
      <c r="N33">
        <v>1.5</v>
      </c>
      <c r="P33" s="18">
        <f t="shared" si="15"/>
        <v>0.11904761904761904</v>
      </c>
    </row>
    <row r="34" spans="13:16" x14ac:dyDescent="0.15">
      <c r="M34" s="22" t="s">
        <v>71</v>
      </c>
      <c r="N34">
        <f>SUM(N28:N33)</f>
        <v>12.600000000000001</v>
      </c>
    </row>
    <row r="36" spans="13:16" x14ac:dyDescent="0.15">
      <c r="M36" t="s">
        <v>51</v>
      </c>
      <c r="N36">
        <v>197</v>
      </c>
    </row>
    <row r="37" spans="13:16" x14ac:dyDescent="0.15">
      <c r="M37" t="s">
        <v>73</v>
      </c>
      <c r="N37">
        <v>19</v>
      </c>
    </row>
    <row r="38" spans="13:16" x14ac:dyDescent="0.15">
      <c r="N38">
        <f>N37-N34</f>
        <v>6.3999999999999986</v>
      </c>
    </row>
    <row r="42" spans="13:16" x14ac:dyDescent="0.15">
      <c r="M42" s="22" t="s">
        <v>74</v>
      </c>
    </row>
    <row r="43" spans="13:16" x14ac:dyDescent="0.15">
      <c r="M43" t="s">
        <v>73</v>
      </c>
      <c r="N43">
        <v>26.1</v>
      </c>
    </row>
    <row r="44" spans="13:16" x14ac:dyDescent="0.15">
      <c r="M44" t="s">
        <v>75</v>
      </c>
      <c r="N44">
        <v>4.2</v>
      </c>
    </row>
    <row r="45" spans="13:16" x14ac:dyDescent="0.15">
      <c r="M45" t="s">
        <v>76</v>
      </c>
      <c r="N45">
        <f>N43-N44-N37</f>
        <v>2.9000000000000021</v>
      </c>
    </row>
    <row r="48" spans="13:16" x14ac:dyDescent="0.15">
      <c r="M48" t="s">
        <v>77</v>
      </c>
      <c r="N48">
        <f>18.9+6.1</f>
        <v>25</v>
      </c>
    </row>
    <row r="49" spans="13:14" x14ac:dyDescent="0.15">
      <c r="M49" t="s">
        <v>78</v>
      </c>
      <c r="N49">
        <f>N34</f>
        <v>12.600000000000001</v>
      </c>
    </row>
    <row r="50" spans="13:14" x14ac:dyDescent="0.15">
      <c r="M50" t="s">
        <v>45</v>
      </c>
      <c r="N50">
        <f>N48-N49</f>
        <v>12.399999999999999</v>
      </c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DA7D-2400-1641-AC41-0B409FFD65E7}">
  <dimension ref="A1:Q64"/>
  <sheetViews>
    <sheetView tabSelected="1" topLeftCell="A3" workbookViewId="0">
      <selection activeCell="M19" sqref="M19"/>
    </sheetView>
  </sheetViews>
  <sheetFormatPr baseColWidth="10" defaultRowHeight="14" outlineLevelRow="1" x14ac:dyDescent="0.15"/>
  <cols>
    <col min="7" max="10" width="12.1640625" bestFit="1" customWidth="1"/>
    <col min="11" max="12" width="13.5" bestFit="1" customWidth="1"/>
    <col min="15" max="15" width="12.5" bestFit="1" customWidth="1"/>
  </cols>
  <sheetData>
    <row r="1" spans="1:17" x14ac:dyDescent="0.15">
      <c r="A1">
        <f>197/18</f>
        <v>10.944444444444445</v>
      </c>
      <c r="B1" t="s">
        <v>81</v>
      </c>
    </row>
    <row r="2" spans="1:17" x14ac:dyDescent="0.15">
      <c r="G2" s="24">
        <v>44196</v>
      </c>
      <c r="H2" s="24">
        <f>DATE(YEAR(G2)+1,12,31)</f>
        <v>44561</v>
      </c>
      <c r="I2" s="24">
        <f t="shared" ref="I2:L2" si="0">DATE(YEAR(H2)+1,12,31)</f>
        <v>44926</v>
      </c>
      <c r="J2" s="24">
        <f t="shared" si="0"/>
        <v>45291</v>
      </c>
      <c r="K2" s="24">
        <f t="shared" si="0"/>
        <v>45657</v>
      </c>
      <c r="L2" s="24">
        <f t="shared" si="0"/>
        <v>46022</v>
      </c>
    </row>
    <row r="3" spans="1:17" x14ac:dyDescent="0.15">
      <c r="B3">
        <f>A1*36</f>
        <v>394</v>
      </c>
      <c r="C3" s="17" t="s">
        <v>82</v>
      </c>
      <c r="F3" s="21" t="s">
        <v>73</v>
      </c>
      <c r="G3" s="21">
        <f>19+15.9+16.8+15.3</f>
        <v>67</v>
      </c>
      <c r="H3" s="21">
        <f>G3*(1+H4)</f>
        <v>80.399999999999991</v>
      </c>
      <c r="I3" s="21">
        <f t="shared" ref="I3:L3" si="1">H3*(1+I4)</f>
        <v>96.47999999999999</v>
      </c>
      <c r="J3" s="21">
        <f t="shared" si="1"/>
        <v>115.77599999999998</v>
      </c>
      <c r="K3" s="21">
        <f t="shared" si="1"/>
        <v>138.93119999999996</v>
      </c>
      <c r="L3" s="21">
        <f t="shared" si="1"/>
        <v>166.71743999999995</v>
      </c>
    </row>
    <row r="4" spans="1:17" x14ac:dyDescent="0.15">
      <c r="B4" s="25">
        <v>0.1</v>
      </c>
      <c r="C4" s="17" t="s">
        <v>83</v>
      </c>
      <c r="H4" s="26">
        <v>0.2</v>
      </c>
      <c r="I4" s="26">
        <v>0.2</v>
      </c>
      <c r="J4" s="26">
        <v>0.2</v>
      </c>
      <c r="K4" s="26">
        <v>0.2</v>
      </c>
      <c r="L4" s="26">
        <v>0.2</v>
      </c>
    </row>
    <row r="5" spans="1:17" x14ac:dyDescent="0.15">
      <c r="B5">
        <f>B3*B4</f>
        <v>39.400000000000006</v>
      </c>
      <c r="C5" s="17" t="s">
        <v>73</v>
      </c>
    </row>
    <row r="6" spans="1:17" x14ac:dyDescent="0.15">
      <c r="F6" t="s">
        <v>84</v>
      </c>
      <c r="H6" s="27">
        <f>H3*H7</f>
        <v>24.119999999999997</v>
      </c>
      <c r="I6" s="27">
        <f t="shared" ref="I6:L6" si="2">I3*I7</f>
        <v>28.943999999999996</v>
      </c>
      <c r="J6" s="27">
        <f t="shared" si="2"/>
        <v>34.73279999999999</v>
      </c>
      <c r="K6" s="27">
        <f t="shared" si="2"/>
        <v>41.679359999999988</v>
      </c>
      <c r="L6" s="27">
        <f t="shared" si="2"/>
        <v>50.015231999999983</v>
      </c>
    </row>
    <row r="7" spans="1:17" x14ac:dyDescent="0.15">
      <c r="B7" s="25">
        <v>0.3</v>
      </c>
      <c r="C7" s="17" t="s">
        <v>85</v>
      </c>
      <c r="H7" s="26">
        <v>0.3</v>
      </c>
      <c r="I7" s="26">
        <v>0.3</v>
      </c>
      <c r="J7" s="26">
        <v>0.3</v>
      </c>
      <c r="K7" s="26">
        <v>0.3</v>
      </c>
      <c r="L7" s="26">
        <v>0.3</v>
      </c>
    </row>
    <row r="8" spans="1:17" x14ac:dyDescent="0.15">
      <c r="B8">
        <f>B5*B7</f>
        <v>11.820000000000002</v>
      </c>
      <c r="C8" s="17" t="s">
        <v>86</v>
      </c>
      <c r="H8" s="17"/>
      <c r="I8" s="17"/>
      <c r="J8" s="17"/>
      <c r="K8" s="17"/>
      <c r="L8" s="17"/>
    </row>
    <row r="9" spans="1:17" x14ac:dyDescent="0.15">
      <c r="B9">
        <f>B8*1000</f>
        <v>11820.000000000002</v>
      </c>
      <c r="C9" s="17" t="s">
        <v>87</v>
      </c>
      <c r="F9" t="s">
        <v>88</v>
      </c>
      <c r="H9" s="27">
        <f>H6*1000</f>
        <v>24119.999999999996</v>
      </c>
      <c r="I9" s="27">
        <f t="shared" ref="I9:L9" si="3">I6*1000</f>
        <v>28943.999999999996</v>
      </c>
      <c r="J9" s="27">
        <f t="shared" si="3"/>
        <v>34732.799999999988</v>
      </c>
      <c r="K9" s="27">
        <f t="shared" si="3"/>
        <v>41679.359999999986</v>
      </c>
      <c r="L9" s="27">
        <f t="shared" si="3"/>
        <v>50015.231999999982</v>
      </c>
    </row>
    <row r="10" spans="1:17" x14ac:dyDescent="0.15">
      <c r="G10" s="33" t="s">
        <v>109</v>
      </c>
      <c r="Q10">
        <f>40/2.7</f>
        <v>14.814814814814813</v>
      </c>
    </row>
    <row r="11" spans="1:17" x14ac:dyDescent="0.15">
      <c r="B11">
        <v>157</v>
      </c>
      <c r="C11" s="17" t="s">
        <v>89</v>
      </c>
      <c r="F11" t="s">
        <v>106</v>
      </c>
      <c r="G11" s="35">
        <v>15</v>
      </c>
      <c r="H11" s="28">
        <f>H9*$G$11</f>
        <v>361799.99999999994</v>
      </c>
      <c r="I11" s="28">
        <f t="shared" ref="I11:L11" si="4">I9*$G$11</f>
        <v>434159.99999999994</v>
      </c>
      <c r="J11" s="28">
        <f t="shared" si="4"/>
        <v>520991.99999999983</v>
      </c>
      <c r="K11" s="28">
        <f t="shared" si="4"/>
        <v>625190.39999999979</v>
      </c>
      <c r="L11" s="28">
        <f t="shared" si="4"/>
        <v>750228.47999999975</v>
      </c>
    </row>
    <row r="12" spans="1:17" x14ac:dyDescent="0.15">
      <c r="B12">
        <f>B9/B11</f>
        <v>75.286624203821674</v>
      </c>
      <c r="C12" s="17" t="s">
        <v>90</v>
      </c>
      <c r="G12" s="33" t="s">
        <v>108</v>
      </c>
    </row>
    <row r="13" spans="1:17" x14ac:dyDescent="0.15">
      <c r="F13" t="s">
        <v>107</v>
      </c>
      <c r="G13" s="34">
        <v>100000</v>
      </c>
      <c r="H13" s="28">
        <f>H11+$G$13</f>
        <v>461799.99999999994</v>
      </c>
      <c r="I13" s="28">
        <f t="shared" ref="I13:L13" si="5">I11+$G$13</f>
        <v>534160</v>
      </c>
      <c r="J13" s="28">
        <f t="shared" si="5"/>
        <v>620991.99999999977</v>
      </c>
      <c r="K13" s="28">
        <f t="shared" si="5"/>
        <v>725190.39999999979</v>
      </c>
      <c r="L13" s="28">
        <f t="shared" si="5"/>
        <v>850228.47999999975</v>
      </c>
    </row>
    <row r="14" spans="1:17" x14ac:dyDescent="0.15">
      <c r="B14">
        <v>10</v>
      </c>
      <c r="H14" s="27">
        <f>H13/$B$11</f>
        <v>2941.4012738853498</v>
      </c>
      <c r="I14" s="27">
        <f t="shared" ref="I14:L14" si="6">I13/$B$11</f>
        <v>3402.2929936305732</v>
      </c>
      <c r="J14" s="27">
        <f t="shared" si="6"/>
        <v>3955.3630573248392</v>
      </c>
      <c r="K14" s="27">
        <f t="shared" si="6"/>
        <v>4619.0471337579602</v>
      </c>
      <c r="L14" s="27">
        <f t="shared" si="6"/>
        <v>5415.4680254777059</v>
      </c>
    </row>
    <row r="15" spans="1:17" x14ac:dyDescent="0.15">
      <c r="B15">
        <f>B12*B14</f>
        <v>752.8662420382168</v>
      </c>
      <c r="F15" t="s">
        <v>93</v>
      </c>
      <c r="H15" s="26">
        <f ca="1">SUM(H37:H41)</f>
        <v>-7.1147641539573675E-2</v>
      </c>
      <c r="I15" s="26">
        <f ca="1">SUM(I37:I41)</f>
        <v>4.9931284785270688E-2</v>
      </c>
      <c r="J15" s="26">
        <f ca="1">SUM(J37:J41)</f>
        <v>0.1021393120288849</v>
      </c>
      <c r="K15" s="26">
        <f ca="1">SUM(K37:K41)</f>
        <v>0.12758868336677548</v>
      </c>
      <c r="L15" s="26">
        <f ca="1">SUM(L37:L41)</f>
        <v>0.13744880557060238</v>
      </c>
    </row>
    <row r="17" spans="6:13" x14ac:dyDescent="0.15">
      <c r="F17" t="s">
        <v>75</v>
      </c>
      <c r="G17" s="21">
        <f>M59/0.0092</f>
        <v>13848.91304347826</v>
      </c>
      <c r="H17" s="21">
        <f>G17*(1+H18)</f>
        <v>24928.043478260868</v>
      </c>
      <c r="I17" s="21">
        <f>H17*(1+I18)</f>
        <v>39884.869565217392</v>
      </c>
      <c r="J17" s="21">
        <f t="shared" ref="J17:L17" si="7">I17*(1+J18)</f>
        <v>55838.817391304343</v>
      </c>
      <c r="K17" s="21">
        <f t="shared" si="7"/>
        <v>72590.462608695641</v>
      </c>
      <c r="L17" s="21">
        <f t="shared" si="7"/>
        <v>87108.555130434761</v>
      </c>
    </row>
    <row r="18" spans="6:13" x14ac:dyDescent="0.15">
      <c r="H18" s="26">
        <v>0.8</v>
      </c>
      <c r="I18" s="26">
        <v>0.6</v>
      </c>
      <c r="J18" s="26">
        <v>0.4</v>
      </c>
      <c r="K18" s="26">
        <v>0.3</v>
      </c>
      <c r="L18" s="26">
        <v>0.2</v>
      </c>
    </row>
    <row r="19" spans="6:13" x14ac:dyDescent="0.15">
      <c r="G19" s="33" t="s">
        <v>110</v>
      </c>
    </row>
    <row r="20" spans="6:13" x14ac:dyDescent="0.15">
      <c r="F20" t="s">
        <v>111</v>
      </c>
      <c r="G20" s="35">
        <v>10</v>
      </c>
      <c r="H20" s="27">
        <f>H17*$G$20</f>
        <v>249280.43478260867</v>
      </c>
      <c r="I20" s="27">
        <f t="shared" ref="I20:L20" si="8">I17*$G$20</f>
        <v>398848.69565217395</v>
      </c>
      <c r="J20" s="27">
        <f t="shared" si="8"/>
        <v>558388.17391304346</v>
      </c>
      <c r="K20" s="27">
        <f t="shared" si="8"/>
        <v>725904.62608695636</v>
      </c>
      <c r="L20" s="27">
        <f t="shared" si="8"/>
        <v>871085.55130434758</v>
      </c>
    </row>
    <row r="22" spans="6:13" x14ac:dyDescent="0.15">
      <c r="F22" t="s">
        <v>112</v>
      </c>
      <c r="H22" s="27">
        <f>H11+H20</f>
        <v>611080.43478260865</v>
      </c>
      <c r="I22" s="27">
        <f t="shared" ref="I22:L22" si="9">I11+I20</f>
        <v>833008.69565217383</v>
      </c>
      <c r="J22" s="27">
        <f t="shared" si="9"/>
        <v>1079380.1739130432</v>
      </c>
      <c r="K22" s="27">
        <f t="shared" si="9"/>
        <v>1351095.0260869563</v>
      </c>
      <c r="L22" s="27">
        <f t="shared" si="9"/>
        <v>1621314.0313043473</v>
      </c>
    </row>
    <row r="24" spans="6:13" x14ac:dyDescent="0.15">
      <c r="F24" t="s">
        <v>113</v>
      </c>
      <c r="H24" s="27">
        <f>H22+$G$13</f>
        <v>711080.43478260865</v>
      </c>
      <c r="I24" s="27">
        <f t="shared" ref="I24:L24" si="10">I22+$G$13</f>
        <v>933008.69565217383</v>
      </c>
      <c r="J24" s="27">
        <f t="shared" si="10"/>
        <v>1179380.1739130432</v>
      </c>
      <c r="K24" s="27">
        <f t="shared" si="10"/>
        <v>1451095.0260869563</v>
      </c>
      <c r="L24" s="27">
        <f t="shared" si="10"/>
        <v>1721314.0313043473</v>
      </c>
    </row>
    <row r="25" spans="6:13" x14ac:dyDescent="0.15">
      <c r="F25" t="s">
        <v>105</v>
      </c>
      <c r="H25" s="27">
        <f>H24/$B$11</f>
        <v>4529.1747438382718</v>
      </c>
      <c r="I25" s="27">
        <f t="shared" ref="I25:L25" si="11">I24/$B$11</f>
        <v>5942.7305455552478</v>
      </c>
      <c r="J25" s="27">
        <f t="shared" si="11"/>
        <v>7511.975630019384</v>
      </c>
      <c r="K25" s="27">
        <f t="shared" si="11"/>
        <v>9242.6434782608685</v>
      </c>
      <c r="L25" s="27">
        <f t="shared" si="11"/>
        <v>10963.783638881194</v>
      </c>
    </row>
    <row r="29" spans="6:13" x14ac:dyDescent="0.15">
      <c r="L29" s="21">
        <f ca="1">_xlfn.DAYS(J2,TODAY())</f>
        <v>1029</v>
      </c>
      <c r="M29" s="27">
        <f ca="1">L29/365</f>
        <v>2.8191780821917809</v>
      </c>
    </row>
    <row r="30" spans="6:13" outlineLevel="1" x14ac:dyDescent="0.15">
      <c r="G30" s="24">
        <f ca="1">TODAY()</f>
        <v>44262</v>
      </c>
      <c r="H30" s="24">
        <f ca="1">DATE(YEAR(G30)+1,12,31)</f>
        <v>44926</v>
      </c>
      <c r="I30" s="24">
        <f t="shared" ref="I30:L30" ca="1" si="12">DATE(YEAR(H30)+1,12,31)</f>
        <v>45291</v>
      </c>
      <c r="J30" s="24">
        <f t="shared" ca="1" si="12"/>
        <v>45657</v>
      </c>
      <c r="K30" s="24">
        <f t="shared" ca="1" si="12"/>
        <v>46022</v>
      </c>
      <c r="L30" s="24">
        <f t="shared" ca="1" si="12"/>
        <v>46387</v>
      </c>
    </row>
    <row r="31" spans="6:13" outlineLevel="1" x14ac:dyDescent="0.15">
      <c r="F31" t="s">
        <v>91</v>
      </c>
      <c r="H31" s="27">
        <f>H25</f>
        <v>4529.1747438382718</v>
      </c>
      <c r="I31" s="27">
        <f t="shared" ref="I31:L31" si="13">I25</f>
        <v>5942.7305455552478</v>
      </c>
      <c r="J31" s="27">
        <f t="shared" si="13"/>
        <v>7511.975630019384</v>
      </c>
      <c r="K31" s="27">
        <f t="shared" si="13"/>
        <v>9242.6434782608685</v>
      </c>
      <c r="L31" s="27">
        <f t="shared" si="13"/>
        <v>10963.783638881194</v>
      </c>
    </row>
    <row r="32" spans="6:13" outlineLevel="1" x14ac:dyDescent="0.15">
      <c r="G32">
        <v>-5180</v>
      </c>
      <c r="H32" s="27">
        <f>H31</f>
        <v>4529.1747438382718</v>
      </c>
    </row>
    <row r="33" spans="6:15" outlineLevel="1" x14ac:dyDescent="0.15">
      <c r="F33" t="s">
        <v>93</v>
      </c>
      <c r="G33">
        <v>-5180</v>
      </c>
      <c r="H33" s="25"/>
      <c r="I33" s="27">
        <f>I31</f>
        <v>5942.7305455552478</v>
      </c>
    </row>
    <row r="34" spans="6:15" outlineLevel="1" x14ac:dyDescent="0.15">
      <c r="G34">
        <v>-5180</v>
      </c>
      <c r="J34" s="27">
        <f>J31</f>
        <v>7511.975630019384</v>
      </c>
    </row>
    <row r="35" spans="6:15" outlineLevel="1" x14ac:dyDescent="0.15">
      <c r="G35">
        <v>-5180</v>
      </c>
      <c r="K35" s="27">
        <f>K31</f>
        <v>9242.6434782608685</v>
      </c>
    </row>
    <row r="36" spans="6:15" outlineLevel="1" x14ac:dyDescent="0.15">
      <c r="G36">
        <v>-5180</v>
      </c>
      <c r="L36" s="27">
        <f>L31</f>
        <v>10963.783638881194</v>
      </c>
    </row>
    <row r="37" spans="6:15" outlineLevel="1" x14ac:dyDescent="0.15">
      <c r="H37" s="18">
        <f ca="1">XIRR($G32:H32,$G$30:H$30)</f>
        <v>-7.1147641539573675E-2</v>
      </c>
    </row>
    <row r="38" spans="6:15" outlineLevel="1" x14ac:dyDescent="0.15">
      <c r="H38" s="18"/>
      <c r="I38" s="29">
        <f ca="1">XIRR($G33:I33,$G$30:I$30)</f>
        <v>4.9931284785270688E-2</v>
      </c>
    </row>
    <row r="39" spans="6:15" outlineLevel="1" x14ac:dyDescent="0.15">
      <c r="J39" s="29">
        <f ca="1">XIRR($G34:J34,$G$30:J$30)</f>
        <v>0.1021393120288849</v>
      </c>
    </row>
    <row r="40" spans="6:15" outlineLevel="1" x14ac:dyDescent="0.15">
      <c r="K40" s="29">
        <f ca="1">XIRR($G35:K35,$G$30:K$30)</f>
        <v>0.12758868336677548</v>
      </c>
    </row>
    <row r="41" spans="6:15" outlineLevel="1" x14ac:dyDescent="0.15">
      <c r="L41" s="29">
        <f ca="1">XIRR($G36:L36,$G$30:L$30)</f>
        <v>0.13744880557060238</v>
      </c>
    </row>
    <row r="42" spans="6:15" x14ac:dyDescent="0.15">
      <c r="I42" t="s">
        <v>92</v>
      </c>
      <c r="J42" s="30">
        <f>G32*-1</f>
        <v>5180</v>
      </c>
      <c r="M42" s="25"/>
    </row>
    <row r="43" spans="6:15" x14ac:dyDescent="0.15">
      <c r="I43" t="s">
        <v>94</v>
      </c>
      <c r="J43" s="27">
        <f ca="1">J14/(1.1)^M29</f>
        <v>3023.3818542363547</v>
      </c>
    </row>
    <row r="44" spans="6:15" x14ac:dyDescent="0.15">
      <c r="J44" s="27"/>
    </row>
    <row r="45" spans="6:15" x14ac:dyDescent="0.15">
      <c r="K45" s="22" t="s">
        <v>97</v>
      </c>
      <c r="L45" s="22" t="s">
        <v>98</v>
      </c>
      <c r="M45" t="s">
        <v>114</v>
      </c>
      <c r="N45" t="s">
        <v>101</v>
      </c>
      <c r="O45" t="s">
        <v>115</v>
      </c>
    </row>
    <row r="46" spans="6:15" x14ac:dyDescent="0.15">
      <c r="I46" t="s">
        <v>95</v>
      </c>
      <c r="J46" s="27">
        <f ca="1">J42-J43</f>
        <v>2156.6181457636453</v>
      </c>
    </row>
    <row r="47" spans="6:15" x14ac:dyDescent="0.15">
      <c r="I47" t="s">
        <v>45</v>
      </c>
      <c r="J47" s="27">
        <f ca="1">J46*(3/3)</f>
        <v>2156.6181457636453</v>
      </c>
      <c r="K47" s="27">
        <f ca="1">J47*$B$11</f>
        <v>338589.04888489231</v>
      </c>
      <c r="L47" s="27">
        <f ca="1">K47*0.0092</f>
        <v>3115.0192497410094</v>
      </c>
      <c r="M47" s="32">
        <f>J17*0.0092</f>
        <v>513.71711999999991</v>
      </c>
      <c r="N47" s="27">
        <f ca="1">L47/(1.1)^M29</f>
        <v>2381.0437976921353</v>
      </c>
      <c r="O47" s="31">
        <f ca="1">L47/M47</f>
        <v>6.0636858856115401</v>
      </c>
    </row>
    <row r="48" spans="6:15" x14ac:dyDescent="0.15">
      <c r="I48" t="s">
        <v>96</v>
      </c>
      <c r="J48" s="27">
        <f ca="1">J46-J47</f>
        <v>0</v>
      </c>
      <c r="K48" s="27">
        <f ca="1">J48*10</f>
        <v>0</v>
      </c>
      <c r="L48">
        <v>25.45</v>
      </c>
    </row>
    <row r="49" spans="10:17" x14ac:dyDescent="0.15">
      <c r="O49">
        <f>6*M47</f>
        <v>3082.3027199999997</v>
      </c>
    </row>
    <row r="50" spans="10:17" x14ac:dyDescent="0.15">
      <c r="O50">
        <f>O49/0.0092</f>
        <v>335032.90434782609</v>
      </c>
    </row>
    <row r="51" spans="10:17" x14ac:dyDescent="0.15">
      <c r="O51">
        <f>O50/B11</f>
        <v>2133.9675436167267</v>
      </c>
    </row>
    <row r="53" spans="10:17" x14ac:dyDescent="0.15">
      <c r="J53" t="s">
        <v>99</v>
      </c>
      <c r="K53">
        <v>5854</v>
      </c>
    </row>
    <row r="54" spans="10:17" x14ac:dyDescent="0.15">
      <c r="J54" t="s">
        <v>100</v>
      </c>
      <c r="K54" s="27">
        <f>J42/K53-1</f>
        <v>-0.11513495046122313</v>
      </c>
    </row>
    <row r="58" spans="10:17" x14ac:dyDescent="0.15">
      <c r="M58" s="24">
        <v>44196</v>
      </c>
      <c r="N58" s="24">
        <f>DATE(YEAR(M58)+1,12,31)</f>
        <v>44561</v>
      </c>
      <c r="O58" s="24">
        <f t="shared" ref="O58:P58" si="14">DATE(YEAR(N58)+1,12,31)</f>
        <v>44926</v>
      </c>
      <c r="P58" s="24">
        <f t="shared" si="14"/>
        <v>45291</v>
      </c>
    </row>
    <row r="59" spans="10:17" x14ac:dyDescent="0.15">
      <c r="M59">
        <f>SUM(GMV!H12:K12)</f>
        <v>127.41</v>
      </c>
      <c r="N59">
        <f>M59*1.1</f>
        <v>140.15100000000001</v>
      </c>
      <c r="O59">
        <f>N59*1.1</f>
        <v>154.16610000000003</v>
      </c>
      <c r="P59">
        <f>O59*1.1</f>
        <v>169.58271000000005</v>
      </c>
      <c r="Q59" t="s">
        <v>102</v>
      </c>
    </row>
    <row r="60" spans="10:17" x14ac:dyDescent="0.15">
      <c r="M60">
        <f>M59*13</f>
        <v>1656.33</v>
      </c>
      <c r="P60">
        <f>P59*10</f>
        <v>1695.8271000000004</v>
      </c>
      <c r="Q60" t="s">
        <v>103</v>
      </c>
    </row>
    <row r="61" spans="10:17" x14ac:dyDescent="0.15">
      <c r="M61">
        <f>M60/0.0092</f>
        <v>180035.86956521738</v>
      </c>
      <c r="P61">
        <f>P60/0.0092</f>
        <v>184329.03260869571</v>
      </c>
      <c r="Q61" t="s">
        <v>104</v>
      </c>
    </row>
    <row r="62" spans="10:17" x14ac:dyDescent="0.15">
      <c r="M62">
        <f>M61/$B$11</f>
        <v>1146.7252838548877</v>
      </c>
      <c r="P62">
        <f>P61/$B$11</f>
        <v>1174.0702713929663</v>
      </c>
      <c r="Q62" t="s">
        <v>105</v>
      </c>
    </row>
    <row r="64" spans="10:17" x14ac:dyDescent="0.15">
      <c r="P64" s="27">
        <f ca="1">P59/(1.1)^$M$29</f>
        <v>129.62483614664526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886F-862C-FB4D-AB45-7B42792A9C91}">
  <dimension ref="A1:G48"/>
  <sheetViews>
    <sheetView workbookViewId="0">
      <selection activeCell="J14" sqref="J14"/>
    </sheetView>
  </sheetViews>
  <sheetFormatPr baseColWidth="10" defaultRowHeight="14" x14ac:dyDescent="0.15"/>
  <cols>
    <col min="1" max="1" width="63.33203125" bestFit="1" customWidth="1"/>
    <col min="2" max="7" width="12.6640625" bestFit="1" customWidth="1"/>
  </cols>
  <sheetData>
    <row r="1" spans="1:7" x14ac:dyDescent="0.15">
      <c r="A1" s="23"/>
      <c r="B1" s="23"/>
      <c r="C1" s="23"/>
      <c r="D1" s="23"/>
      <c r="E1" s="23"/>
      <c r="F1" s="23"/>
      <c r="G1" s="23"/>
    </row>
    <row r="2" spans="1:7" ht="18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4" spans="1:7" ht="18" x14ac:dyDescent="0.2">
      <c r="A4" s="1" t="s">
        <v>7</v>
      </c>
      <c r="B4" s="2">
        <v>12256</v>
      </c>
      <c r="C4" s="2">
        <v>22071</v>
      </c>
      <c r="D4" s="2">
        <v>35765</v>
      </c>
      <c r="E4" s="2">
        <v>51683</v>
      </c>
      <c r="F4" s="2">
        <v>76275</v>
      </c>
      <c r="G4" s="2">
        <v>91495</v>
      </c>
    </row>
    <row r="5" spans="1:7" ht="18" x14ac:dyDescent="0.2">
      <c r="A5" s="3" t="s">
        <v>8</v>
      </c>
      <c r="B5" s="4">
        <v>12256</v>
      </c>
      <c r="C5" s="4">
        <v>22071</v>
      </c>
      <c r="D5" s="4">
        <v>35765</v>
      </c>
      <c r="E5" s="4">
        <v>51683</v>
      </c>
      <c r="F5" s="4">
        <v>76275</v>
      </c>
      <c r="G5" s="4">
        <v>91495</v>
      </c>
    </row>
    <row r="6" spans="1:7" ht="18" x14ac:dyDescent="0.2">
      <c r="A6" s="5" t="s">
        <v>9</v>
      </c>
      <c r="B6" s="5"/>
      <c r="C6" s="6">
        <v>0.80100000000000005</v>
      </c>
      <c r="D6" s="6">
        <v>0.62</v>
      </c>
      <c r="E6" s="6">
        <v>0.44500000000000001</v>
      </c>
      <c r="F6" s="6">
        <v>0.47599999999999998</v>
      </c>
      <c r="G6" s="5"/>
    </row>
    <row r="7" spans="1:7" ht="18" x14ac:dyDescent="0.2">
      <c r="A7" s="1" t="s">
        <v>10</v>
      </c>
      <c r="B7" s="7">
        <v>-786</v>
      </c>
      <c r="C7" s="8">
        <v>-2720</v>
      </c>
      <c r="D7" s="8">
        <v>-6806</v>
      </c>
      <c r="E7" s="8">
        <v>-12864</v>
      </c>
      <c r="F7" s="8">
        <v>-20661</v>
      </c>
      <c r="G7" s="8">
        <v>-23244</v>
      </c>
    </row>
    <row r="8" spans="1:7" ht="18" x14ac:dyDescent="0.2">
      <c r="A8" s="3" t="s">
        <v>11</v>
      </c>
      <c r="B8" s="4">
        <v>11470</v>
      </c>
      <c r="C8" s="4">
        <v>19351</v>
      </c>
      <c r="D8" s="4">
        <v>28959</v>
      </c>
      <c r="E8" s="4">
        <v>38819</v>
      </c>
      <c r="F8" s="4">
        <v>55614</v>
      </c>
      <c r="G8" s="4">
        <v>68251</v>
      </c>
    </row>
    <row r="9" spans="1:7" ht="18" x14ac:dyDescent="0.2">
      <c r="A9" s="5" t="s">
        <v>9</v>
      </c>
      <c r="B9" s="5"/>
      <c r="C9" s="6">
        <v>0.68700000000000006</v>
      </c>
      <c r="D9" s="6">
        <v>0.497</v>
      </c>
      <c r="E9" s="6">
        <v>0.34</v>
      </c>
      <c r="F9" s="6">
        <v>0.433</v>
      </c>
      <c r="G9" s="5"/>
    </row>
    <row r="10" spans="1:7" ht="18" x14ac:dyDescent="0.2">
      <c r="A10" s="5" t="s">
        <v>12</v>
      </c>
      <c r="B10" s="6">
        <v>0.93600000000000005</v>
      </c>
      <c r="C10" s="6">
        <v>0.877</v>
      </c>
      <c r="D10" s="6">
        <v>0.81</v>
      </c>
      <c r="E10" s="6">
        <v>0.751</v>
      </c>
      <c r="F10" s="6">
        <v>0.72899999999999998</v>
      </c>
      <c r="G10" s="6">
        <v>0.746</v>
      </c>
    </row>
    <row r="11" spans="1:7" ht="18" x14ac:dyDescent="0.2">
      <c r="A11" s="1" t="s">
        <v>13</v>
      </c>
      <c r="B11" s="8">
        <v>-11513</v>
      </c>
      <c r="C11" s="8">
        <v>-22126</v>
      </c>
      <c r="D11" s="8">
        <v>-33236</v>
      </c>
      <c r="E11" s="8">
        <v>-49153</v>
      </c>
      <c r="F11" s="8">
        <v>-72123</v>
      </c>
      <c r="G11" s="8">
        <v>-69483</v>
      </c>
    </row>
    <row r="12" spans="1:7" ht="18" x14ac:dyDescent="0.2">
      <c r="A12" s="1" t="s">
        <v>14</v>
      </c>
      <c r="B12" s="1"/>
      <c r="C12" s="1"/>
      <c r="D12" s="7">
        <v>-145</v>
      </c>
      <c r="E12" s="7">
        <v>-946</v>
      </c>
      <c r="F12" s="8">
        <v>-2276</v>
      </c>
      <c r="G12" s="8">
        <v>-2276</v>
      </c>
    </row>
    <row r="13" spans="1:7" ht="18" x14ac:dyDescent="0.2">
      <c r="A13" s="1" t="s">
        <v>15</v>
      </c>
      <c r="B13" s="1"/>
      <c r="C13" s="1"/>
      <c r="D13" s="1"/>
      <c r="E13" s="7">
        <v>-869</v>
      </c>
      <c r="F13" s="7">
        <v>-522</v>
      </c>
      <c r="G13" s="7">
        <v>-522</v>
      </c>
    </row>
    <row r="14" spans="1:7" ht="18" x14ac:dyDescent="0.2">
      <c r="A14" s="3" t="s">
        <v>15</v>
      </c>
      <c r="B14" s="9">
        <v>-11513</v>
      </c>
      <c r="C14" s="9">
        <v>-22126</v>
      </c>
      <c r="D14" s="9">
        <v>-33381</v>
      </c>
      <c r="E14" s="9">
        <v>-50968</v>
      </c>
      <c r="F14" s="9">
        <v>-74921</v>
      </c>
      <c r="G14" s="9">
        <v>-72281</v>
      </c>
    </row>
    <row r="15" spans="1:7" ht="18" x14ac:dyDescent="0.2">
      <c r="A15" s="3" t="s">
        <v>16</v>
      </c>
      <c r="B15" s="10">
        <v>-43</v>
      </c>
      <c r="C15" s="9">
        <v>-2775</v>
      </c>
      <c r="D15" s="9">
        <v>-4422</v>
      </c>
      <c r="E15" s="9">
        <v>-12149</v>
      </c>
      <c r="F15" s="9">
        <v>-19307</v>
      </c>
      <c r="G15" s="9">
        <v>-4030</v>
      </c>
    </row>
    <row r="16" spans="1:7" ht="18" x14ac:dyDescent="0.2">
      <c r="A16" s="5" t="s">
        <v>9</v>
      </c>
      <c r="B16" s="5"/>
      <c r="C16" s="6">
        <v>63.534999999999997</v>
      </c>
      <c r="D16" s="6">
        <v>0.59399999999999997</v>
      </c>
      <c r="E16" s="6">
        <v>1.7470000000000001</v>
      </c>
      <c r="F16" s="6">
        <v>0.58899999999999997</v>
      </c>
      <c r="G16" s="5"/>
    </row>
    <row r="17" spans="1:7" ht="18" x14ac:dyDescent="0.2">
      <c r="A17" s="5" t="s">
        <v>17</v>
      </c>
      <c r="B17" s="11">
        <v>-4.0000000000000001E-3</v>
      </c>
      <c r="C17" s="11">
        <v>-0.126</v>
      </c>
      <c r="D17" s="11">
        <v>-0.124</v>
      </c>
      <c r="E17" s="11">
        <v>-0.23499999999999999</v>
      </c>
      <c r="F17" s="11">
        <v>-0.253</v>
      </c>
      <c r="G17" s="11">
        <v>-4.3999999999999997E-2</v>
      </c>
    </row>
    <row r="18" spans="1:7" ht="18" x14ac:dyDescent="0.2">
      <c r="A18" s="1" t="s">
        <v>18</v>
      </c>
      <c r="B18" s="7">
        <v>-8</v>
      </c>
      <c r="C18" s="7">
        <v>-30</v>
      </c>
      <c r="D18" s="7">
        <v>-92</v>
      </c>
      <c r="E18" s="7">
        <v>-78</v>
      </c>
      <c r="F18" s="7">
        <v>-248</v>
      </c>
      <c r="G18" s="7">
        <v>-250</v>
      </c>
    </row>
    <row r="19" spans="1:7" ht="18" x14ac:dyDescent="0.2">
      <c r="A19" s="1" t="s">
        <v>19</v>
      </c>
      <c r="B19" s="12">
        <v>1</v>
      </c>
      <c r="C19" s="12">
        <v>1</v>
      </c>
      <c r="D19" s="12">
        <v>4</v>
      </c>
      <c r="E19" s="12">
        <v>66</v>
      </c>
      <c r="F19" s="12">
        <v>116</v>
      </c>
      <c r="G19" s="12">
        <v>56</v>
      </c>
    </row>
    <row r="20" spans="1:7" ht="18" x14ac:dyDescent="0.2">
      <c r="A20" s="1" t="s">
        <v>20</v>
      </c>
      <c r="B20" s="7">
        <v>-21</v>
      </c>
      <c r="C20" s="12">
        <v>19</v>
      </c>
      <c r="D20" s="7">
        <v>-6</v>
      </c>
      <c r="E20" s="7">
        <v>-34</v>
      </c>
      <c r="F20" s="7">
        <v>-31</v>
      </c>
      <c r="G20" s="7">
        <v>-175</v>
      </c>
    </row>
    <row r="21" spans="1:7" ht="18" x14ac:dyDescent="0.2">
      <c r="A21" s="1" t="s">
        <v>21</v>
      </c>
      <c r="B21" s="7">
        <v>-26</v>
      </c>
      <c r="C21" s="12">
        <v>6</v>
      </c>
      <c r="D21" s="7">
        <v>-226</v>
      </c>
      <c r="E21" s="12">
        <v>24</v>
      </c>
      <c r="F21" s="12">
        <v>79</v>
      </c>
      <c r="G21" s="12">
        <v>94</v>
      </c>
    </row>
    <row r="22" spans="1:7" ht="18" x14ac:dyDescent="0.2">
      <c r="A22" s="3" t="s">
        <v>22</v>
      </c>
      <c r="B22" s="10">
        <v>-97</v>
      </c>
      <c r="C22" s="9">
        <v>-2779</v>
      </c>
      <c r="D22" s="9">
        <v>-4742</v>
      </c>
      <c r="E22" s="9">
        <v>-12171</v>
      </c>
      <c r="F22" s="9">
        <v>-19391</v>
      </c>
      <c r="G22" s="9">
        <v>-4305</v>
      </c>
    </row>
    <row r="23" spans="1:7" ht="18" x14ac:dyDescent="0.2">
      <c r="A23" s="1" t="s">
        <v>23</v>
      </c>
      <c r="B23" s="1"/>
      <c r="C23" s="7">
        <v>-247</v>
      </c>
      <c r="D23" s="7">
        <v>-193</v>
      </c>
      <c r="E23" s="7">
        <v>-206</v>
      </c>
      <c r="F23" s="7">
        <v>-204</v>
      </c>
      <c r="G23" s="2">
        <v>6738</v>
      </c>
    </row>
    <row r="24" spans="1:7" ht="18" x14ac:dyDescent="0.2">
      <c r="A24" s="1" t="s">
        <v>24</v>
      </c>
      <c r="B24" s="1"/>
      <c r="C24" s="1"/>
      <c r="D24" s="1"/>
      <c r="E24" s="1"/>
      <c r="F24" s="7">
        <v>-922</v>
      </c>
      <c r="G24" s="7">
        <v>-922</v>
      </c>
    </row>
    <row r="25" spans="1:7" ht="18" x14ac:dyDescent="0.2">
      <c r="A25" s="1" t="s">
        <v>25</v>
      </c>
      <c r="B25" s="1"/>
      <c r="C25" s="1"/>
      <c r="D25" s="1"/>
      <c r="E25" s="7">
        <v>-190</v>
      </c>
      <c r="F25" s="7">
        <v>-1</v>
      </c>
      <c r="G25" s="7">
        <v>-1</v>
      </c>
    </row>
    <row r="26" spans="1:7" ht="18" x14ac:dyDescent="0.2">
      <c r="A26" s="3" t="s">
        <v>26</v>
      </c>
      <c r="B26" s="10">
        <v>-97</v>
      </c>
      <c r="C26" s="9">
        <v>-3026</v>
      </c>
      <c r="D26" s="9">
        <v>-4935</v>
      </c>
      <c r="E26" s="9">
        <v>-12567</v>
      </c>
      <c r="F26" s="9">
        <v>-20518</v>
      </c>
      <c r="G26" s="4">
        <v>1510</v>
      </c>
    </row>
    <row r="27" spans="1:7" ht="18" x14ac:dyDescent="0.2">
      <c r="A27" s="1" t="s">
        <v>27</v>
      </c>
      <c r="B27" s="7">
        <v>-251</v>
      </c>
      <c r="C27" s="8">
        <v>-1181</v>
      </c>
      <c r="D27" s="8">
        <v>-2106</v>
      </c>
      <c r="E27" s="8">
        <v>-1197</v>
      </c>
      <c r="F27" s="8">
        <v>-2440</v>
      </c>
      <c r="G27" s="8">
        <v>-6230</v>
      </c>
    </row>
    <row r="28" spans="1:7" ht="18" x14ac:dyDescent="0.2">
      <c r="A28" s="3" t="s">
        <v>28</v>
      </c>
      <c r="B28" s="10">
        <v>-348</v>
      </c>
      <c r="C28" s="9">
        <v>-4207</v>
      </c>
      <c r="D28" s="9">
        <v>-7041</v>
      </c>
      <c r="E28" s="9">
        <v>-13764</v>
      </c>
      <c r="F28" s="9">
        <v>-22958</v>
      </c>
      <c r="G28" s="9">
        <v>-4720</v>
      </c>
    </row>
    <row r="29" spans="1:7" ht="18" x14ac:dyDescent="0.2">
      <c r="A29" s="3" t="s">
        <v>29</v>
      </c>
      <c r="B29" s="10">
        <v>-348</v>
      </c>
      <c r="C29" s="9">
        <v>-4207</v>
      </c>
      <c r="D29" s="9">
        <v>-7041</v>
      </c>
      <c r="E29" s="9">
        <v>-13764</v>
      </c>
      <c r="F29" s="9">
        <v>-22958</v>
      </c>
      <c r="G29" s="9">
        <v>-4720</v>
      </c>
    </row>
    <row r="30" spans="1:7" ht="18" x14ac:dyDescent="0.2">
      <c r="A30" s="1" t="s">
        <v>30</v>
      </c>
      <c r="B30" s="1"/>
      <c r="C30" s="1"/>
      <c r="D30" s="1"/>
      <c r="E30" s="1"/>
      <c r="F30" s="12">
        <v>186</v>
      </c>
      <c r="G30" s="12">
        <v>162</v>
      </c>
    </row>
    <row r="31" spans="1:7" ht="18" x14ac:dyDescent="0.2">
      <c r="A31" s="3" t="s">
        <v>31</v>
      </c>
      <c r="B31" s="10">
        <v>-348</v>
      </c>
      <c r="C31" s="9">
        <v>-4207</v>
      </c>
      <c r="D31" s="9">
        <v>-7041</v>
      </c>
      <c r="E31" s="9">
        <v>-13764</v>
      </c>
      <c r="F31" s="9">
        <v>-22772</v>
      </c>
      <c r="G31" s="9">
        <v>-4558</v>
      </c>
    </row>
    <row r="32" spans="1:7" ht="18" x14ac:dyDescent="0.2">
      <c r="A32" s="3" t="s">
        <v>32</v>
      </c>
      <c r="B32" s="10">
        <v>-348</v>
      </c>
      <c r="C32" s="9">
        <v>-4207</v>
      </c>
      <c r="D32" s="9">
        <v>-7041</v>
      </c>
      <c r="E32" s="9">
        <v>-13764</v>
      </c>
      <c r="F32" s="9">
        <v>-22772</v>
      </c>
      <c r="G32" s="9">
        <v>-4558</v>
      </c>
    </row>
    <row r="33" spans="1:7" ht="18" x14ac:dyDescent="0.2">
      <c r="A33" s="5" t="s">
        <v>33</v>
      </c>
      <c r="B33" s="11">
        <v>-2.8000000000000001E-2</v>
      </c>
      <c r="C33" s="11">
        <v>-0.191</v>
      </c>
      <c r="D33" s="11">
        <v>-0.19700000000000001</v>
      </c>
      <c r="E33" s="11">
        <v>-0.26600000000000001</v>
      </c>
      <c r="F33" s="11">
        <v>-0.29899999999999999</v>
      </c>
      <c r="G33" s="11">
        <v>-0.05</v>
      </c>
    </row>
    <row r="34" spans="1:7" ht="18" x14ac:dyDescent="0.2">
      <c r="A34" s="3" t="s">
        <v>34</v>
      </c>
      <c r="B34" s="10">
        <v>-348</v>
      </c>
      <c r="C34" s="9">
        <v>-4207</v>
      </c>
      <c r="D34" s="9">
        <v>-7041</v>
      </c>
      <c r="E34" s="9">
        <v>-13764</v>
      </c>
      <c r="F34" s="9">
        <v>-22772</v>
      </c>
      <c r="G34" s="9">
        <v>-4558</v>
      </c>
    </row>
    <row r="35" spans="1:7" ht="18" x14ac:dyDescent="0.2">
      <c r="A35" s="5" t="s">
        <v>35</v>
      </c>
      <c r="B35" s="11">
        <v>-2.8000000000000001E-2</v>
      </c>
      <c r="C35" s="11">
        <v>-0.191</v>
      </c>
      <c r="D35" s="11">
        <v>-0.19700000000000001</v>
      </c>
      <c r="E35" s="11">
        <v>-0.26600000000000001</v>
      </c>
      <c r="F35" s="11">
        <v>-0.29899999999999999</v>
      </c>
      <c r="G35" s="11">
        <v>-0.05</v>
      </c>
    </row>
    <row r="36" spans="1:7" ht="18" x14ac:dyDescent="0.2">
      <c r="A36" s="5" t="s">
        <v>36</v>
      </c>
    </row>
    <row r="37" spans="1:7" ht="18" x14ac:dyDescent="0.2">
      <c r="A37" s="1" t="s">
        <v>37</v>
      </c>
      <c r="B37" s="7">
        <v>-3.18</v>
      </c>
      <c r="C37" s="7">
        <v>-36.65</v>
      </c>
      <c r="D37" s="7">
        <v>-60.61</v>
      </c>
      <c r="E37" s="7">
        <v>-94.98</v>
      </c>
      <c r="F37" s="7">
        <v>-147.85</v>
      </c>
      <c r="G37" s="7">
        <v>-29.23</v>
      </c>
    </row>
    <row r="38" spans="1:7" ht="18" x14ac:dyDescent="0.2">
      <c r="A38" s="13" t="s">
        <v>9</v>
      </c>
      <c r="B38" s="13"/>
      <c r="C38" s="14">
        <v>10.509</v>
      </c>
      <c r="D38" s="14">
        <v>0.65400000000000003</v>
      </c>
      <c r="E38" s="14">
        <v>0.56699999999999995</v>
      </c>
      <c r="F38" s="14">
        <v>0.55700000000000005</v>
      </c>
      <c r="G38" s="13"/>
    </row>
    <row r="39" spans="1:7" ht="18" x14ac:dyDescent="0.2">
      <c r="A39" s="1" t="s">
        <v>38</v>
      </c>
      <c r="B39" s="12">
        <v>109.29</v>
      </c>
      <c r="C39" s="12">
        <v>114.8</v>
      </c>
      <c r="D39" s="12">
        <v>116.18</v>
      </c>
      <c r="E39" s="12">
        <v>144.91</v>
      </c>
      <c r="F39" s="12">
        <v>154.02000000000001</v>
      </c>
      <c r="G39" s="12">
        <v>155.96</v>
      </c>
    </row>
    <row r="40" spans="1:7" ht="18" x14ac:dyDescent="0.2">
      <c r="A40" s="13" t="s">
        <v>9</v>
      </c>
      <c r="B40" s="13"/>
      <c r="C40" s="14">
        <v>0.05</v>
      </c>
      <c r="D40" s="14">
        <v>1.2E-2</v>
      </c>
      <c r="E40" s="14">
        <v>0.247</v>
      </c>
      <c r="F40" s="14">
        <v>6.3E-2</v>
      </c>
      <c r="G40" s="13"/>
    </row>
    <row r="41" spans="1:7" ht="18" x14ac:dyDescent="0.2">
      <c r="A41" s="1" t="s">
        <v>39</v>
      </c>
      <c r="B41" s="12">
        <v>109.29</v>
      </c>
      <c r="C41" s="12">
        <v>114.8</v>
      </c>
      <c r="D41" s="12">
        <v>116.18</v>
      </c>
      <c r="E41" s="12">
        <v>144.91</v>
      </c>
      <c r="F41" s="12">
        <v>154.02000000000001</v>
      </c>
      <c r="G41" s="12">
        <v>155.96</v>
      </c>
    </row>
    <row r="42" spans="1:7" ht="18" x14ac:dyDescent="0.2">
      <c r="A42" s="13" t="s">
        <v>9</v>
      </c>
      <c r="B42" s="13"/>
      <c r="C42" s="14">
        <v>0.05</v>
      </c>
      <c r="D42" s="14">
        <v>1.2E-2</v>
      </c>
      <c r="E42" s="14">
        <v>0.247</v>
      </c>
      <c r="F42" s="14">
        <v>6.3E-2</v>
      </c>
      <c r="G42" s="13"/>
    </row>
    <row r="43" spans="1:7" ht="18" x14ac:dyDescent="0.2">
      <c r="A43" s="1" t="s">
        <v>40</v>
      </c>
      <c r="B43" s="7">
        <v>-3.18</v>
      </c>
      <c r="C43" s="7">
        <v>-36.65</v>
      </c>
      <c r="D43" s="7">
        <v>-60.61</v>
      </c>
      <c r="E43" s="7">
        <v>-94.98</v>
      </c>
      <c r="F43" s="7">
        <v>-147.85</v>
      </c>
      <c r="G43" s="7">
        <v>-29.23</v>
      </c>
    </row>
    <row r="44" spans="1:7" ht="18" x14ac:dyDescent="0.2">
      <c r="A44" s="1" t="s">
        <v>41</v>
      </c>
      <c r="B44" s="1"/>
      <c r="C44" s="1"/>
      <c r="D44" s="8">
        <v>-3982</v>
      </c>
      <c r="E44" s="8">
        <v>-11084</v>
      </c>
      <c r="F44" s="8">
        <v>-17668</v>
      </c>
      <c r="G44" s="8">
        <v>-2640</v>
      </c>
    </row>
    <row r="45" spans="1:7" ht="18" x14ac:dyDescent="0.2">
      <c r="A45" s="13" t="s">
        <v>9</v>
      </c>
      <c r="B45" s="13"/>
      <c r="C45" s="13"/>
      <c r="D45" s="13"/>
      <c r="E45" s="14">
        <v>1.784</v>
      </c>
      <c r="F45" s="14">
        <v>0.59399999999999997</v>
      </c>
      <c r="G45" s="13"/>
    </row>
    <row r="46" spans="1:7" ht="18" x14ac:dyDescent="0.2">
      <c r="A46" s="1" t="s">
        <v>42</v>
      </c>
      <c r="B46" s="1"/>
      <c r="C46" s="1"/>
      <c r="D46" s="12">
        <v>85</v>
      </c>
      <c r="E46" s="12">
        <v>241</v>
      </c>
      <c r="F46" s="12">
        <v>323</v>
      </c>
      <c r="G46" s="12">
        <v>323</v>
      </c>
    </row>
    <row r="47" spans="1:7" ht="18" x14ac:dyDescent="0.2">
      <c r="A47" s="1" t="s">
        <v>43</v>
      </c>
      <c r="B47" s="1"/>
      <c r="C47" s="1"/>
      <c r="D47" s="2">
        <v>16851</v>
      </c>
      <c r="E47" s="2">
        <v>19317</v>
      </c>
      <c r="F47" s="2">
        <v>34307</v>
      </c>
      <c r="G47" s="2">
        <v>34307</v>
      </c>
    </row>
    <row r="48" spans="1:7" ht="18" x14ac:dyDescent="0.2">
      <c r="A48" s="1" t="s">
        <v>44</v>
      </c>
      <c r="B48" s="15">
        <v>-2.5880000000000001</v>
      </c>
      <c r="C48" s="15">
        <v>-0.39</v>
      </c>
      <c r="D48" s="15">
        <v>-0.42699999999999999</v>
      </c>
      <c r="E48" s="15">
        <v>-9.5000000000000001E-2</v>
      </c>
      <c r="F48" s="15">
        <v>-0.11899999999999999</v>
      </c>
      <c r="G48" s="16">
        <v>4.1260000000000003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GMV</vt:lpstr>
      <vt:lpstr>Sheet1</vt:lpstr>
      <vt:lpstr>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2021-02-21T17:05:28Z</dcterms:created>
  <dcterms:modified xsi:type="dcterms:W3CDTF">2021-03-07T22:33:16Z</dcterms:modified>
</cp:coreProperties>
</file>