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UHC_Goldenrule\"/>
    </mc:Choice>
  </mc:AlternateContent>
  <bookViews>
    <workbookView xWindow="0" yWindow="0" windowWidth="24000" windowHeight="14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0" i="1" l="1"/>
  <c r="B729" i="1"/>
  <c r="B728" i="1"/>
  <c r="I727" i="1"/>
  <c r="B727" i="1"/>
  <c r="H726" i="1"/>
  <c r="B726" i="1"/>
  <c r="B725" i="1"/>
  <c r="B724" i="1"/>
  <c r="B723" i="1"/>
  <c r="B722" i="1"/>
  <c r="B721" i="1"/>
  <c r="B720" i="1"/>
  <c r="B719" i="1"/>
  <c r="I718" i="1"/>
  <c r="B718" i="1"/>
  <c r="B717" i="1"/>
  <c r="I716" i="1"/>
  <c r="B716" i="1"/>
  <c r="H715" i="1"/>
  <c r="B715" i="1"/>
  <c r="B714" i="1"/>
  <c r="I713" i="1"/>
  <c r="B713" i="1"/>
  <c r="B712" i="1"/>
  <c r="B711" i="1"/>
  <c r="B710" i="1"/>
  <c r="B709" i="1"/>
  <c r="B708" i="1"/>
  <c r="B707" i="1"/>
  <c r="B706" i="1"/>
  <c r="B705" i="1"/>
  <c r="B704" i="1"/>
  <c r="B703" i="1"/>
  <c r="H702" i="1"/>
  <c r="B702" i="1"/>
  <c r="B701" i="1"/>
  <c r="I700" i="1"/>
  <c r="B700" i="1"/>
  <c r="B699" i="1"/>
  <c r="B698" i="1"/>
  <c r="B697" i="1"/>
  <c r="B696" i="1"/>
  <c r="B695" i="1"/>
  <c r="B694" i="1"/>
  <c r="B693" i="1"/>
  <c r="B692" i="1"/>
  <c r="B691" i="1"/>
  <c r="B690" i="1"/>
  <c r="I689" i="1"/>
  <c r="B689" i="1"/>
  <c r="B688" i="1"/>
  <c r="I687" i="1"/>
  <c r="B687" i="1"/>
  <c r="B686" i="1"/>
  <c r="B685" i="1"/>
  <c r="B684" i="1"/>
  <c r="B683" i="1"/>
  <c r="I682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H666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H646" i="1"/>
  <c r="B646" i="1"/>
  <c r="B645" i="1"/>
  <c r="H644" i="1"/>
  <c r="B644" i="1"/>
  <c r="B643" i="1"/>
  <c r="H642" i="1"/>
  <c r="B642" i="1"/>
  <c r="B641" i="1"/>
  <c r="I640" i="1"/>
  <c r="B640" i="1"/>
  <c r="B639" i="1"/>
  <c r="B638" i="1"/>
  <c r="H637" i="1"/>
  <c r="B637" i="1"/>
  <c r="B636" i="1"/>
  <c r="H635" i="1"/>
  <c r="B635" i="1"/>
  <c r="B634" i="1"/>
  <c r="B633" i="1"/>
  <c r="B632" i="1"/>
  <c r="H631" i="1"/>
  <c r="B631" i="1"/>
  <c r="H630" i="1"/>
  <c r="B630" i="1"/>
  <c r="H629" i="1"/>
  <c r="B629" i="1"/>
  <c r="B628" i="1"/>
  <c r="H627" i="1"/>
  <c r="B627" i="1"/>
  <c r="B626" i="1"/>
  <c r="H625" i="1"/>
  <c r="B625" i="1"/>
  <c r="I624" i="1"/>
  <c r="B624" i="1"/>
  <c r="H623" i="1"/>
  <c r="B623" i="1"/>
  <c r="H622" i="1"/>
  <c r="B622" i="1"/>
  <c r="B621" i="1"/>
  <c r="H620" i="1"/>
  <c r="B620" i="1"/>
  <c r="H619" i="1"/>
  <c r="B619" i="1"/>
  <c r="B618" i="1"/>
  <c r="H617" i="1"/>
  <c r="B617" i="1"/>
  <c r="I616" i="1"/>
  <c r="B616" i="1"/>
  <c r="B615" i="1"/>
  <c r="B614" i="1"/>
  <c r="B613" i="1"/>
  <c r="I612" i="1"/>
  <c r="H612" i="1"/>
  <c r="B612" i="1"/>
  <c r="H611" i="1"/>
  <c r="B611" i="1"/>
  <c r="H610" i="1"/>
  <c r="B610" i="1"/>
  <c r="I609" i="1"/>
  <c r="B609" i="1"/>
  <c r="H608" i="1"/>
  <c r="B608" i="1"/>
  <c r="H607" i="1"/>
  <c r="B607" i="1"/>
  <c r="H606" i="1"/>
  <c r="B606" i="1"/>
  <c r="B605" i="1"/>
  <c r="H604" i="1"/>
  <c r="B604" i="1"/>
  <c r="B603" i="1"/>
  <c r="B602" i="1"/>
  <c r="B601" i="1"/>
  <c r="H600" i="1"/>
  <c r="B600" i="1"/>
  <c r="B599" i="1"/>
  <c r="B598" i="1"/>
  <c r="I597" i="1"/>
  <c r="B597" i="1"/>
  <c r="H596" i="1"/>
  <c r="B596" i="1"/>
  <c r="B595" i="1"/>
  <c r="B594" i="1"/>
  <c r="B593" i="1"/>
  <c r="B592" i="1"/>
  <c r="B591" i="1"/>
  <c r="B590" i="1"/>
  <c r="H589" i="1"/>
  <c r="B589" i="1"/>
  <c r="B588" i="1"/>
  <c r="B587" i="1"/>
  <c r="H586" i="1"/>
  <c r="B586" i="1"/>
  <c r="B585" i="1"/>
  <c r="B584" i="1"/>
  <c r="B583" i="1"/>
  <c r="B582" i="1"/>
  <c r="H581" i="1"/>
  <c r="B581" i="1"/>
  <c r="B580" i="1"/>
  <c r="B579" i="1"/>
  <c r="B578" i="1"/>
  <c r="B577" i="1"/>
  <c r="H576" i="1"/>
  <c r="B576" i="1"/>
  <c r="B575" i="1"/>
  <c r="B574" i="1"/>
  <c r="B573" i="1"/>
  <c r="B572" i="1"/>
  <c r="B571" i="1"/>
  <c r="I570" i="1"/>
  <c r="B570" i="1"/>
  <c r="H569" i="1"/>
  <c r="B569" i="1"/>
  <c r="B568" i="1"/>
  <c r="H567" i="1"/>
  <c r="B567" i="1"/>
  <c r="B566" i="1"/>
  <c r="B565" i="1"/>
  <c r="B564" i="1"/>
  <c r="B563" i="1"/>
  <c r="B562" i="1"/>
  <c r="B561" i="1"/>
  <c r="B560" i="1"/>
  <c r="B559" i="1"/>
  <c r="B558" i="1"/>
  <c r="I557" i="1"/>
  <c r="B557" i="1"/>
  <c r="B556" i="1"/>
  <c r="H555" i="1"/>
  <c r="B555" i="1"/>
  <c r="H554" i="1"/>
  <c r="B554" i="1"/>
  <c r="H553" i="1"/>
  <c r="B553" i="1"/>
  <c r="H552" i="1"/>
  <c r="B552" i="1"/>
  <c r="H551" i="1"/>
  <c r="B551" i="1"/>
  <c r="H550" i="1"/>
  <c r="B550" i="1"/>
  <c r="B549" i="1"/>
  <c r="B548" i="1"/>
  <c r="H547" i="1"/>
  <c r="B547" i="1"/>
  <c r="B546" i="1"/>
  <c r="B545" i="1"/>
  <c r="B544" i="1"/>
  <c r="B543" i="1"/>
  <c r="B542" i="1"/>
  <c r="B541" i="1"/>
  <c r="B540" i="1"/>
  <c r="B539" i="1"/>
  <c r="B538" i="1"/>
  <c r="B537" i="1"/>
  <c r="H536" i="1"/>
  <c r="B536" i="1"/>
  <c r="I535" i="1"/>
  <c r="B535" i="1"/>
  <c r="B534" i="1"/>
  <c r="B533" i="1"/>
  <c r="B532" i="1"/>
  <c r="B531" i="1"/>
  <c r="B530" i="1"/>
  <c r="H529" i="1"/>
  <c r="B529" i="1"/>
  <c r="B528" i="1"/>
  <c r="B527" i="1"/>
  <c r="B526" i="1"/>
  <c r="B525" i="1"/>
  <c r="H524" i="1"/>
  <c r="B524" i="1"/>
  <c r="H523" i="1"/>
  <c r="B523" i="1"/>
  <c r="H522" i="1"/>
  <c r="B522" i="1"/>
  <c r="B521" i="1"/>
  <c r="H520" i="1"/>
  <c r="B520" i="1"/>
  <c r="B519" i="1"/>
  <c r="B518" i="1"/>
  <c r="H517" i="1"/>
  <c r="B517" i="1"/>
  <c r="I516" i="1"/>
  <c r="B516" i="1"/>
  <c r="H515" i="1"/>
  <c r="B515" i="1"/>
  <c r="H514" i="1"/>
  <c r="B514" i="1"/>
  <c r="B513" i="1"/>
  <c r="H512" i="1"/>
  <c r="B512" i="1"/>
  <c r="H511" i="1"/>
  <c r="B511" i="1"/>
  <c r="B510" i="1"/>
  <c r="B509" i="1"/>
  <c r="B508" i="1"/>
  <c r="B507" i="1"/>
  <c r="B506" i="1"/>
  <c r="B505" i="1"/>
  <c r="B504" i="1"/>
  <c r="B503" i="1"/>
  <c r="B502" i="1"/>
  <c r="I501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H482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H470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I430" i="1"/>
  <c r="B430" i="1"/>
  <c r="B429" i="1"/>
  <c r="B428" i="1"/>
  <c r="B427" i="1"/>
  <c r="B426" i="1"/>
  <c r="B425" i="1"/>
  <c r="B424" i="1"/>
  <c r="B423" i="1"/>
  <c r="B422" i="1"/>
  <c r="B421" i="1"/>
  <c r="I420" i="1"/>
  <c r="B420" i="1"/>
  <c r="B419" i="1"/>
  <c r="B418" i="1"/>
  <c r="B417" i="1"/>
  <c r="B416" i="1"/>
  <c r="H415" i="1"/>
  <c r="B415" i="1"/>
  <c r="B414" i="1"/>
  <c r="B413" i="1"/>
  <c r="I412" i="1"/>
  <c r="B412" i="1"/>
  <c r="H411" i="1"/>
  <c r="B411" i="1"/>
  <c r="B410" i="1"/>
  <c r="B409" i="1"/>
  <c r="B408" i="1"/>
  <c r="B407" i="1"/>
  <c r="B406" i="1"/>
  <c r="I405" i="1"/>
  <c r="B405" i="1"/>
  <c r="B404" i="1"/>
  <c r="B403" i="1"/>
  <c r="B402" i="1"/>
  <c r="B401" i="1"/>
  <c r="I400" i="1"/>
  <c r="B400" i="1"/>
  <c r="B399" i="1"/>
  <c r="B398" i="1"/>
  <c r="I397" i="1"/>
  <c r="B397" i="1"/>
  <c r="B396" i="1"/>
  <c r="I395" i="1"/>
  <c r="B395" i="1"/>
  <c r="I394" i="1"/>
  <c r="B394" i="1"/>
  <c r="B393" i="1"/>
  <c r="I392" i="1"/>
  <c r="B392" i="1"/>
  <c r="B391" i="1"/>
  <c r="H390" i="1"/>
  <c r="B390" i="1"/>
  <c r="B389" i="1"/>
  <c r="I388" i="1"/>
  <c r="B388" i="1"/>
  <c r="B387" i="1"/>
  <c r="B386" i="1"/>
  <c r="B385" i="1"/>
  <c r="B384" i="1"/>
  <c r="H383" i="1"/>
  <c r="B383" i="1"/>
  <c r="B382" i="1"/>
  <c r="B381" i="1"/>
  <c r="B380" i="1"/>
  <c r="B379" i="1"/>
  <c r="H378" i="1"/>
  <c r="B378" i="1"/>
  <c r="B377" i="1"/>
  <c r="B376" i="1"/>
  <c r="B375" i="1"/>
  <c r="B374" i="1"/>
  <c r="I373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I357" i="1"/>
  <c r="B357" i="1"/>
  <c r="B356" i="1"/>
  <c r="B355" i="1"/>
  <c r="H354" i="1"/>
  <c r="B354" i="1"/>
  <c r="B353" i="1"/>
  <c r="H352" i="1"/>
  <c r="B352" i="1"/>
  <c r="B351" i="1"/>
  <c r="I350" i="1"/>
  <c r="B350" i="1"/>
  <c r="H349" i="1"/>
  <c r="B349" i="1"/>
  <c r="I348" i="1"/>
  <c r="B348" i="1"/>
  <c r="H347" i="1"/>
  <c r="B347" i="1"/>
  <c r="B346" i="1"/>
  <c r="B345" i="1"/>
  <c r="H344" i="1"/>
  <c r="B344" i="1"/>
  <c r="B343" i="1"/>
  <c r="H342" i="1"/>
  <c r="B342" i="1"/>
  <c r="B341" i="1"/>
  <c r="B340" i="1"/>
  <c r="H339" i="1"/>
  <c r="B339" i="1"/>
  <c r="B338" i="1"/>
  <c r="B337" i="1"/>
  <c r="H336" i="1"/>
  <c r="B336" i="1"/>
  <c r="B335" i="1"/>
  <c r="H334" i="1"/>
  <c r="B334" i="1"/>
  <c r="B333" i="1"/>
  <c r="B332" i="1"/>
  <c r="B331" i="1"/>
  <c r="H330" i="1"/>
  <c r="B330" i="1"/>
  <c r="H329" i="1"/>
  <c r="B329" i="1"/>
  <c r="H328" i="1"/>
  <c r="B328" i="1"/>
  <c r="H327" i="1"/>
  <c r="B327" i="1"/>
  <c r="B326" i="1"/>
  <c r="B325" i="1"/>
  <c r="H324" i="1"/>
  <c r="B324" i="1"/>
  <c r="I323" i="1"/>
  <c r="B323" i="1"/>
  <c r="B322" i="1"/>
  <c r="I321" i="1"/>
  <c r="B321" i="1"/>
  <c r="H320" i="1"/>
  <c r="B320" i="1"/>
  <c r="H319" i="1"/>
  <c r="B319" i="1"/>
  <c r="B318" i="1"/>
  <c r="B317" i="1"/>
  <c r="B316" i="1"/>
  <c r="H315" i="1"/>
  <c r="B315" i="1"/>
  <c r="H314" i="1"/>
  <c r="B314" i="1"/>
  <c r="I313" i="1"/>
  <c r="B313" i="1"/>
  <c r="I312" i="1"/>
  <c r="B312" i="1"/>
  <c r="H311" i="1"/>
  <c r="B311" i="1"/>
  <c r="H310" i="1"/>
  <c r="B310" i="1"/>
  <c r="B309" i="1"/>
  <c r="H308" i="1"/>
  <c r="B308" i="1"/>
  <c r="B307" i="1"/>
  <c r="H306" i="1"/>
  <c r="B306" i="1"/>
  <c r="H305" i="1"/>
  <c r="B305" i="1"/>
  <c r="B304" i="1"/>
  <c r="B303" i="1"/>
  <c r="H302" i="1"/>
  <c r="B302" i="1"/>
  <c r="B301" i="1"/>
  <c r="H300" i="1"/>
  <c r="B300" i="1"/>
  <c r="H299" i="1"/>
  <c r="B299" i="1"/>
  <c r="I298" i="1"/>
  <c r="H298" i="1"/>
  <c r="B298" i="1"/>
  <c r="B297" i="1"/>
  <c r="B296" i="1"/>
  <c r="B295" i="1"/>
  <c r="H294" i="1"/>
  <c r="B294" i="1"/>
  <c r="I293" i="1"/>
  <c r="B293" i="1"/>
  <c r="I292" i="1"/>
  <c r="B292" i="1"/>
  <c r="B291" i="1"/>
  <c r="B290" i="1"/>
  <c r="B289" i="1"/>
  <c r="B288" i="1"/>
  <c r="B287" i="1"/>
  <c r="H286" i="1"/>
  <c r="B286" i="1"/>
  <c r="I285" i="1"/>
  <c r="B285" i="1"/>
  <c r="H284" i="1"/>
  <c r="B284" i="1"/>
  <c r="B283" i="1"/>
  <c r="B282" i="1"/>
  <c r="B281" i="1"/>
  <c r="B280" i="1"/>
  <c r="I279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H211" i="1"/>
  <c r="B211" i="1"/>
  <c r="B210" i="1"/>
  <c r="B209" i="1"/>
  <c r="B208" i="1"/>
  <c r="H207" i="1"/>
  <c r="B207" i="1"/>
  <c r="H206" i="1"/>
  <c r="B206" i="1"/>
  <c r="B205" i="1"/>
  <c r="H204" i="1"/>
  <c r="B204" i="1"/>
  <c r="H203" i="1"/>
  <c r="B203" i="1"/>
  <c r="I202" i="1"/>
  <c r="B202" i="1"/>
  <c r="B201" i="1"/>
  <c r="B200" i="1"/>
  <c r="B199" i="1"/>
  <c r="I198" i="1"/>
  <c r="B198" i="1"/>
  <c r="B197" i="1"/>
  <c r="H196" i="1"/>
  <c r="B196" i="1"/>
  <c r="H195" i="1"/>
  <c r="B195" i="1"/>
  <c r="H194" i="1"/>
  <c r="B194" i="1"/>
  <c r="B193" i="1"/>
  <c r="H192" i="1"/>
  <c r="B192" i="1"/>
  <c r="B191" i="1"/>
  <c r="B190" i="1"/>
  <c r="I189" i="1"/>
  <c r="B189" i="1"/>
  <c r="H188" i="1"/>
  <c r="B188" i="1"/>
  <c r="H187" i="1"/>
  <c r="B187" i="1"/>
  <c r="B186" i="1"/>
  <c r="B185" i="1"/>
  <c r="B184" i="1"/>
  <c r="B183" i="1"/>
  <c r="I182" i="1"/>
  <c r="B182" i="1"/>
  <c r="I181" i="1"/>
  <c r="B181" i="1"/>
  <c r="B180" i="1"/>
  <c r="H179" i="1"/>
  <c r="B179" i="1"/>
  <c r="B178" i="1"/>
  <c r="I177" i="1"/>
  <c r="B177" i="1"/>
  <c r="B176" i="1"/>
  <c r="H175" i="1"/>
  <c r="B175" i="1"/>
  <c r="B174" i="1"/>
  <c r="H173" i="1"/>
  <c r="B173" i="1"/>
  <c r="I172" i="1"/>
  <c r="B172" i="1"/>
  <c r="B171" i="1"/>
  <c r="H170" i="1"/>
  <c r="B170" i="1"/>
  <c r="B169" i="1"/>
  <c r="B168" i="1"/>
  <c r="B167" i="1"/>
  <c r="B166" i="1"/>
  <c r="H165" i="1"/>
  <c r="B165" i="1"/>
  <c r="H164" i="1"/>
  <c r="B164" i="1"/>
  <c r="B163" i="1"/>
  <c r="B162" i="1"/>
  <c r="H161" i="1"/>
  <c r="B161" i="1"/>
  <c r="B160" i="1"/>
  <c r="B159" i="1"/>
  <c r="B158" i="1"/>
  <c r="I157" i="1"/>
  <c r="B157" i="1"/>
  <c r="H156" i="1"/>
  <c r="B156" i="1"/>
  <c r="H155" i="1"/>
  <c r="B155" i="1"/>
  <c r="I154" i="1"/>
  <c r="B154" i="1"/>
  <c r="H153" i="1"/>
  <c r="B153" i="1"/>
  <c r="B152" i="1"/>
  <c r="H151" i="1"/>
  <c r="B151" i="1"/>
  <c r="B150" i="1"/>
  <c r="B149" i="1"/>
  <c r="I148" i="1"/>
  <c r="B148" i="1"/>
  <c r="B147" i="1"/>
  <c r="B146" i="1"/>
  <c r="B145" i="1"/>
  <c r="B144" i="1"/>
  <c r="H143" i="1"/>
  <c r="B143" i="1"/>
  <c r="H142" i="1"/>
  <c r="B142" i="1"/>
  <c r="B141" i="1"/>
  <c r="B140" i="1"/>
  <c r="B139" i="1"/>
  <c r="I138" i="1"/>
  <c r="B138" i="1"/>
  <c r="H137" i="1"/>
  <c r="B137" i="1"/>
  <c r="H136" i="1"/>
  <c r="B136" i="1"/>
  <c r="B135" i="1"/>
  <c r="I134" i="1"/>
  <c r="B134" i="1"/>
  <c r="B133" i="1"/>
  <c r="I132" i="1"/>
  <c r="B132" i="1"/>
  <c r="B131" i="1"/>
  <c r="B130" i="1"/>
  <c r="H129" i="1"/>
  <c r="B129" i="1"/>
  <c r="H128" i="1"/>
  <c r="B128" i="1"/>
  <c r="H127" i="1"/>
  <c r="B127" i="1"/>
  <c r="H126" i="1"/>
  <c r="B126" i="1"/>
  <c r="B125" i="1"/>
  <c r="B124" i="1"/>
  <c r="B123" i="1"/>
  <c r="H122" i="1"/>
  <c r="B122" i="1"/>
  <c r="B121" i="1"/>
  <c r="B120" i="1"/>
  <c r="B119" i="1"/>
  <c r="B118" i="1"/>
  <c r="B117" i="1"/>
  <c r="B116" i="1"/>
  <c r="B115" i="1"/>
  <c r="I114" i="1"/>
  <c r="B114" i="1"/>
  <c r="B113" i="1"/>
  <c r="H112" i="1"/>
  <c r="B112" i="1"/>
  <c r="B111" i="1"/>
  <c r="I110" i="1"/>
  <c r="B110" i="1"/>
  <c r="B109" i="1"/>
  <c r="B108" i="1"/>
  <c r="B107" i="1"/>
  <c r="B106" i="1"/>
  <c r="B105" i="1"/>
  <c r="B104" i="1"/>
  <c r="B103" i="1"/>
  <c r="I102" i="1"/>
  <c r="B102" i="1"/>
  <c r="B101" i="1"/>
  <c r="I100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I87" i="1"/>
  <c r="B87" i="1"/>
  <c r="B86" i="1"/>
  <c r="I85" i="1"/>
  <c r="B85" i="1"/>
  <c r="B84" i="1"/>
  <c r="B83" i="1"/>
  <c r="B82" i="1"/>
  <c r="I81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H68" i="1"/>
  <c r="B68" i="1"/>
  <c r="B67" i="1"/>
  <c r="B66" i="1"/>
  <c r="B65" i="1"/>
  <c r="B64" i="1"/>
  <c r="B63" i="1"/>
  <c r="B62" i="1"/>
  <c r="B61" i="1"/>
  <c r="B60" i="1"/>
  <c r="H59" i="1"/>
  <c r="B59" i="1"/>
  <c r="B58" i="1"/>
  <c r="B57" i="1"/>
  <c r="B56" i="1"/>
  <c r="H55" i="1"/>
  <c r="B55" i="1"/>
  <c r="B54" i="1"/>
  <c r="B53" i="1"/>
  <c r="B52" i="1"/>
  <c r="B51" i="1"/>
  <c r="B50" i="1"/>
  <c r="B49" i="1"/>
  <c r="B48" i="1"/>
  <c r="B47" i="1"/>
  <c r="B46" i="1"/>
  <c r="I45" i="1"/>
  <c r="B45" i="1"/>
  <c r="B44" i="1"/>
  <c r="B43" i="1"/>
  <c r="B42" i="1"/>
  <c r="I41" i="1"/>
  <c r="B41" i="1"/>
  <c r="I40" i="1"/>
  <c r="B40" i="1"/>
  <c r="B39" i="1"/>
  <c r="B38" i="1"/>
  <c r="B37" i="1"/>
  <c r="B36" i="1"/>
  <c r="B35" i="1"/>
  <c r="B34" i="1"/>
  <c r="B33" i="1"/>
  <c r="B32" i="1"/>
  <c r="B31" i="1"/>
  <c r="B30" i="1"/>
  <c r="H29" i="1"/>
  <c r="B29" i="1"/>
  <c r="B28" i="1"/>
  <c r="B27" i="1"/>
  <c r="I26" i="1"/>
  <c r="B26" i="1"/>
  <c r="B25" i="1"/>
  <c r="B24" i="1"/>
  <c r="B23" i="1"/>
  <c r="B22" i="1"/>
  <c r="B21" i="1"/>
  <c r="I20" i="1"/>
  <c r="B20" i="1"/>
  <c r="B19" i="1"/>
  <c r="I18" i="1"/>
  <c r="B18" i="1"/>
  <c r="B17" i="1"/>
  <c r="B16" i="1"/>
  <c r="B15" i="1"/>
  <c r="B14" i="1"/>
  <c r="B13" i="1"/>
  <c r="B12" i="1"/>
  <c r="B11" i="1"/>
  <c r="B10" i="1"/>
  <c r="B9" i="1"/>
  <c r="H8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<sst xmlns="http://schemas.openxmlformats.org/spreadsheetml/2006/main" count="3751" uniqueCount="941">
  <si>
    <t>SILVER COMPASS HSA 3600 C</t>
  </si>
  <si>
    <t>David Lee Jackson</t>
  </si>
  <si>
    <t>TX</t>
  </si>
  <si>
    <t>GA</t>
  </si>
  <si>
    <t>BRONZE COMPASS 6400</t>
  </si>
  <si>
    <t>AL</t>
  </si>
  <si>
    <t>SILVER COMPASS 5000 C</t>
  </si>
  <si>
    <t>FL</t>
  </si>
  <si>
    <t>BRONZE COMPASS 4200</t>
  </si>
  <si>
    <t>LA</t>
  </si>
  <si>
    <t>SILVER COMPASS 5000 D</t>
  </si>
  <si>
    <t>SILVER COMPASS 4000</t>
  </si>
  <si>
    <t>NC</t>
  </si>
  <si>
    <t>SILVER COMPASS 5000  D</t>
  </si>
  <si>
    <t>SILVER COMPASS BALANCED 2000</t>
  </si>
  <si>
    <t>SILVER COMPASS 5000  C</t>
  </si>
  <si>
    <t>MO</t>
  </si>
  <si>
    <t>SILVER COMPASS HSA 3000</t>
  </si>
  <si>
    <t>SILVER COMPASS HSA 3600</t>
  </si>
  <si>
    <t>GOLD COMPASS 500</t>
  </si>
  <si>
    <t>SILVER COMPASS HSA 3000 C</t>
  </si>
  <si>
    <t>BRONZE COMPASS HSA 5500</t>
  </si>
  <si>
    <t>AZ</t>
  </si>
  <si>
    <t>SILVER COMPASS PLUS 2000 D</t>
  </si>
  <si>
    <t>BRONZE COMPASS PLUS HSA 5500</t>
  </si>
  <si>
    <t>SILVER COMPASS PLUS 2000</t>
  </si>
  <si>
    <t>BRONZE COMPASS HSA 5200</t>
  </si>
  <si>
    <t>IN</t>
  </si>
  <si>
    <t>MI</t>
  </si>
  <si>
    <t>SILVER COMPASS 4000 D</t>
  </si>
  <si>
    <t>SILVER COMPASS 4000 C</t>
  </si>
  <si>
    <t>SILVER COMPASS HSA 3600  C</t>
  </si>
  <si>
    <t>GOLD COMPASS BALANCED 500</t>
  </si>
  <si>
    <t>SILVER COMPASS BALANCED 2000 D</t>
  </si>
  <si>
    <t>SILVER COMPASS BALANCED 4500 C</t>
  </si>
  <si>
    <t>BRONZE COMPASS BALANCED HSA 55</t>
  </si>
  <si>
    <t>SILVER COMPASS BALANCED 2000 C</t>
  </si>
  <si>
    <t>SILVER COMPASS BALANCED HSA 30</t>
  </si>
  <si>
    <t>PA</t>
  </si>
  <si>
    <t>SILVER COMPASS 250</t>
  </si>
  <si>
    <t>BRONZE COMPASS BALANCED 6500</t>
  </si>
  <si>
    <t>BRONZE COMPASS  6400</t>
  </si>
  <si>
    <t>SILVER COMPASS 2000  C</t>
  </si>
  <si>
    <t>SILVER COMPASS 2000  D</t>
  </si>
  <si>
    <t>GOLD COMPASS 1000</t>
  </si>
  <si>
    <t>BRONZE COMPASS 5500</t>
  </si>
  <si>
    <t>OH</t>
  </si>
  <si>
    <t>SILVER COMPASS BALANCED 2000 1</t>
  </si>
  <si>
    <t>SILVER COMPASS 400</t>
  </si>
  <si>
    <t>BRONZE COMPASS 6500</t>
  </si>
  <si>
    <t>SILVER COMPASS 2000 D</t>
  </si>
  <si>
    <t>SILVER COMPASS 100</t>
  </si>
  <si>
    <t>SILVER COMPASS 5000</t>
  </si>
  <si>
    <t>BRONZE COMPASS HSA 4900</t>
  </si>
  <si>
    <t>SILVER COMPASS BALANCED 3500 C</t>
  </si>
  <si>
    <t>SILVER COMPASS HSA 3000 E</t>
  </si>
  <si>
    <t>SILVER COMPASS BALANCED 2000 E</t>
  </si>
  <si>
    <t>PLATINUM COMPASS 250</t>
  </si>
  <si>
    <t>SILVER COMPASS 4000 E</t>
  </si>
  <si>
    <t>SILVER COMPASS 2000 C</t>
  </si>
  <si>
    <t>SILVER COMPASS 2000 E</t>
  </si>
  <si>
    <t>STEWART  DIANE</t>
  </si>
  <si>
    <t>SILVER COMPASS 2000</t>
  </si>
  <si>
    <t>GEORGE  WESTON</t>
  </si>
  <si>
    <t>TERMINATED NON-PAYMENT</t>
  </si>
  <si>
    <t>FRANSISCO  GERALD</t>
  </si>
  <si>
    <t>DECKER  RICHARD</t>
  </si>
  <si>
    <t>JACKSON  SHAERI</t>
  </si>
  <si>
    <t>SPILLER  JANICE</t>
  </si>
  <si>
    <t>JENKINS  EVONDA</t>
  </si>
  <si>
    <t>FONTENOT  CAROL</t>
  </si>
  <si>
    <t>CLATON  JAQUALON</t>
  </si>
  <si>
    <t>LIVINGSTON  DEREK</t>
  </si>
  <si>
    <t>BURNS  KARANDALOUS</t>
  </si>
  <si>
    <t>PAGGETT  DARRIUS</t>
  </si>
  <si>
    <t>MCONNELL  RONNIE</t>
  </si>
  <si>
    <t>ALLEN  ASHLEY</t>
  </si>
  <si>
    <t>JACKSON  LATARSHA</t>
  </si>
  <si>
    <t>MAGEE  LUCIOUS</t>
  </si>
  <si>
    <t>JOHNSON  WILBERT</t>
  </si>
  <si>
    <t>SILVER COMPASS 5000 E</t>
  </si>
  <si>
    <t>MCCARTER  FRED</t>
  </si>
  <si>
    <t>BELCHER  DENNIS</t>
  </si>
  <si>
    <t>TROTTER  DORRIS</t>
  </si>
  <si>
    <t>JONES  ROBERT</t>
  </si>
  <si>
    <t>JENKINS  GLENDA</t>
  </si>
  <si>
    <t>LENARD  KIETH</t>
  </si>
  <si>
    <t>BINET  MICHAEL</t>
  </si>
  <si>
    <t>GARDENER  CRYSTAL</t>
  </si>
  <si>
    <t>MILLER  TAYLOR</t>
  </si>
  <si>
    <t>PEREZ  PATRICIA</t>
  </si>
  <si>
    <t>WILTZ  JAQUELINE</t>
  </si>
  <si>
    <t>PITRE  DAVID</t>
  </si>
  <si>
    <t>JEFFERSON  PAMELA</t>
  </si>
  <si>
    <t>JOHNSON  PAUL</t>
  </si>
  <si>
    <t>BRUMFIELD  RENE</t>
  </si>
  <si>
    <t>SINGLETON  DAVID</t>
  </si>
  <si>
    <t>ALLEN  LINDA</t>
  </si>
  <si>
    <t>BURRELLMCDOWELL  WANDA</t>
  </si>
  <si>
    <t>KLEIN  JENNIFER</t>
  </si>
  <si>
    <t>GLOVER  DARIAN</t>
  </si>
  <si>
    <t>BITTLE  ASHLEY</t>
  </si>
  <si>
    <t>BENSON  QUANTAVEOUS</t>
  </si>
  <si>
    <t>MOORE  LISA</t>
  </si>
  <si>
    <t>WILLIAMS  TERESA</t>
  </si>
  <si>
    <t>BAILEY  DEBRA</t>
  </si>
  <si>
    <t>SCHAEFER  RUSSELL</t>
  </si>
  <si>
    <t>PAIR  CHARLES</t>
  </si>
  <si>
    <t>FELT  DENISE</t>
  </si>
  <si>
    <t>FARMER  ERIC</t>
  </si>
  <si>
    <t>MS</t>
  </si>
  <si>
    <t>HAYNES  WARRENINGTON</t>
  </si>
  <si>
    <t>FRANKS  JEREMY</t>
  </si>
  <si>
    <t>PETTIGREW  MECCA</t>
  </si>
  <si>
    <t>WALTER  JUDY</t>
  </si>
  <si>
    <t>POTTER  ROSE</t>
  </si>
  <si>
    <t>VICKNAIR  LILLIAN</t>
  </si>
  <si>
    <t>MACK  MICHELLE</t>
  </si>
  <si>
    <t>ROSSE  BRUCE</t>
  </si>
  <si>
    <t>MACKEY  CHARLES</t>
  </si>
  <si>
    <t>SUMMER  THOMAS</t>
  </si>
  <si>
    <t>NORMAN  FELICIA</t>
  </si>
  <si>
    <t>IDLEBURGH  JEREMY</t>
  </si>
  <si>
    <t>FARMER  ROSIA</t>
  </si>
  <si>
    <t>CARR  BILLY</t>
  </si>
  <si>
    <t>MOORE  JENNIFER</t>
  </si>
  <si>
    <t>CHAPMAN  STEVEN</t>
  </si>
  <si>
    <t>SILVER CHOICE 4500 C</t>
  </si>
  <si>
    <t>RITAM1923@ATT.NET</t>
  </si>
  <si>
    <t>MITCHELL  RALPH</t>
  </si>
  <si>
    <t>IL</t>
  </si>
  <si>
    <t>CALHOUN  EARNESTINE</t>
  </si>
  <si>
    <t>MAJERUS  JUDITH</t>
  </si>
  <si>
    <t>MAJERUS  CHARLES</t>
  </si>
  <si>
    <t>RON  RSCOTT</t>
  </si>
  <si>
    <t>PETTY  PHILLIP</t>
  </si>
  <si>
    <t>BRONZE CHOICE HSA 5500</t>
  </si>
  <si>
    <t>POPOCA  IRINEO</t>
  </si>
  <si>
    <t>COLLIER  MARY</t>
  </si>
  <si>
    <t>MARTIN  SOPHIA</t>
  </si>
  <si>
    <t>MCCOY  DEBBIE</t>
  </si>
  <si>
    <t>DIPIETRO  KRISTI</t>
  </si>
  <si>
    <t>WILSON  DWINAUNE</t>
  </si>
  <si>
    <t>GLASCO  DOROTHY</t>
  </si>
  <si>
    <t>HOLLOWAY  LETETIUS</t>
  </si>
  <si>
    <t>JACKSON  MARY</t>
  </si>
  <si>
    <t>JOHNSON  MARQUITA</t>
  </si>
  <si>
    <t>LEE  EMILY</t>
  </si>
  <si>
    <t>EDWARDS  BARBARA</t>
  </si>
  <si>
    <t>JOINER  BETTY</t>
  </si>
  <si>
    <t>LEVERETTE  MELVIN</t>
  </si>
  <si>
    <t>GEINER  DEBRA</t>
  </si>
  <si>
    <t>GRANT  ANGELA</t>
  </si>
  <si>
    <t>JONES  LENEAL</t>
  </si>
  <si>
    <t>SICURANZA  PAULA</t>
  </si>
  <si>
    <t>HINES  BETTINA</t>
  </si>
  <si>
    <t>LEE  EARL</t>
  </si>
  <si>
    <t>WILLIAMS  DORA</t>
  </si>
  <si>
    <t>ARNETT  JERRY</t>
  </si>
  <si>
    <t>HERRING  WILLIE</t>
  </si>
  <si>
    <t>MOORE  KATHY</t>
  </si>
  <si>
    <t>ORTIZ  ROBERTO</t>
  </si>
  <si>
    <t>KELLYJONES  MICHAEL</t>
  </si>
  <si>
    <t>DAVIS  BARBARA</t>
  </si>
  <si>
    <t>ISABELLE  RUSSELL</t>
  </si>
  <si>
    <t>NICHOLS  DENEIL</t>
  </si>
  <si>
    <t>EDWARDS  EDWIN</t>
  </si>
  <si>
    <t>DICKENS  CHARLES</t>
  </si>
  <si>
    <t>HARRIS  LEON</t>
  </si>
  <si>
    <t>MINNIEFIELD  ALEXANDER</t>
  </si>
  <si>
    <t>YOUNG  DAKOTA</t>
  </si>
  <si>
    <t>MORGAN  DREKA</t>
  </si>
  <si>
    <t>ROYSTER  BRENDA</t>
  </si>
  <si>
    <t>MCCLENDON  RAPHAEL</t>
  </si>
  <si>
    <t>CRAWFORD  TAMMIE</t>
  </si>
  <si>
    <t>CRAYTON  EDWARD</t>
  </si>
  <si>
    <t>DIFFY  BRITANY</t>
  </si>
  <si>
    <t>ROTHCHILD  MELINAD</t>
  </si>
  <si>
    <t>COLBERT  GLORIA</t>
  </si>
  <si>
    <t>WILLIAMS  BETTY</t>
  </si>
  <si>
    <t>GUNDER  CLAUDIA</t>
  </si>
  <si>
    <t>EDISON  WILQUIESHA</t>
  </si>
  <si>
    <t>TENDER  MYRTLE</t>
  </si>
  <si>
    <t>MACK  SHABRINA</t>
  </si>
  <si>
    <t>BUTLER  SCOTT</t>
  </si>
  <si>
    <t>ALLDAY  DENNIS</t>
  </si>
  <si>
    <t>SINGER  LEE</t>
  </si>
  <si>
    <t>DICKERSON  ELLIS</t>
  </si>
  <si>
    <t>PHILLIPS  STEVEN</t>
  </si>
  <si>
    <t>FOGLE  MALINDA</t>
  </si>
  <si>
    <t>COLYER  LEE</t>
  </si>
  <si>
    <t>TROWER  MICHAEL</t>
  </si>
  <si>
    <t>MJT771@YAHOO.COM</t>
  </si>
  <si>
    <t>BYNUM  SHARON</t>
  </si>
  <si>
    <t>SHARONBYNUM@HOTMAIL.COM</t>
  </si>
  <si>
    <t>RESENDEZ  VERONICA</t>
  </si>
  <si>
    <t>SIMMONS  SETH</t>
  </si>
  <si>
    <t>LUNSFORD  JERMEY</t>
  </si>
  <si>
    <t>SEMONES  DEBBIE</t>
  </si>
  <si>
    <t>SEMONES_DEBBID@YAHOO.COM</t>
  </si>
  <si>
    <t>GRIFFIN  GRETCHEN</t>
  </si>
  <si>
    <t>JOINER  NANCY</t>
  </si>
  <si>
    <t>HELMS  DAVID</t>
  </si>
  <si>
    <t>DAVIDHELMS63052@MAIL.COM</t>
  </si>
  <si>
    <t>VINSON  LEMAR</t>
  </si>
  <si>
    <t>SIMS  CARLA</t>
  </si>
  <si>
    <t>LINDSEY  JUSTIN NOLAN</t>
  </si>
  <si>
    <t>ROMERO  JEANETTE</t>
  </si>
  <si>
    <t>SILVER COMPASS PLUS 2000 C</t>
  </si>
  <si>
    <t>RANGEL GONZALEZ  VANIA</t>
  </si>
  <si>
    <t>PLATINUM COMPASS PLUS 250</t>
  </si>
  <si>
    <t>KNIGHT  MITCHELL</t>
  </si>
  <si>
    <t>LINDSEY  JERRY NOLAN</t>
  </si>
  <si>
    <t>BRADFORD  SHIRLEY</t>
  </si>
  <si>
    <t>REITZELL  LARRY</t>
  </si>
  <si>
    <t>CRAWFORD  LESHUNDRA</t>
  </si>
  <si>
    <t>LESHUNDRACRAWFORD@YMAIL.</t>
  </si>
  <si>
    <t>ONNEAL  EDWARD</t>
  </si>
  <si>
    <t>ANTIS  ROBERT</t>
  </si>
  <si>
    <t>ROVELLO  JOHN</t>
  </si>
  <si>
    <t>CHESTER  ASHLEY</t>
  </si>
  <si>
    <t>ASHLEYCHESTER74@YAHOO.CO</t>
  </si>
  <si>
    <t>CAREY  LINDA</t>
  </si>
  <si>
    <t>HUNTER  JIMMIE</t>
  </si>
  <si>
    <t>MAULDIN  LILA</t>
  </si>
  <si>
    <t>LEWIS  TYSHAE</t>
  </si>
  <si>
    <t>SILVER CHOICE HSA 3000 C</t>
  </si>
  <si>
    <t>MCDERMID  ALLISON</t>
  </si>
  <si>
    <t>BRONZE CHOICE 6500</t>
  </si>
  <si>
    <t>LUCKY  SHARON</t>
  </si>
  <si>
    <t>SWEETWISTER51@YAHOO.COM</t>
  </si>
  <si>
    <t>PERSON  JACQUELINE</t>
  </si>
  <si>
    <t>TAYLOR  ALVAREZ</t>
  </si>
  <si>
    <t>ALVAREZ.TAYLOR@YMAIL.COM</t>
  </si>
  <si>
    <t>RODRIGUEZ  MARIA</t>
  </si>
  <si>
    <t>GHORI  KAREEM</t>
  </si>
  <si>
    <t>SLACK  MICHAEL</t>
  </si>
  <si>
    <t>CONNIEKAYMICKEY@LIVE.COM</t>
  </si>
  <si>
    <t>HARRIS  KAREN</t>
  </si>
  <si>
    <t>DUVAL  SHIVON</t>
  </si>
  <si>
    <t>BACON  CHRISTA</t>
  </si>
  <si>
    <t>CARABALLO  JEANETTE</t>
  </si>
  <si>
    <t>VELEZJEANETTE2013@GMAIL.</t>
  </si>
  <si>
    <t>HUMPHRIES  JERRY</t>
  </si>
  <si>
    <t>JERRYHUMPHRIES30055@EMAI</t>
  </si>
  <si>
    <t>JACKSON  BEATRICE</t>
  </si>
  <si>
    <t>POTTGEN  JOSEPH</t>
  </si>
  <si>
    <t>JOSEPHPOTTGEN@GMAIL.COM</t>
  </si>
  <si>
    <t>BARLOW  LAWRENCE</t>
  </si>
  <si>
    <t>CHEVELLEGILLESPIE@YAHOO.</t>
  </si>
  <si>
    <t>GRIFFIN  HOWARD</t>
  </si>
  <si>
    <t>CAMPOS  ESTELA</t>
  </si>
  <si>
    <t>SOLOMON  KODI</t>
  </si>
  <si>
    <t>MONTEZ  DORIENDA</t>
  </si>
  <si>
    <t>NUNCIO  THERESA</t>
  </si>
  <si>
    <t>CULVER  LUCINDA</t>
  </si>
  <si>
    <t>KING  HARVEY</t>
  </si>
  <si>
    <t>WARK  DEBORAH</t>
  </si>
  <si>
    <t>DAWKINS  WILLIAM</t>
  </si>
  <si>
    <t>YATES  BOBBY</t>
  </si>
  <si>
    <t>SOUTHERLAND  JAIME J</t>
  </si>
  <si>
    <t>HOLIFIED  GREGGORY</t>
  </si>
  <si>
    <t>GREGG.HOLIFIELD@YAHOO.CO</t>
  </si>
  <si>
    <t>PEGUES  CURTIS</t>
  </si>
  <si>
    <t>WOLFE  ROBERT</t>
  </si>
  <si>
    <t>SINGLETARY  ALICE</t>
  </si>
  <si>
    <t>GLENN  STACY</t>
  </si>
  <si>
    <t>1STACYGLENN@GMAIL.COM</t>
  </si>
  <si>
    <t>GOLOWO  KORTO</t>
  </si>
  <si>
    <t>SILVER COMPASS HSA 1100</t>
  </si>
  <si>
    <t>KMGOLOWO@YAHOO.COM</t>
  </si>
  <si>
    <t>BUTT  NAEEM</t>
  </si>
  <si>
    <t>DEYARMIN  MICHAEL</t>
  </si>
  <si>
    <t>HOUSE  DONNA</t>
  </si>
  <si>
    <t>DK1ST@ATT.NET</t>
  </si>
  <si>
    <t>WOODS  ANNETTE</t>
  </si>
  <si>
    <t>MARKS  NINA</t>
  </si>
  <si>
    <t>NINAMARKS322@GMAIL.COM</t>
  </si>
  <si>
    <t>ROWLAND  JOSEPH</t>
  </si>
  <si>
    <t>JOSEPHROWLAND27549@EMAIL</t>
  </si>
  <si>
    <t>CHISM  MARC</t>
  </si>
  <si>
    <t>HALL  JAMES</t>
  </si>
  <si>
    <t>JAHALLJR@BELLSOUTH.NET</t>
  </si>
  <si>
    <t>WASHINGTON  WANDA</t>
  </si>
  <si>
    <t>ASPIOTE  CHRISTOPHER</t>
  </si>
  <si>
    <t>KING  DEBRA</t>
  </si>
  <si>
    <t>SILVER COMPASS HSA 3600  D</t>
  </si>
  <si>
    <t>WATTS  PHILLIP</t>
  </si>
  <si>
    <t>RILEY  MARY</t>
  </si>
  <si>
    <t>LACEWELL  MELISSA</t>
  </si>
  <si>
    <t>ROYAL  RITA</t>
  </si>
  <si>
    <t>BEVILLE  SELMA</t>
  </si>
  <si>
    <t>KING  PATRICIA</t>
  </si>
  <si>
    <t>ELLKLEDFORD@GMAIL.COM</t>
  </si>
  <si>
    <t>WATSON  CHARLES</t>
  </si>
  <si>
    <t>SLOAN  CIERA</t>
  </si>
  <si>
    <t>YOUNGEL  GWENDOLYN</t>
  </si>
  <si>
    <t>ARCE  NATASHA</t>
  </si>
  <si>
    <t>NATASHAJARCE@YAHOO.COM</t>
  </si>
  <si>
    <t>MAMO  JEROME</t>
  </si>
  <si>
    <t>JERRYGLASS7@GMAIL.COM</t>
  </si>
  <si>
    <t>HIPPENSTEAL  JOANNE</t>
  </si>
  <si>
    <t>JTHIPPEN@AOL.COM</t>
  </si>
  <si>
    <t>STIFFEY  TAMMY</t>
  </si>
  <si>
    <t>STARKS  SUSAN</t>
  </si>
  <si>
    <t>STARKS_SUSAN@YAHOO.COM</t>
  </si>
  <si>
    <t>KIAH  AGNES</t>
  </si>
  <si>
    <t>RAMIREZ  SERGIO</t>
  </si>
  <si>
    <t>LIGHTFOOT  MALEAH</t>
  </si>
  <si>
    <t>MALEAHFOOT@YAHOO.COM</t>
  </si>
  <si>
    <t>DAVIS  DAVID</t>
  </si>
  <si>
    <t>SILVER COMPASS BALANCED 4500</t>
  </si>
  <si>
    <t>WSCTXDWD@AOL.COM</t>
  </si>
  <si>
    <t>FORD  MICHAEL</t>
  </si>
  <si>
    <t>MICHAELFORD430.MF@GMAIL.</t>
  </si>
  <si>
    <t>BROWN  RODRIZUE</t>
  </si>
  <si>
    <t>SMITH  RICHARD</t>
  </si>
  <si>
    <t>TN</t>
  </si>
  <si>
    <t>SILVER COMPASS PLUS 5000 D</t>
  </si>
  <si>
    <t>CHARLES  JUALINE</t>
  </si>
  <si>
    <t>WILSON  KRYSTAL</t>
  </si>
  <si>
    <t>SMITH  ESPERANDA</t>
  </si>
  <si>
    <t>HARPER  BRIDGET</t>
  </si>
  <si>
    <t>RILES  DELORES</t>
  </si>
  <si>
    <t>NORTON  CELESTE</t>
  </si>
  <si>
    <t>JOHNSON  TRACI</t>
  </si>
  <si>
    <t>PRUITT  GALE</t>
  </si>
  <si>
    <t>GAYLEPRUITT@NOEMAIL.COM</t>
  </si>
  <si>
    <t>PHILLIPS  RITA</t>
  </si>
  <si>
    <t>BURLESON  JEFFERY</t>
  </si>
  <si>
    <t>BROJEFF1@GMAIL.COM</t>
  </si>
  <si>
    <t>BRYANT  TONYA</t>
  </si>
  <si>
    <t>SCOTT  CECIL</t>
  </si>
  <si>
    <t>SILVER COMPASS PLUS 5000 C</t>
  </si>
  <si>
    <t>BAILEY  JANICE</t>
  </si>
  <si>
    <t>GREEN  JOHNEY</t>
  </si>
  <si>
    <t>DAVENPORT  BRIDGET</t>
  </si>
  <si>
    <t>AKINS  C</t>
  </si>
  <si>
    <t>CAMPBELL  GAIL</t>
  </si>
  <si>
    <t>HANCOCK  STEPHANIE</t>
  </si>
  <si>
    <t>IRWIN  JAMES</t>
  </si>
  <si>
    <t>ALLEN  RUSSELL</t>
  </si>
  <si>
    <t>CAMPBELL  MARY</t>
  </si>
  <si>
    <t>HARRIS  JOHNIE</t>
  </si>
  <si>
    <t>WOOD  FRANK</t>
  </si>
  <si>
    <t>WILLIAMS  ROBERT</t>
  </si>
  <si>
    <t>SNYDER  LONNIE</t>
  </si>
  <si>
    <t>WALKER  TONY</t>
  </si>
  <si>
    <t>SCOTT  DONALD</t>
  </si>
  <si>
    <t>WADE  PEGGY</t>
  </si>
  <si>
    <t>FULLER  JEAN</t>
  </si>
  <si>
    <t>SILVER COMPASS PLUS 5000</t>
  </si>
  <si>
    <t>STRICKLAND  CODELRO</t>
  </si>
  <si>
    <t>WITHEE  CASSIE</t>
  </si>
  <si>
    <t>OSUNA  CELIA</t>
  </si>
  <si>
    <t>SHEAFFER  JOSHUA</t>
  </si>
  <si>
    <t>VA</t>
  </si>
  <si>
    <t>THOMPSON  ANGELA</t>
  </si>
  <si>
    <t>SC</t>
  </si>
  <si>
    <t>TYLER  SAMMY</t>
  </si>
  <si>
    <t>SANDERSON  DONNIE</t>
  </si>
  <si>
    <t>GRAY  DIANE</t>
  </si>
  <si>
    <t>GRAY  JAMES</t>
  </si>
  <si>
    <t>LEWIS  COURTNEY</t>
  </si>
  <si>
    <t>KAYLOR  RICHARD</t>
  </si>
  <si>
    <t>SILVER COMPASS PLUS HSA 3600 C</t>
  </si>
  <si>
    <t>JOHNSON  DAVERA</t>
  </si>
  <si>
    <t>OK</t>
  </si>
  <si>
    <t>BUGGS  ANN</t>
  </si>
  <si>
    <t>KS</t>
  </si>
  <si>
    <t>NACE  DONALD</t>
  </si>
  <si>
    <t>JACKSON  CAROL</t>
  </si>
  <si>
    <t>NE</t>
  </si>
  <si>
    <t>PARKS  RASHAD</t>
  </si>
  <si>
    <t>BENNETT  LORI</t>
  </si>
  <si>
    <t>OGLE  DALE</t>
  </si>
  <si>
    <t>MCKINNEY  CAROLYNE</t>
  </si>
  <si>
    <t>OFFICER  KAREN</t>
  </si>
  <si>
    <t>ROBINSON  HALEY</t>
  </si>
  <si>
    <t>BRADLEY  DOOLEY</t>
  </si>
  <si>
    <t>GOLD COMPASS PLUS 1000</t>
  </si>
  <si>
    <t>DOOLEY.BRADLEY1@ATT.NET</t>
  </si>
  <si>
    <t>PHOEBUS  TRAVIS</t>
  </si>
  <si>
    <t>HANNON  FREDDIE</t>
  </si>
  <si>
    <t>CHADWELL  JENNIFER</t>
  </si>
  <si>
    <t>GUYTON  KALESHA</t>
  </si>
  <si>
    <t>VIAZCON  DIANA</t>
  </si>
  <si>
    <t>WOOTTON  MELISSA</t>
  </si>
  <si>
    <t>JOHNSON  KAREN</t>
  </si>
  <si>
    <t>STARLING  KENNETH</t>
  </si>
  <si>
    <t>OTERO  ORLANDO</t>
  </si>
  <si>
    <t>BRISENO  ABEL</t>
  </si>
  <si>
    <t>SILVER COMPASS 500</t>
  </si>
  <si>
    <t>HARRELL  CORY</t>
  </si>
  <si>
    <t>SUNOSKI  JAMES</t>
  </si>
  <si>
    <t>PACHECO  DAYANIRA</t>
  </si>
  <si>
    <t>deyaniraagomez@yahoo.com</t>
  </si>
  <si>
    <t>PRICE  DAVID</t>
  </si>
  <si>
    <t>DEPRICE91686@GMAIL.COM</t>
  </si>
  <si>
    <t>KELLOM  KELVIN</t>
  </si>
  <si>
    <t>KELLOMKELVIN@YAHOO.COM</t>
  </si>
  <si>
    <t>WILLIAMS  GRACE</t>
  </si>
  <si>
    <t>MCGEE  TINA</t>
  </si>
  <si>
    <t>KERSUY  FLORENCE</t>
  </si>
  <si>
    <t>ROEBUCK  BRONWYN</t>
  </si>
  <si>
    <t>BTROEBUCK@AOL.COM</t>
  </si>
  <si>
    <t>TURNER  DONAVAN</t>
  </si>
  <si>
    <t>donavandturner@gmail.com</t>
  </si>
  <si>
    <t>JOLLY  EUGENIA</t>
  </si>
  <si>
    <t>DUDLEY  BRUCE</t>
  </si>
  <si>
    <t>B_DUDLEY_2000@YAHOO.COM</t>
  </si>
  <si>
    <t>SNEAD  DEEN</t>
  </si>
  <si>
    <t>HOUCHINS  CHRISTOPHER</t>
  </si>
  <si>
    <t>DOCKINS  LISA</t>
  </si>
  <si>
    <t>NURSEDOCKINS@GMAIL.COM</t>
  </si>
  <si>
    <t>MILLER  JABARI</t>
  </si>
  <si>
    <t>MIDDLETON  NANCY</t>
  </si>
  <si>
    <t>CARR  FRANCES</t>
  </si>
  <si>
    <t>MOSLEY  CLIFTON</t>
  </si>
  <si>
    <t>GARCIA  REBECCA</t>
  </si>
  <si>
    <t>BROCK  CHEYENNE</t>
  </si>
  <si>
    <t>SILVER COMPASS PLUS 3500 C</t>
  </si>
  <si>
    <t>ZARAGOZA  HERMILA</t>
  </si>
  <si>
    <t>FELLOWS  TIMOTHY</t>
  </si>
  <si>
    <t>SILVER COMPASS PLUS 2000-1</t>
  </si>
  <si>
    <t>GRIFFIN  CHRISTOPHER</t>
  </si>
  <si>
    <t>MERRIELL  CONNIE</t>
  </si>
  <si>
    <t>BURLIN  THERESIA</t>
  </si>
  <si>
    <t>TEEBURLIN27@GMAIL.COM</t>
  </si>
  <si>
    <t>JENKINS  GINT</t>
  </si>
  <si>
    <t>MCKARRY  MALCOLM</t>
  </si>
  <si>
    <t>DUPOY  WARREN</t>
  </si>
  <si>
    <t>JOHNSON  LARON</t>
  </si>
  <si>
    <t>KAZIOR  BARBARA</t>
  </si>
  <si>
    <t>MENDOZA  MARIA</t>
  </si>
  <si>
    <t>MATRANGA  MARC</t>
  </si>
  <si>
    <t>CUTNER  LARRY</t>
  </si>
  <si>
    <t>LARRYCUTNER57@YAHOO.COM</t>
  </si>
  <si>
    <t>CAVAZOS  DAVID</t>
  </si>
  <si>
    <t>DAVIDCAVAZOS75@GMAIL.COM</t>
  </si>
  <si>
    <t>JOHNSON  GARLAND</t>
  </si>
  <si>
    <t>GARLAND@YAHOO.COM</t>
  </si>
  <si>
    <t>GLANZMAN  CHRIS</t>
  </si>
  <si>
    <t>VAUGHN  DWIGHT</t>
  </si>
  <si>
    <t>BURTON  TROY</t>
  </si>
  <si>
    <t>TROY.M.BURTON@GMAIL.COM</t>
  </si>
  <si>
    <t>PRIEST  JOHN</t>
  </si>
  <si>
    <t>KINLAW  WALLY</t>
  </si>
  <si>
    <t>JONES  BIRDIE</t>
  </si>
  <si>
    <t>DAVIS  BRENDA</t>
  </si>
  <si>
    <t>HENDERSON  DENISE</t>
  </si>
  <si>
    <t>HAYES  TERESA</t>
  </si>
  <si>
    <t>ANDERSON  VALERIE</t>
  </si>
  <si>
    <t>POOLE  THOMAS</t>
  </si>
  <si>
    <t>WILSON  RYAN</t>
  </si>
  <si>
    <t>MCBRIDE  LYNN</t>
  </si>
  <si>
    <t>LMCBRIDE1@CHARTER.NET</t>
  </si>
  <si>
    <t>BROWN  LARRY</t>
  </si>
  <si>
    <t>OAKLEY  DAVID</t>
  </si>
  <si>
    <t>LEWIS  TIFFANY</t>
  </si>
  <si>
    <t>DEARMRSLEWIS@GMAIL.COM</t>
  </si>
  <si>
    <t>BALLARD  SUSAN</t>
  </si>
  <si>
    <t>SBALLARD8523@GMAIL.COM</t>
  </si>
  <si>
    <t>MARSHALL  BRANDON</t>
  </si>
  <si>
    <t>DAVALOS  HUMBERTO</t>
  </si>
  <si>
    <t>SHOEMAKE  DEANNA</t>
  </si>
  <si>
    <t>CASTON  CATHY</t>
  </si>
  <si>
    <t>CATHY.CASTON@ATT.NET</t>
  </si>
  <si>
    <t>MUNOZ  JAIME</t>
  </si>
  <si>
    <t>HANEY  BETTY</t>
  </si>
  <si>
    <t>TOWNSEND  DAVID</t>
  </si>
  <si>
    <t>POWERS  CHARLOTTE</t>
  </si>
  <si>
    <t>PHILLIPS  WILLARD</t>
  </si>
  <si>
    <t>WSP215@VERIZON.NET</t>
  </si>
  <si>
    <t>WEIBLE  PAMELA</t>
  </si>
  <si>
    <t>PAMELAWEIBLE@GMAIL.COM</t>
  </si>
  <si>
    <t>ROSENTHAL  STEVEN</t>
  </si>
  <si>
    <t>JURAND  SABRINA</t>
  </si>
  <si>
    <t>HAYNES MCCOWAN  JOYCE</t>
  </si>
  <si>
    <t>STEELE  ROBERT</t>
  </si>
  <si>
    <t>24CSTEELE@COMCAST.NET</t>
  </si>
  <si>
    <t>HENLEY  GERMAINE</t>
  </si>
  <si>
    <t>OLIVER  BETTY</t>
  </si>
  <si>
    <t>BRACKETT  MICHAEL</t>
  </si>
  <si>
    <t>MONTALVO  SONIA</t>
  </si>
  <si>
    <t>DAVIS  MICHAEL</t>
  </si>
  <si>
    <t>STANLEY  ANTONIO</t>
  </si>
  <si>
    <t>REID  DARRELL</t>
  </si>
  <si>
    <t>NARRON  CHRISTOPHER</t>
  </si>
  <si>
    <t>BRANCH  ANGELA</t>
  </si>
  <si>
    <t>MESERVE  NICHOLAS</t>
  </si>
  <si>
    <t>BULLARD  SHAWN</t>
  </si>
  <si>
    <t>EULABULLARD@EMBARQMAIL.C</t>
  </si>
  <si>
    <t>ROBINETT  KATHY</t>
  </si>
  <si>
    <t>KMR2359@GMAIL.COM</t>
  </si>
  <si>
    <t>KING  ROBERT</t>
  </si>
  <si>
    <t>BOBBYKING1881@GMAIL.COM</t>
  </si>
  <si>
    <t>MC CALL  EVA</t>
  </si>
  <si>
    <t>WILLIAMS  KIMBERLY</t>
  </si>
  <si>
    <t>YOUNG  TRAMICA</t>
  </si>
  <si>
    <t>tramicayoung03@hotmail.c</t>
  </si>
  <si>
    <t>KINSEY  PAULA</t>
  </si>
  <si>
    <t>MZJZY50@YAHOO.COM</t>
  </si>
  <si>
    <t>WILLETT  ASHLY</t>
  </si>
  <si>
    <t>KAGIMBI  JEANPAUL</t>
  </si>
  <si>
    <t>BROWN  LATRESA</t>
  </si>
  <si>
    <t>GIBSON  RHONDA</t>
  </si>
  <si>
    <t>PALAZZOLO  ROBERT</t>
  </si>
  <si>
    <t>VALDIVIA  GENESIS</t>
  </si>
  <si>
    <t>LECLERQC  RAQUEL</t>
  </si>
  <si>
    <t>CAMPBELL  YOLANDA</t>
  </si>
  <si>
    <t>VARAJAS  RAPHAEL</t>
  </si>
  <si>
    <t>FRENCH  KIAWATHA</t>
  </si>
  <si>
    <t>BAJRAMI  RABIAJE</t>
  </si>
  <si>
    <t>MALDONADO  ANGEL</t>
  </si>
  <si>
    <t>ANGELMALDONADO0289@YAHOO</t>
  </si>
  <si>
    <t>CAVAZOS  JESUS</t>
  </si>
  <si>
    <t>MORANVILLE  CHRISTY</t>
  </si>
  <si>
    <t>CARTER  TYNISHA</t>
  </si>
  <si>
    <t>MILLER  ROBIN</t>
  </si>
  <si>
    <t>SILVER COMPASS 4500 D</t>
  </si>
  <si>
    <t>MITCHELL  GARY</t>
  </si>
  <si>
    <t>BROOKS  DAZA</t>
  </si>
  <si>
    <t>ALVAREZ  RAFAEL</t>
  </si>
  <si>
    <t>DYKES  ANDREA</t>
  </si>
  <si>
    <t>SILVER COMPASS HSA 2000</t>
  </si>
  <si>
    <t>BLANDOFORD  TONYA</t>
  </si>
  <si>
    <t>MUSAH  SUFYAN</t>
  </si>
  <si>
    <t>SILVER COMPASS HSA 2000 C</t>
  </si>
  <si>
    <t>CLEYTON  BRIAN</t>
  </si>
  <si>
    <t>BELAK  JOHN</t>
  </si>
  <si>
    <t>SILVER COMPASS 2000 1 C</t>
  </si>
  <si>
    <t>WAGNER  JOHN</t>
  </si>
  <si>
    <t>KANE  JULIE</t>
  </si>
  <si>
    <t>SILVER COMPASS 5000  E</t>
  </si>
  <si>
    <t>BLOUNT  DONOVAN</t>
  </si>
  <si>
    <t>CASEY  CASSIE</t>
  </si>
  <si>
    <t>STATON  MARILYN</t>
  </si>
  <si>
    <t>FORD  JERRY</t>
  </si>
  <si>
    <t>BROCK  RUTH</t>
  </si>
  <si>
    <t>STOKES  CAROLYN</t>
  </si>
  <si>
    <t>BALL  LAYFOY</t>
  </si>
  <si>
    <t>WHITLEY  CHRISTINA</t>
  </si>
  <si>
    <t>KORNEGAY  BELINDA</t>
  </si>
  <si>
    <t>GRIER  KELSEY</t>
  </si>
  <si>
    <t>INGRAM  BOBBY</t>
  </si>
  <si>
    <t>HAWKINS  GAIL</t>
  </si>
  <si>
    <t>CLAYPOOL  MATTHEW</t>
  </si>
  <si>
    <t>LUGO  EDWIN</t>
  </si>
  <si>
    <t>KENG  ANGELA</t>
  </si>
  <si>
    <t>JOHNSON  CLELLAN</t>
  </si>
  <si>
    <t>ABRUZZO  SEBASTAN</t>
  </si>
  <si>
    <t>WILSON  KIMBERLY</t>
  </si>
  <si>
    <t>THRASH  JAMES</t>
  </si>
  <si>
    <t>MAYES  AMY</t>
  </si>
  <si>
    <t>TOMLINSON  TROY</t>
  </si>
  <si>
    <t>MASSENBERG  CALVIN</t>
  </si>
  <si>
    <t>TWINE  JUSTIN</t>
  </si>
  <si>
    <t>LOR  VANG</t>
  </si>
  <si>
    <t>AGHEDO  CHARIS</t>
  </si>
  <si>
    <t>FARMER  DEBRA</t>
  </si>
  <si>
    <t>MCNEIL  CELETHIA</t>
  </si>
  <si>
    <t>LOR  CHIMOU</t>
  </si>
  <si>
    <t>FOX  MATTHEW</t>
  </si>
  <si>
    <t>SHELLEY  EVELYN</t>
  </si>
  <si>
    <t>MCGILL  WANDA</t>
  </si>
  <si>
    <t>ADAMS  ROSETTA</t>
  </si>
  <si>
    <t>MOODY  CHARLES</t>
  </si>
  <si>
    <t>WILLIAMS  KENNETH</t>
  </si>
  <si>
    <t>SAMSON  SHANNON</t>
  </si>
  <si>
    <t>MORRISON  AUBREY</t>
  </si>
  <si>
    <t>BETHEA  BETTY</t>
  </si>
  <si>
    <t>STAPP  BRIAN</t>
  </si>
  <si>
    <t>ROSEBORO  PICCINNI</t>
  </si>
  <si>
    <t>LOR  MAIKOU</t>
  </si>
  <si>
    <t>PEREZ VENCES  JOSE</t>
  </si>
  <si>
    <t>JONES  KEVIN</t>
  </si>
  <si>
    <t>HAYES  STEVEN</t>
  </si>
  <si>
    <t>PAPEN  CHRISTINE</t>
  </si>
  <si>
    <t>SANDERS  ANGELA</t>
  </si>
  <si>
    <t>HERRIN  ADAM</t>
  </si>
  <si>
    <t>WASHINGTON  LEE</t>
  </si>
  <si>
    <t>JACKSON  NORMAN</t>
  </si>
  <si>
    <t>GRAHAM  WARREN</t>
  </si>
  <si>
    <t>CAGLE  PRECIOUS</t>
  </si>
  <si>
    <t>BROWN  EDITH</t>
  </si>
  <si>
    <t>DANIEL  JANICE</t>
  </si>
  <si>
    <t>NOGAL  CAROLYN</t>
  </si>
  <si>
    <t>MIZE  ROSE</t>
  </si>
  <si>
    <t>COOK  ALETHEA</t>
  </si>
  <si>
    <t>SMOTHERS  JESSIE</t>
  </si>
  <si>
    <t>WALKER  LEATHA</t>
  </si>
  <si>
    <t>QUINTERO-RUIZ  MARIA</t>
  </si>
  <si>
    <t>SILVER COMPASS PLUS 2000-1 D</t>
  </si>
  <si>
    <t>MURUA  JESUS</t>
  </si>
  <si>
    <t>GARCIA  MARIA</t>
  </si>
  <si>
    <t>MEDINA  JESSICA</t>
  </si>
  <si>
    <t>DORTCH  LASANDRA</t>
  </si>
  <si>
    <t>JOHNSON  GEORGE</t>
  </si>
  <si>
    <t>WALKER  MICHEAL</t>
  </si>
  <si>
    <t>WILLIAMS  WARREN</t>
  </si>
  <si>
    <t>WESTBROOK  LASHEL</t>
  </si>
  <si>
    <t>BURKETT  ANGELOIS</t>
  </si>
  <si>
    <t>TABB  BARBARA</t>
  </si>
  <si>
    <t>JONES  MARVIN</t>
  </si>
  <si>
    <t>ADAMS  RANDALL</t>
  </si>
  <si>
    <t>BURLESON  CALEB</t>
  </si>
  <si>
    <t>WALTON  DEBBIE</t>
  </si>
  <si>
    <t>EDWARDS  BRITTNEY</t>
  </si>
  <si>
    <t>ROTHCHILD  MELINDA</t>
  </si>
  <si>
    <t>RIVERS  CHARLES</t>
  </si>
  <si>
    <t>BATCHELOR  SHERRY</t>
  </si>
  <si>
    <t>WILLOUGHBY  CALANDRA</t>
  </si>
  <si>
    <t>KING  FARRAH</t>
  </si>
  <si>
    <t>MOORE  CYNTHIA</t>
  </si>
  <si>
    <t>STEVE  MELVIN</t>
  </si>
  <si>
    <t>MSTEVE@NOEMAIL.COM</t>
  </si>
  <si>
    <t>TAYLER  CURTIS</t>
  </si>
  <si>
    <t>RAPER  MICHAEL</t>
  </si>
  <si>
    <t>MEANS  WILLIE</t>
  </si>
  <si>
    <t>LIVINGSTON  CHRISTINE</t>
  </si>
  <si>
    <t>PARHAM  GEORGIA</t>
  </si>
  <si>
    <t>CLAY  ERNEST</t>
  </si>
  <si>
    <t>COLEMAN  DAMON</t>
  </si>
  <si>
    <t>SMITH  DORTHY</t>
  </si>
  <si>
    <t>WILLIAMS  CASHAVAN</t>
  </si>
  <si>
    <t>MCKEE  MARGARET</t>
  </si>
  <si>
    <t>JONES  DOROTHEA</t>
  </si>
  <si>
    <t>HARRIS  ANGELA</t>
  </si>
  <si>
    <t>DANIELS  VERONICA</t>
  </si>
  <si>
    <t>MORRISON  STEPHANIE</t>
  </si>
  <si>
    <t>CRAWFORD  GERARD</t>
  </si>
  <si>
    <t>BOLLAR  TORREY</t>
  </si>
  <si>
    <t>WILSON  ANNIE</t>
  </si>
  <si>
    <t>HUGHES  TIMENNA</t>
  </si>
  <si>
    <t>SPRINKLE  DAVID</t>
  </si>
  <si>
    <t>TURPIN  GERALD</t>
  </si>
  <si>
    <t>BAKER  MARY</t>
  </si>
  <si>
    <t>CARTER  HELEN</t>
  </si>
  <si>
    <t>LLOYD  BARBARA</t>
  </si>
  <si>
    <t>SHAW  MATT</t>
  </si>
  <si>
    <t>SHIELDS  BILLY</t>
  </si>
  <si>
    <t>SYX  JUDITH</t>
  </si>
  <si>
    <t>CHILDS  TAREN</t>
  </si>
  <si>
    <t>TROXCLAIR  LESLIE</t>
  </si>
  <si>
    <t>GUIDRY  TRAVIS</t>
  </si>
  <si>
    <t>VALENTIN  EDWIN</t>
  </si>
  <si>
    <t>BAGBY  KATHY</t>
  </si>
  <si>
    <t>FINNEY  RODRIQUEZ</t>
  </si>
  <si>
    <t>SLUSHER  CARL</t>
  </si>
  <si>
    <t>POWELL  CAROLYN</t>
  </si>
  <si>
    <t>PATTERSON  BEVERLY</t>
  </si>
  <si>
    <t>ANIO  LENA</t>
  </si>
  <si>
    <t>CORRADO  TREY</t>
  </si>
  <si>
    <t>COLEMAN  DEBRA</t>
  </si>
  <si>
    <t>FOSTER  CHRISTOPHER</t>
  </si>
  <si>
    <t>WALDEN  DONALD</t>
  </si>
  <si>
    <t>GREEN  CAROL</t>
  </si>
  <si>
    <t>BRYANT  WENDY</t>
  </si>
  <si>
    <t>CURRIE  ERICC</t>
  </si>
  <si>
    <t>GMOENT99@GMAIL.COM</t>
  </si>
  <si>
    <t>CUTHBERTSON  CHRISTOPHER</t>
  </si>
  <si>
    <t>GLCUTHBERTSON@BASSETTFUR</t>
  </si>
  <si>
    <t>PONCE  EDUARDO</t>
  </si>
  <si>
    <t>FELDER  CANDIST</t>
  </si>
  <si>
    <t>CANDIST4721@YAHOO.COM</t>
  </si>
  <si>
    <t>FERRELL  WESLEY</t>
  </si>
  <si>
    <t>WESLEYFERRELL@YAHOO.COM</t>
  </si>
  <si>
    <t>LADD  DENISE</t>
  </si>
  <si>
    <t>WHITE  JAMES</t>
  </si>
  <si>
    <t>BROOKS  DAVID</t>
  </si>
  <si>
    <t>RATCHFORD  BRETT</t>
  </si>
  <si>
    <t>JOHNSON  INGAR</t>
  </si>
  <si>
    <t>MORDECAI  ALSONIA</t>
  </si>
  <si>
    <t>HALLEY  PAMELA</t>
  </si>
  <si>
    <t>DOERR  DAVID</t>
  </si>
  <si>
    <t>DINKINS  ESTER</t>
  </si>
  <si>
    <t>REID  RONALD</t>
  </si>
  <si>
    <t>CEDILLO  LINDA</t>
  </si>
  <si>
    <t>CONTRERAS  JAIME</t>
  </si>
  <si>
    <t>BATTLE  DANA</t>
  </si>
  <si>
    <t>CERVANTAS  JESUS</t>
  </si>
  <si>
    <t>GARCIA  IZICK</t>
  </si>
  <si>
    <t>DE HAVEN  MARK</t>
  </si>
  <si>
    <t>YOUNG  SEAN</t>
  </si>
  <si>
    <t>SILAS  CATINA</t>
  </si>
  <si>
    <t>CONEY  DINEEN</t>
  </si>
  <si>
    <t>DOZIER  PAMELA</t>
  </si>
  <si>
    <t>KENNEDY-BUTLER  DEANNA</t>
  </si>
  <si>
    <t>MORRIS  THOMAS</t>
  </si>
  <si>
    <t>HOPSON  STANLEY</t>
  </si>
  <si>
    <t>WILLIAMSON  ANTHONY</t>
  </si>
  <si>
    <t>LOPEZ  CARLOS</t>
  </si>
  <si>
    <t>CARLOSL287.CL@GMAIL.COM</t>
  </si>
  <si>
    <t>MORRIS  ANITA</t>
  </si>
  <si>
    <t>CASTILLO  PAMELA</t>
  </si>
  <si>
    <t>MANZANO  PEDRO</t>
  </si>
  <si>
    <t>PEDROMANZANO10@YAHOO.COM</t>
  </si>
  <si>
    <t>DIAZ  ALICIA</t>
  </si>
  <si>
    <t>PRADO  ZABIA</t>
  </si>
  <si>
    <t>KISER  CHRISTINE</t>
  </si>
  <si>
    <t>TREVINO  DINORA</t>
  </si>
  <si>
    <t>MORENO  ERNESTO</t>
  </si>
  <si>
    <t>ALBURY  MARK</t>
  </si>
  <si>
    <t>RUGGLES  STEVE</t>
  </si>
  <si>
    <t>MACK  ROY</t>
  </si>
  <si>
    <t>VANVOLKOM  GEOFF</t>
  </si>
  <si>
    <t>GEOVAN@GMAIL.COM</t>
  </si>
  <si>
    <t>PUGH  KENNETH</t>
  </si>
  <si>
    <t>ARMAS  OLGA</t>
  </si>
  <si>
    <t>MOORE  TEELA</t>
  </si>
  <si>
    <t>SMITH  STEVEN</t>
  </si>
  <si>
    <t>CADDELL  STEPHANIE</t>
  </si>
  <si>
    <t>LEAN  BRENDA</t>
  </si>
  <si>
    <t>CAMPBELL  DONNA</t>
  </si>
  <si>
    <t>BETTS  MICHAEL</t>
  </si>
  <si>
    <t>BESTBETTSMB@GMAIL.COM</t>
  </si>
  <si>
    <t>DAVIS  LENORA</t>
  </si>
  <si>
    <t>KUKTA  FRANK</t>
  </si>
  <si>
    <t>KUKTAF@BELLSOUTH.NET</t>
  </si>
  <si>
    <t>CLARRY  SHERI</t>
  </si>
  <si>
    <t>GOLD COMPASS 1500</t>
  </si>
  <si>
    <t>HANSON  DAVID</t>
  </si>
  <si>
    <t>DHANSON4GATE@GMAIL.COM</t>
  </si>
  <si>
    <t>CHRISTMAS  BAXTER</t>
  </si>
  <si>
    <t>COOPER  KATHLEEN</t>
  </si>
  <si>
    <t>COLLINS  LEON</t>
  </si>
  <si>
    <t>VILLEARREAL  LIZA</t>
  </si>
  <si>
    <t>REED  GEORGIA</t>
  </si>
  <si>
    <t>REEDGEORGIA13@YAHOO.COM</t>
  </si>
  <si>
    <t>APIGO  AARON</t>
  </si>
  <si>
    <t>JONES  GLORIA</t>
  </si>
  <si>
    <t>STEANHOUSE  ROCHELLE</t>
  </si>
  <si>
    <t>MS.ROCHELLE58@GMAIL.COM</t>
  </si>
  <si>
    <t>DANIEL  DANAIRE</t>
  </si>
  <si>
    <t>DEDEDANIEL1987@GMAIL.COM</t>
  </si>
  <si>
    <t>SCHULTZ  MICHAEL</t>
  </si>
  <si>
    <t>SCHULTZMIKE08@GMAIL.COM</t>
  </si>
  <si>
    <t>JENKINS  LETTICIA</t>
  </si>
  <si>
    <t>LETTICIAJENKINS@YAHOO.CO</t>
  </si>
  <si>
    <t>FRY  KHIA</t>
  </si>
  <si>
    <t>KHIAFRY@SBCGOLBAL.NET</t>
  </si>
  <si>
    <t>SNAVELY  CHRISTINA</t>
  </si>
  <si>
    <t>SILVER CHOICE 2000</t>
  </si>
  <si>
    <t>CVSNAVELY@YAHOO.COM</t>
  </si>
  <si>
    <t>MAYE  JOHN</t>
  </si>
  <si>
    <t>BONNELL  RHONDA</t>
  </si>
  <si>
    <t>WILLIAMS  CLARA</t>
  </si>
  <si>
    <t>STONE  AMANDA</t>
  </si>
  <si>
    <t>BELLAQB27@YAHOO.COM</t>
  </si>
  <si>
    <t>TOLAND  FRANK  E</t>
  </si>
  <si>
    <t>KATOJET1000@AOL.COM</t>
  </si>
  <si>
    <t>BETZ  LAURA</t>
  </si>
  <si>
    <t>MCGRIFF  JENNIFER</t>
  </si>
  <si>
    <t>REDDING  BRANDON</t>
  </si>
  <si>
    <t>CRITTEN  KIMBERLY</t>
  </si>
  <si>
    <t>HIRES  WANDA</t>
  </si>
  <si>
    <t>GARDNER  ELIZABETH</t>
  </si>
  <si>
    <t>RICHARD  GAIL</t>
  </si>
  <si>
    <t>CHISLEY  ROBERT</t>
  </si>
  <si>
    <t>PICKNEY  CLARENCE</t>
  </si>
  <si>
    <t>LIVINGS  TAMYRA</t>
  </si>
  <si>
    <t>WOLF  DAWN</t>
  </si>
  <si>
    <t>CAMPBELL  JAMES</t>
  </si>
  <si>
    <t>MOORE  MURIAL</t>
  </si>
  <si>
    <t>JACOBS  ARNOLD</t>
  </si>
  <si>
    <t>KELLY  TIM</t>
  </si>
  <si>
    <t>OTTINGER  KATHY</t>
  </si>
  <si>
    <t>DUBOSE  GENEVA</t>
  </si>
  <si>
    <t>TOWNSEND  CATHERINE</t>
  </si>
  <si>
    <t>BOOTH  TIMOTHY</t>
  </si>
  <si>
    <t>BURLIN  MARK</t>
  </si>
  <si>
    <t>BURLINMARK@YAHOO.COM</t>
  </si>
  <si>
    <t>FOXWORTH  KATHY</t>
  </si>
  <si>
    <t>SIDERIO  ALEXIS</t>
  </si>
  <si>
    <t>SCHWARTZ  HARLAN</t>
  </si>
  <si>
    <t>CATASTROPHIC COMPASS 6850</t>
  </si>
  <si>
    <t>SAVOIE  MARIE</t>
  </si>
  <si>
    <t>MOORE  RICHARD</t>
  </si>
  <si>
    <t>MOORERICHARD56@YAHOO.COM</t>
  </si>
  <si>
    <t>KELLY  MICHAEL</t>
  </si>
  <si>
    <t>MAYO  MICHAEL</t>
  </si>
  <si>
    <t>MIDDLETON  VERDIA</t>
  </si>
  <si>
    <t>GUTIERREZ  JOSE</t>
  </si>
  <si>
    <t>REESE  BRENDA</t>
  </si>
  <si>
    <t>MENDIOLA  GUADALUPE</t>
  </si>
  <si>
    <t>THOMPSON  PENNY</t>
  </si>
  <si>
    <t>FLORAY27@OUTLOOK.COM</t>
  </si>
  <si>
    <t>SMITH  AGNES</t>
  </si>
  <si>
    <t>LEPIERRE  SHANNON</t>
  </si>
  <si>
    <t>HERNDON  LEON</t>
  </si>
  <si>
    <t>SHARPE  BARRY</t>
  </si>
  <si>
    <t>BARRY14@GMAIL.COM</t>
  </si>
  <si>
    <t>VEAL  DONALD</t>
  </si>
  <si>
    <t>HOLDEN  ANNETT</t>
  </si>
  <si>
    <t>MCMILLAN  DONNA</t>
  </si>
  <si>
    <t>BENTLEY  KEVIN</t>
  </si>
  <si>
    <t>KBENTLEY1717@GMAIL.COM</t>
  </si>
  <si>
    <t>MOTICSKA  JOYCE</t>
  </si>
  <si>
    <t>HOFFECKER  KRISTINE</t>
  </si>
  <si>
    <t>KHOFFECKER65084@HOTMAIL.</t>
  </si>
  <si>
    <t>MCCARLEY  VICTOR</t>
  </si>
  <si>
    <t>SILVER CHOICE 2000 C</t>
  </si>
  <si>
    <t>VARKMA@FRONTIER.COM</t>
  </si>
  <si>
    <t>TINNEY  DWIGHT</t>
  </si>
  <si>
    <t>DUFFY  BETTY</t>
  </si>
  <si>
    <t>WOODS  NATHAN</t>
  </si>
  <si>
    <t>natewoods0304@gmail.com</t>
  </si>
  <si>
    <t>MOORE  STEPHEN</t>
  </si>
  <si>
    <t>JEDI1977@BELLSOUTH.NET</t>
  </si>
  <si>
    <t>WEIDMAN  CHRISTOPHER</t>
  </si>
  <si>
    <t>JOHNSON  MARYBETH</t>
  </si>
  <si>
    <t>PERCIVAL  MICHELLE</t>
  </si>
  <si>
    <t>JACKSON  NICOLE</t>
  </si>
  <si>
    <t>NONUFRIENDZ13@GMAIL.COM</t>
  </si>
  <si>
    <t>DELELEN  ROSE</t>
  </si>
  <si>
    <t>HIGGINBOTHAM  SYBIL</t>
  </si>
  <si>
    <t>MCGEE  MITTIE</t>
  </si>
  <si>
    <t>TAYLOR  LEDIA</t>
  </si>
  <si>
    <t>IVEY  SARAH</t>
  </si>
  <si>
    <t>SILVER COMPASS 0-2</t>
  </si>
  <si>
    <t>JOHNSON  VICKI</t>
  </si>
  <si>
    <t>KEYES  DEBORAH</t>
  </si>
  <si>
    <t>BRYAN-ELLIS  PATRICA</t>
  </si>
  <si>
    <t>PAT.ELLIS2@YAHOO.COM</t>
  </si>
  <si>
    <t>BUTLER  GARRY</t>
  </si>
  <si>
    <t>BUTLER.GARRY5@GMAIL.COM</t>
  </si>
  <si>
    <t>WOODRUFF  DERRICK</t>
  </si>
  <si>
    <t>PHACEZ12.DW@GMAIL.COM</t>
  </si>
  <si>
    <t>RICHARDSON  LINDA</t>
  </si>
  <si>
    <t>GREEN  GWENNETTE</t>
  </si>
  <si>
    <t>BIRD  STEPHEN</t>
  </si>
  <si>
    <t>KATES  VANESSA</t>
  </si>
  <si>
    <t>WELCH  RACHELYN</t>
  </si>
  <si>
    <t>Name</t>
  </si>
  <si>
    <t>Policy Number</t>
  </si>
  <si>
    <t>Member ID</t>
  </si>
  <si>
    <t>State</t>
  </si>
  <si>
    <t>Effective Date</t>
  </si>
  <si>
    <t>Paid Through</t>
  </si>
  <si>
    <t>Total Premium</t>
  </si>
  <si>
    <t>Tax Credit</t>
  </si>
  <si>
    <t>Client Premium</t>
  </si>
  <si>
    <t>Plan Name</t>
  </si>
  <si>
    <t>Status</t>
  </si>
  <si>
    <t>Broker Name</t>
  </si>
  <si>
    <t>NationalProducerNumber</t>
  </si>
  <si>
    <t>Client Email</t>
  </si>
  <si>
    <t>DAVIS  JAMES</t>
  </si>
  <si>
    <t>Sean Aaron McCloskey</t>
  </si>
  <si>
    <t>TAYLOR  KENNETH</t>
  </si>
  <si>
    <t>WI</t>
  </si>
  <si>
    <t>MADRY  ELIAS</t>
  </si>
  <si>
    <t>TEAGUE  AARON</t>
  </si>
  <si>
    <t>CONNELL  SANDRA</t>
  </si>
  <si>
    <t>VISAVAKUL  NISIT</t>
  </si>
  <si>
    <t>TOLSON  JOHN</t>
  </si>
  <si>
    <t>SILVER COMPASS 4500 C</t>
  </si>
  <si>
    <t>FERDINAND  TAMMY</t>
  </si>
  <si>
    <t>MUSTUFA  MUNTASIR</t>
  </si>
  <si>
    <t>HICKS-LEE  ARNITA</t>
  </si>
  <si>
    <t>RAYMOND  FRANKIE</t>
  </si>
  <si>
    <t>ROMERO  HILARIO</t>
  </si>
  <si>
    <t>GARCIA  JULIA</t>
  </si>
  <si>
    <t>KNIGHT  JOYCE</t>
  </si>
  <si>
    <t>GOMEZ  JASON</t>
  </si>
  <si>
    <t>MURCHISON  MELODY</t>
  </si>
  <si>
    <t>MURCHISONLGHORNS_06@YAHO</t>
  </si>
  <si>
    <t>BLAKE-WILLIAMS  KAWANA</t>
  </si>
  <si>
    <t>PERKINS  CHANTEL</t>
  </si>
  <si>
    <t>BOYINGTON  RANDAL</t>
  </si>
  <si>
    <t>JOHNSON  STEPHANIE</t>
  </si>
  <si>
    <t>SJOHNSON8271@GMAIL.COM</t>
  </si>
  <si>
    <t>LUZUM  DALE</t>
  </si>
  <si>
    <t>PORTORFIELD  CHRISTOPHER</t>
  </si>
  <si>
    <t>BRONZE COMPASS PLUS HSA 5200</t>
  </si>
  <si>
    <t>BRYANT  DONALD</t>
  </si>
  <si>
    <t>MADDOX  SCOTT</t>
  </si>
  <si>
    <t>NANCEY  BERYLEN</t>
  </si>
  <si>
    <t>ALLEN  CHRISTOPHER</t>
  </si>
  <si>
    <t>HOWARD  RAFAEL</t>
  </si>
  <si>
    <t>KELLY  DYLAN</t>
  </si>
  <si>
    <t>SANTOYO  JOSE</t>
  </si>
  <si>
    <t>BRONZE COMPASS PLUS 6500</t>
  </si>
  <si>
    <t>DUNCAN  CYNTHIA</t>
  </si>
  <si>
    <t>CHESS  DAVID</t>
  </si>
  <si>
    <t>HINTON  KIMBERLY</t>
  </si>
  <si>
    <t>THREATT  PATRICK</t>
  </si>
  <si>
    <t>CHARLES  TIIFFANY</t>
  </si>
  <si>
    <t>HOPKINS  DENISE</t>
  </si>
  <si>
    <t>PEARSON  SHIRLEY</t>
  </si>
  <si>
    <t>PROVOST  DANNY</t>
  </si>
  <si>
    <t>LAVERGNE  JANET</t>
  </si>
  <si>
    <t>FARMER  JALSSIA</t>
  </si>
  <si>
    <t>JALISSASARMER@NOEMAIL.CO</t>
  </si>
  <si>
    <t>BOWMAN  YOLONDA</t>
  </si>
  <si>
    <t>SHEIKH  BAZGHA</t>
  </si>
  <si>
    <t>MOTON  HERMAN</t>
  </si>
  <si>
    <t>THOMAS  REGINA</t>
  </si>
  <si>
    <t>HAMILTON  DORIS</t>
  </si>
  <si>
    <t>HENSON  MARY</t>
  </si>
  <si>
    <t>WILLIAMS  VANESSA</t>
  </si>
  <si>
    <t>GREEN  DORIS</t>
  </si>
  <si>
    <t>CHATLAIN  FREDERICK</t>
  </si>
  <si>
    <t>STEVENS  GLORIA</t>
  </si>
  <si>
    <t>COUSIN  TYRONE</t>
  </si>
  <si>
    <t>MCNEESE  TINA</t>
  </si>
  <si>
    <t>CENTINEO  DEBRA</t>
  </si>
  <si>
    <t>ELLIS  TELEASA</t>
  </si>
  <si>
    <t>MOORE  BRENDA</t>
  </si>
  <si>
    <t>TAYLOR  CAROLYN</t>
  </si>
  <si>
    <t>BROWN  JAMES</t>
  </si>
  <si>
    <t>MASSEY  KINSASHA</t>
  </si>
  <si>
    <t>HINES  ANGELA</t>
  </si>
  <si>
    <t>EASLEY  ALTHEA</t>
  </si>
  <si>
    <t>JONES  WILLIE</t>
  </si>
  <si>
    <t>ROBERTSON  VERA</t>
  </si>
  <si>
    <t>GURLEY  DIANE</t>
  </si>
  <si>
    <t>JARVIS  WILLIAM</t>
  </si>
  <si>
    <t>HAYES  MARTHA</t>
  </si>
  <si>
    <t>PATEL  VINODKUMAR</t>
  </si>
  <si>
    <t>TRIUMPH  GEORGY</t>
  </si>
  <si>
    <t>BRYANT  MATTHEW</t>
  </si>
  <si>
    <t>TAYLOR  EVELYN</t>
  </si>
  <si>
    <t>WATSON  SHARON</t>
  </si>
  <si>
    <t>SPICER  AMY</t>
  </si>
  <si>
    <t>HATCHER  KAY</t>
  </si>
  <si>
    <t>GREEN  EMMA</t>
  </si>
  <si>
    <t>JERNIGAN  PATRICK</t>
  </si>
  <si>
    <t>BETHEA  SALINA</t>
  </si>
  <si>
    <t>VERRILLI  WILLIAM</t>
  </si>
  <si>
    <t>BAILEY  HARRY</t>
  </si>
  <si>
    <t>BROWN  GLORIA</t>
  </si>
  <si>
    <t>MCCARTHY  KATHLEEN</t>
  </si>
  <si>
    <t>JOSEPH  RAY</t>
  </si>
  <si>
    <t>MCBRYDE  ANDREA</t>
  </si>
  <si>
    <t>NARDI  DANIELLE</t>
  </si>
  <si>
    <t>SMITH  BRENDA</t>
  </si>
  <si>
    <t>BRENDASMITH77@MAILINATOR</t>
  </si>
  <si>
    <t>COLEMEN  LEATHA</t>
  </si>
  <si>
    <t>LEATHACOLEMAN@NOEMAIL.CO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</si>
</sst>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0"/>
  <sheetViews>
    <sheetView tabSelected="1" workbookViewId="0">
      <selection activeCell="A243" sqref="A2:XFD243"/>
    </sheetView>
  </sheetViews>
  <sheetFormatPr defaultRowHeight="15" x14ac:dyDescent="0.25"/>
  <cols>
    <col min="1" max="1" width="28.5703125" bestFit="1" customWidth="1"/>
    <col min="2" max="2" width="17.28515625" bestFit="1" customWidth="1"/>
    <col min="3" max="3" width="10.85546875" bestFit="1" customWidth="1"/>
    <col min="4" max="4" width="5.5703125" bestFit="1" customWidth="1"/>
    <col min="5" max="5" width="13.5703125" bestFit="1" customWidth="1"/>
    <col min="6" max="6" width="12.5703125" bestFit="1" customWidth="1"/>
    <col min="7" max="7" width="14.140625" bestFit="1" customWidth="1"/>
    <col min="8" max="8" width="9.85546875" bestFit="1" customWidth="1"/>
    <col min="9" max="9" width="15" bestFit="1" customWidth="1"/>
    <col min="10" max="10" width="34.42578125" bestFit="1" customWidth="1"/>
    <col min="11" max="11" width="27" bestFit="1" customWidth="1"/>
    <col min="12" max="12" width="21.140625" bestFit="1" customWidth="1"/>
    <col min="13" max="13" width="24.28515625" bestFit="1" customWidth="1"/>
    <col min="14" max="14" width="32.42578125" bestFit="1" customWidth="1"/>
  </cols>
  <sheetData>
    <row r="1" spans="1:14" x14ac:dyDescent="0.25">
      <c r="A1" t="s">
        <v>834</v>
      </c>
      <c r="B1" t="s">
        <v>835</v>
      </c>
      <c r="C1" t="s">
        <v>836</v>
      </c>
      <c r="D1" t="s">
        <v>837</v>
      </c>
      <c r="E1" t="s">
        <v>838</v>
      </c>
      <c r="F1" t="s">
        <v>839</v>
      </c>
      <c r="G1" t="s">
        <v>840</v>
      </c>
      <c r="H1" t="s">
        <v>841</v>
      </c>
      <c r="I1" t="s">
        <v>842</v>
      </c>
      <c r="J1" t="s">
        <v>843</v>
      </c>
      <c r="K1" t="s">
        <v>844</v>
      </c>
      <c r="L1" t="s">
        <v>845</v>
      </c>
      <c r="M1" t="s">
        <v>846</v>
      </c>
      <c r="N1" t="s">
        <v>847</v>
      </c>
    </row>
    <row r="2" spans="1:14" x14ac:dyDescent="0.25">
      <c r="A2" t="s">
        <v>63</v>
      </c>
      <c r="B2" t="str">
        <f>"0902682963110625"</f>
        <v>0902682963110625</v>
      </c>
      <c r="C2">
        <v>963110625</v>
      </c>
      <c r="D2" t="s">
        <v>9</v>
      </c>
      <c r="E2" s="1">
        <v>42370</v>
      </c>
      <c r="G2">
        <v>345.84</v>
      </c>
      <c r="H2">
        <v>326</v>
      </c>
      <c r="I2">
        <v>19.84</v>
      </c>
      <c r="J2" t="s">
        <v>4</v>
      </c>
      <c r="K2" t="s">
        <v>64</v>
      </c>
      <c r="L2" t="s">
        <v>1</v>
      </c>
      <c r="M2">
        <v>16453872</v>
      </c>
    </row>
    <row r="3" spans="1:14" x14ac:dyDescent="0.25">
      <c r="A3" t="s">
        <v>65</v>
      </c>
      <c r="B3" t="str">
        <f>"0902682959221971"</f>
        <v>0902682959221971</v>
      </c>
      <c r="C3">
        <v>959221971</v>
      </c>
      <c r="D3" t="s">
        <v>9</v>
      </c>
      <c r="E3" s="1">
        <v>42370</v>
      </c>
      <c r="G3">
        <v>330.03</v>
      </c>
      <c r="H3">
        <v>295</v>
      </c>
      <c r="I3">
        <v>35.03</v>
      </c>
      <c r="J3" t="s">
        <v>6</v>
      </c>
      <c r="K3" t="s">
        <v>64</v>
      </c>
      <c r="L3" t="s">
        <v>1</v>
      </c>
      <c r="M3">
        <v>16453872</v>
      </c>
    </row>
    <row r="4" spans="1:14" x14ac:dyDescent="0.25">
      <c r="A4" t="s">
        <v>66</v>
      </c>
      <c r="B4" t="str">
        <f>"0902682960527566"</f>
        <v>0902682960527566</v>
      </c>
      <c r="C4">
        <v>960527566</v>
      </c>
      <c r="D4" t="s">
        <v>9</v>
      </c>
      <c r="E4" s="1">
        <v>42370</v>
      </c>
      <c r="G4">
        <v>481.97</v>
      </c>
      <c r="H4">
        <v>458</v>
      </c>
      <c r="I4">
        <v>23.97</v>
      </c>
      <c r="J4" t="s">
        <v>4</v>
      </c>
      <c r="K4" t="s">
        <v>64</v>
      </c>
      <c r="L4" t="s">
        <v>1</v>
      </c>
      <c r="M4">
        <v>16453872</v>
      </c>
    </row>
    <row r="5" spans="1:14" x14ac:dyDescent="0.25">
      <c r="A5" t="s">
        <v>67</v>
      </c>
      <c r="B5" t="str">
        <f>"0902682960754247"</f>
        <v>0902682960754247</v>
      </c>
      <c r="C5">
        <v>960754247</v>
      </c>
      <c r="D5" t="s">
        <v>9</v>
      </c>
      <c r="E5" s="1">
        <v>42370</v>
      </c>
      <c r="G5">
        <v>345.75</v>
      </c>
      <c r="H5">
        <v>256</v>
      </c>
      <c r="I5">
        <v>89.75</v>
      </c>
      <c r="J5" t="s">
        <v>6</v>
      </c>
      <c r="K5" t="s">
        <v>64</v>
      </c>
      <c r="L5" t="s">
        <v>1</v>
      </c>
      <c r="M5">
        <v>16453872</v>
      </c>
    </row>
    <row r="6" spans="1:14" x14ac:dyDescent="0.25">
      <c r="A6" t="s">
        <v>68</v>
      </c>
      <c r="B6" t="str">
        <f>"0902682957066628"</f>
        <v>0902682957066628</v>
      </c>
      <c r="C6">
        <v>957066628</v>
      </c>
      <c r="D6" t="s">
        <v>9</v>
      </c>
      <c r="E6" s="1">
        <v>42370</v>
      </c>
      <c r="G6">
        <v>726.99</v>
      </c>
      <c r="H6">
        <v>686</v>
      </c>
      <c r="I6">
        <v>40.99</v>
      </c>
      <c r="J6" t="s">
        <v>6</v>
      </c>
      <c r="K6" t="s">
        <v>64</v>
      </c>
      <c r="L6" t="s">
        <v>1</v>
      </c>
      <c r="M6">
        <v>16453872</v>
      </c>
    </row>
    <row r="7" spans="1:14" x14ac:dyDescent="0.25">
      <c r="A7" t="s">
        <v>69</v>
      </c>
      <c r="B7" t="str">
        <f>"0902682958562354"</f>
        <v>0902682958562354</v>
      </c>
      <c r="C7">
        <v>958562354</v>
      </c>
      <c r="D7" t="s">
        <v>9</v>
      </c>
      <c r="E7" s="1">
        <v>42370</v>
      </c>
      <c r="G7">
        <v>487.75</v>
      </c>
      <c r="H7">
        <v>400</v>
      </c>
      <c r="I7">
        <v>87.75</v>
      </c>
      <c r="J7" t="s">
        <v>10</v>
      </c>
      <c r="K7" t="s">
        <v>64</v>
      </c>
      <c r="L7" t="s">
        <v>1</v>
      </c>
      <c r="M7">
        <v>16453872</v>
      </c>
    </row>
    <row r="8" spans="1:14" x14ac:dyDescent="0.25">
      <c r="A8" t="s">
        <v>70</v>
      </c>
      <c r="B8" t="str">
        <f>"0902682954846398"</f>
        <v>0902682954846398</v>
      </c>
      <c r="C8">
        <v>954846398</v>
      </c>
      <c r="D8" t="s">
        <v>9</v>
      </c>
      <c r="E8" s="1">
        <v>42370</v>
      </c>
      <c r="G8">
        <v>586.02</v>
      </c>
      <c r="H8" t="str">
        <f>"0.00"</f>
        <v>0.00</v>
      </c>
      <c r="I8">
        <v>586.02</v>
      </c>
      <c r="J8" t="s">
        <v>52</v>
      </c>
      <c r="K8" t="s">
        <v>64</v>
      </c>
      <c r="L8" t="s">
        <v>1</v>
      </c>
      <c r="M8">
        <v>16453872</v>
      </c>
    </row>
    <row r="9" spans="1:14" x14ac:dyDescent="0.25">
      <c r="A9" t="s">
        <v>71</v>
      </c>
      <c r="B9" t="str">
        <f>"0902682955936543"</f>
        <v>0902682955936543</v>
      </c>
      <c r="C9">
        <v>955936543</v>
      </c>
      <c r="D9" t="s">
        <v>9</v>
      </c>
      <c r="E9" s="1">
        <v>42370</v>
      </c>
      <c r="G9">
        <v>274.49</v>
      </c>
      <c r="H9">
        <v>256</v>
      </c>
      <c r="I9">
        <v>18.489999999999998</v>
      </c>
      <c r="J9" t="s">
        <v>6</v>
      </c>
      <c r="K9" t="s">
        <v>64</v>
      </c>
      <c r="L9" t="s">
        <v>1</v>
      </c>
      <c r="M9">
        <v>16453872</v>
      </c>
    </row>
    <row r="10" spans="1:14" x14ac:dyDescent="0.25">
      <c r="A10" t="s">
        <v>72</v>
      </c>
      <c r="B10" t="str">
        <f>"0902682953516293"</f>
        <v>0902682953516293</v>
      </c>
      <c r="C10">
        <v>953516293</v>
      </c>
      <c r="D10" t="s">
        <v>9</v>
      </c>
      <c r="E10" s="1">
        <v>42370</v>
      </c>
      <c r="G10">
        <v>174.3</v>
      </c>
      <c r="H10">
        <v>155</v>
      </c>
      <c r="I10">
        <v>19.3</v>
      </c>
      <c r="J10" t="s">
        <v>6</v>
      </c>
      <c r="K10" t="s">
        <v>64</v>
      </c>
      <c r="L10" t="s">
        <v>1</v>
      </c>
      <c r="M10">
        <v>16453872</v>
      </c>
    </row>
    <row r="11" spans="1:14" x14ac:dyDescent="0.25">
      <c r="A11" t="s">
        <v>73</v>
      </c>
      <c r="B11" t="str">
        <f>"0902682951164460"</f>
        <v>0902682951164460</v>
      </c>
      <c r="C11">
        <v>951164460</v>
      </c>
      <c r="D11" t="s">
        <v>9</v>
      </c>
      <c r="E11" s="1">
        <v>42370</v>
      </c>
      <c r="G11">
        <v>290.77999999999997</v>
      </c>
      <c r="H11">
        <v>266</v>
      </c>
      <c r="I11">
        <v>24.78</v>
      </c>
      <c r="J11" t="s">
        <v>6</v>
      </c>
      <c r="K11" t="s">
        <v>64</v>
      </c>
      <c r="L11" t="s">
        <v>1</v>
      </c>
      <c r="M11">
        <v>16453872</v>
      </c>
    </row>
    <row r="12" spans="1:14" x14ac:dyDescent="0.25">
      <c r="A12" t="s">
        <v>74</v>
      </c>
      <c r="B12" t="str">
        <f>"0902682951572740"</f>
        <v>0902682951572740</v>
      </c>
      <c r="C12">
        <v>951572740</v>
      </c>
      <c r="D12" t="s">
        <v>9</v>
      </c>
      <c r="E12" s="1">
        <v>42370</v>
      </c>
      <c r="G12">
        <v>365.51</v>
      </c>
      <c r="H12">
        <v>345</v>
      </c>
      <c r="I12">
        <v>20.51</v>
      </c>
      <c r="J12" t="s">
        <v>6</v>
      </c>
      <c r="K12" t="s">
        <v>64</v>
      </c>
      <c r="L12" t="s">
        <v>1</v>
      </c>
      <c r="M12">
        <v>16453872</v>
      </c>
    </row>
    <row r="13" spans="1:14" x14ac:dyDescent="0.25">
      <c r="A13" t="s">
        <v>75</v>
      </c>
      <c r="B13" t="str">
        <f>"0902682951846275"</f>
        <v>0902682951846275</v>
      </c>
      <c r="C13">
        <v>951846275</v>
      </c>
      <c r="D13" t="s">
        <v>9</v>
      </c>
      <c r="E13" s="1">
        <v>42370</v>
      </c>
      <c r="G13">
        <v>511.91</v>
      </c>
      <c r="H13">
        <v>491</v>
      </c>
      <c r="I13">
        <v>20.91</v>
      </c>
      <c r="J13" t="s">
        <v>6</v>
      </c>
      <c r="K13" t="s">
        <v>64</v>
      </c>
      <c r="L13" t="s">
        <v>1</v>
      </c>
      <c r="M13">
        <v>16453872</v>
      </c>
    </row>
    <row r="14" spans="1:14" x14ac:dyDescent="0.25">
      <c r="A14" t="s">
        <v>76</v>
      </c>
      <c r="B14" t="str">
        <f>"0902682951946546"</f>
        <v>0902682951946546</v>
      </c>
      <c r="C14">
        <v>951946546</v>
      </c>
      <c r="D14" t="s">
        <v>9</v>
      </c>
      <c r="E14" s="1">
        <v>42370</v>
      </c>
      <c r="G14">
        <v>342.62</v>
      </c>
      <c r="H14">
        <v>280</v>
      </c>
      <c r="I14">
        <v>62.62</v>
      </c>
      <c r="J14" t="s">
        <v>10</v>
      </c>
      <c r="K14" t="s">
        <v>64</v>
      </c>
      <c r="L14" t="s">
        <v>1</v>
      </c>
      <c r="M14">
        <v>16453872</v>
      </c>
    </row>
    <row r="15" spans="1:14" x14ac:dyDescent="0.25">
      <c r="A15" t="s">
        <v>77</v>
      </c>
      <c r="B15" t="str">
        <f>"0902682947369770"</f>
        <v>0902682947369770</v>
      </c>
      <c r="C15">
        <v>947369770</v>
      </c>
      <c r="D15" t="s">
        <v>9</v>
      </c>
      <c r="E15" s="1">
        <v>42370</v>
      </c>
      <c r="G15">
        <v>377.09</v>
      </c>
      <c r="H15">
        <v>356</v>
      </c>
      <c r="I15">
        <v>21.09</v>
      </c>
      <c r="J15" t="s">
        <v>6</v>
      </c>
      <c r="K15" t="s">
        <v>64</v>
      </c>
      <c r="L15" t="s">
        <v>1</v>
      </c>
      <c r="M15">
        <v>16453872</v>
      </c>
    </row>
    <row r="16" spans="1:14" x14ac:dyDescent="0.25">
      <c r="A16" t="s">
        <v>78</v>
      </c>
      <c r="B16" t="str">
        <f>"0902682943924373"</f>
        <v>0902682943924373</v>
      </c>
      <c r="C16">
        <v>943924373</v>
      </c>
      <c r="D16" t="s">
        <v>9</v>
      </c>
      <c r="E16" s="1">
        <v>42370</v>
      </c>
      <c r="G16">
        <v>636.9</v>
      </c>
      <c r="H16">
        <v>511</v>
      </c>
      <c r="I16">
        <v>125.9</v>
      </c>
      <c r="J16" t="s">
        <v>10</v>
      </c>
      <c r="K16" t="s">
        <v>64</v>
      </c>
      <c r="L16" t="s">
        <v>1</v>
      </c>
      <c r="M16">
        <v>16453872</v>
      </c>
    </row>
    <row r="17" spans="1:13" x14ac:dyDescent="0.25">
      <c r="A17" t="s">
        <v>79</v>
      </c>
      <c r="B17" t="str">
        <f>"0902682944193232"</f>
        <v>0902682944193232</v>
      </c>
      <c r="C17">
        <v>944193232</v>
      </c>
      <c r="D17" t="s">
        <v>9</v>
      </c>
      <c r="E17" s="1">
        <v>42370</v>
      </c>
      <c r="G17">
        <v>397.85</v>
      </c>
      <c r="H17">
        <v>218</v>
      </c>
      <c r="I17">
        <v>179.85</v>
      </c>
      <c r="J17" t="s">
        <v>80</v>
      </c>
      <c r="K17" t="s">
        <v>64</v>
      </c>
      <c r="L17" t="s">
        <v>1</v>
      </c>
      <c r="M17">
        <v>16453872</v>
      </c>
    </row>
    <row r="18" spans="1:13" x14ac:dyDescent="0.25">
      <c r="A18" t="s">
        <v>81</v>
      </c>
      <c r="B18" t="str">
        <f>"0902682937563850"</f>
        <v>0902682937563850</v>
      </c>
      <c r="C18">
        <v>937563850</v>
      </c>
      <c r="D18" t="s">
        <v>9</v>
      </c>
      <c r="E18" s="1">
        <v>42370</v>
      </c>
      <c r="G18">
        <v>333.09</v>
      </c>
      <c r="H18">
        <v>332.92</v>
      </c>
      <c r="I18" t="str">
        <f>"0.17"</f>
        <v>0.17</v>
      </c>
      <c r="J18" t="s">
        <v>4</v>
      </c>
      <c r="K18" t="s">
        <v>64</v>
      </c>
      <c r="L18" t="s">
        <v>1</v>
      </c>
      <c r="M18">
        <v>16453872</v>
      </c>
    </row>
    <row r="19" spans="1:13" x14ac:dyDescent="0.25">
      <c r="A19" t="s">
        <v>82</v>
      </c>
      <c r="B19" t="str">
        <f>"0902682940190369"</f>
        <v>0902682940190369</v>
      </c>
      <c r="C19">
        <v>940190369</v>
      </c>
      <c r="D19" t="s">
        <v>9</v>
      </c>
      <c r="E19" s="1">
        <v>42370</v>
      </c>
      <c r="G19">
        <v>880.63</v>
      </c>
      <c r="H19">
        <v>836</v>
      </c>
      <c r="I19">
        <v>44.63</v>
      </c>
      <c r="J19" t="s">
        <v>6</v>
      </c>
      <c r="K19" t="s">
        <v>64</v>
      </c>
      <c r="L19" t="s">
        <v>1</v>
      </c>
      <c r="M19">
        <v>16453872</v>
      </c>
    </row>
    <row r="20" spans="1:13" x14ac:dyDescent="0.25">
      <c r="A20" t="s">
        <v>83</v>
      </c>
      <c r="B20" t="str">
        <f>"0902682933771611"</f>
        <v>0902682933771611</v>
      </c>
      <c r="C20">
        <v>933771611</v>
      </c>
      <c r="D20" t="s">
        <v>9</v>
      </c>
      <c r="E20" s="1">
        <v>42370</v>
      </c>
      <c r="G20">
        <v>810.28</v>
      </c>
      <c r="H20">
        <v>809.87</v>
      </c>
      <c r="I20" t="str">
        <f>"0.41"</f>
        <v>0.41</v>
      </c>
      <c r="J20" t="s">
        <v>6</v>
      </c>
      <c r="K20" t="s">
        <v>64</v>
      </c>
      <c r="L20" t="s">
        <v>1</v>
      </c>
      <c r="M20">
        <v>16453872</v>
      </c>
    </row>
    <row r="21" spans="1:13" x14ac:dyDescent="0.25">
      <c r="A21" t="s">
        <v>84</v>
      </c>
      <c r="B21" t="str">
        <f>"0902682935152073"</f>
        <v>0902682935152073</v>
      </c>
      <c r="C21">
        <v>935152073</v>
      </c>
      <c r="D21" t="s">
        <v>9</v>
      </c>
      <c r="E21" s="1">
        <v>42370</v>
      </c>
      <c r="G21">
        <v>275.58</v>
      </c>
      <c r="H21">
        <v>232</v>
      </c>
      <c r="I21">
        <v>43.58</v>
      </c>
      <c r="J21" t="s">
        <v>6</v>
      </c>
      <c r="K21" t="s">
        <v>64</v>
      </c>
      <c r="L21" t="s">
        <v>1</v>
      </c>
      <c r="M21">
        <v>16453872</v>
      </c>
    </row>
    <row r="22" spans="1:13" x14ac:dyDescent="0.25">
      <c r="A22" t="s">
        <v>85</v>
      </c>
      <c r="B22" t="str">
        <f>"0902682925309857"</f>
        <v>0902682925309857</v>
      </c>
      <c r="C22">
        <v>925309857</v>
      </c>
      <c r="D22" t="s">
        <v>9</v>
      </c>
      <c r="E22" s="1">
        <v>42370</v>
      </c>
      <c r="G22">
        <v>753.89</v>
      </c>
      <c r="H22">
        <v>639</v>
      </c>
      <c r="I22">
        <v>114.89</v>
      </c>
      <c r="J22" t="s">
        <v>10</v>
      </c>
      <c r="K22" t="s">
        <v>64</v>
      </c>
      <c r="L22" t="s">
        <v>1</v>
      </c>
      <c r="M22">
        <v>16453872</v>
      </c>
    </row>
    <row r="23" spans="1:13" x14ac:dyDescent="0.25">
      <c r="A23" t="s">
        <v>86</v>
      </c>
      <c r="B23" t="str">
        <f>"0902682925598640"</f>
        <v>0902682925598640</v>
      </c>
      <c r="C23">
        <v>925598640</v>
      </c>
      <c r="D23" t="s">
        <v>9</v>
      </c>
      <c r="E23" s="1">
        <v>42370</v>
      </c>
      <c r="G23">
        <v>603.29999999999995</v>
      </c>
      <c r="H23">
        <v>585</v>
      </c>
      <c r="I23">
        <v>18.3</v>
      </c>
      <c r="J23" t="s">
        <v>4</v>
      </c>
      <c r="K23" t="s">
        <v>64</v>
      </c>
      <c r="L23" t="s">
        <v>1</v>
      </c>
      <c r="M23">
        <v>16453872</v>
      </c>
    </row>
    <row r="24" spans="1:13" x14ac:dyDescent="0.25">
      <c r="A24" t="s">
        <v>87</v>
      </c>
      <c r="B24" t="str">
        <f>"0902682927139277"</f>
        <v>0902682927139277</v>
      </c>
      <c r="C24">
        <v>927139277</v>
      </c>
      <c r="D24" t="s">
        <v>9</v>
      </c>
      <c r="E24" s="1">
        <v>42370</v>
      </c>
      <c r="G24">
        <v>714.48</v>
      </c>
      <c r="H24">
        <v>694</v>
      </c>
      <c r="I24">
        <v>20.48</v>
      </c>
      <c r="J24" t="s">
        <v>6</v>
      </c>
      <c r="K24" t="s">
        <v>64</v>
      </c>
      <c r="L24" t="s">
        <v>1</v>
      </c>
      <c r="M24">
        <v>16453872</v>
      </c>
    </row>
    <row r="25" spans="1:13" x14ac:dyDescent="0.25">
      <c r="A25" t="s">
        <v>88</v>
      </c>
      <c r="B25" t="str">
        <f>"0902682927374589"</f>
        <v>0902682927374589</v>
      </c>
      <c r="C25">
        <v>927374589</v>
      </c>
      <c r="D25" t="s">
        <v>9</v>
      </c>
      <c r="E25" s="1">
        <v>42370</v>
      </c>
      <c r="G25">
        <v>338.59</v>
      </c>
      <c r="H25">
        <v>309</v>
      </c>
      <c r="I25">
        <v>29.59</v>
      </c>
      <c r="J25" t="s">
        <v>6</v>
      </c>
      <c r="K25" t="s">
        <v>64</v>
      </c>
      <c r="L25" t="s">
        <v>1</v>
      </c>
      <c r="M25">
        <v>16453872</v>
      </c>
    </row>
    <row r="26" spans="1:13" x14ac:dyDescent="0.25">
      <c r="A26" t="s">
        <v>89</v>
      </c>
      <c r="B26" t="str">
        <f>"0902682929170957"</f>
        <v>0902682929170957</v>
      </c>
      <c r="C26">
        <v>929170957</v>
      </c>
      <c r="D26" t="s">
        <v>9</v>
      </c>
      <c r="E26" s="1">
        <v>42370</v>
      </c>
      <c r="G26">
        <v>420.53</v>
      </c>
      <c r="H26">
        <v>420.32</v>
      </c>
      <c r="I26" t="str">
        <f>"0.21"</f>
        <v>0.21</v>
      </c>
      <c r="J26" t="s">
        <v>4</v>
      </c>
      <c r="K26" t="s">
        <v>64</v>
      </c>
      <c r="L26" t="s">
        <v>1</v>
      </c>
      <c r="M26">
        <v>16453872</v>
      </c>
    </row>
    <row r="27" spans="1:13" x14ac:dyDescent="0.25">
      <c r="A27" t="s">
        <v>90</v>
      </c>
      <c r="B27" t="str">
        <f>"0902682929531291"</f>
        <v>0902682929531291</v>
      </c>
      <c r="C27">
        <v>929531291</v>
      </c>
      <c r="D27" t="s">
        <v>9</v>
      </c>
      <c r="E27" s="1">
        <v>42370</v>
      </c>
      <c r="G27">
        <v>753.89</v>
      </c>
      <c r="H27">
        <v>734</v>
      </c>
      <c r="I27">
        <v>19.89</v>
      </c>
      <c r="J27" t="s">
        <v>6</v>
      </c>
      <c r="K27" t="s">
        <v>64</v>
      </c>
      <c r="L27" t="s">
        <v>1</v>
      </c>
      <c r="M27">
        <v>16453872</v>
      </c>
    </row>
    <row r="28" spans="1:13" x14ac:dyDescent="0.25">
      <c r="A28" t="s">
        <v>91</v>
      </c>
      <c r="B28" t="str">
        <f>"0902682929876777"</f>
        <v>0902682929876777</v>
      </c>
      <c r="C28">
        <v>929876777</v>
      </c>
      <c r="D28" t="s">
        <v>9</v>
      </c>
      <c r="E28" s="1">
        <v>42370</v>
      </c>
      <c r="G28">
        <v>586.02</v>
      </c>
      <c r="H28">
        <v>547</v>
      </c>
      <c r="I28">
        <v>39.020000000000003</v>
      </c>
      <c r="J28" t="s">
        <v>6</v>
      </c>
      <c r="K28" t="s">
        <v>64</v>
      </c>
      <c r="L28" t="s">
        <v>1</v>
      </c>
      <c r="M28">
        <v>16453872</v>
      </c>
    </row>
    <row r="29" spans="1:13" x14ac:dyDescent="0.25">
      <c r="A29" t="s">
        <v>92</v>
      </c>
      <c r="B29" t="str">
        <f>"0902682930019793"</f>
        <v>0902682930019793</v>
      </c>
      <c r="C29">
        <v>930019793</v>
      </c>
      <c r="D29" t="s">
        <v>9</v>
      </c>
      <c r="E29" s="1">
        <v>42370</v>
      </c>
      <c r="G29">
        <v>794.24</v>
      </c>
      <c r="H29" t="str">
        <f>"0.00"</f>
        <v>0.00</v>
      </c>
      <c r="I29">
        <v>794.24</v>
      </c>
      <c r="J29" t="s">
        <v>4</v>
      </c>
      <c r="K29" t="s">
        <v>64</v>
      </c>
      <c r="L29" t="s">
        <v>1</v>
      </c>
      <c r="M29">
        <v>16453872</v>
      </c>
    </row>
    <row r="30" spans="1:13" x14ac:dyDescent="0.25">
      <c r="A30" t="s">
        <v>93</v>
      </c>
      <c r="B30" t="str">
        <f>"0902682920169564"</f>
        <v>0902682920169564</v>
      </c>
      <c r="C30">
        <v>920169564</v>
      </c>
      <c r="D30" t="s">
        <v>9</v>
      </c>
      <c r="E30" s="1">
        <v>42370</v>
      </c>
      <c r="G30">
        <v>675.81</v>
      </c>
      <c r="H30">
        <v>657</v>
      </c>
      <c r="I30">
        <v>18.809999999999999</v>
      </c>
      <c r="J30" t="s">
        <v>6</v>
      </c>
      <c r="K30" t="s">
        <v>64</v>
      </c>
      <c r="L30" t="s">
        <v>1</v>
      </c>
      <c r="M30">
        <v>16453872</v>
      </c>
    </row>
    <row r="31" spans="1:13" x14ac:dyDescent="0.25">
      <c r="A31" t="s">
        <v>94</v>
      </c>
      <c r="B31" t="str">
        <f>"0902682921978857"</f>
        <v>0902682921978857</v>
      </c>
      <c r="C31">
        <v>921978857</v>
      </c>
      <c r="D31" t="s">
        <v>9</v>
      </c>
      <c r="E31" s="1">
        <v>42370</v>
      </c>
      <c r="G31">
        <v>342.62</v>
      </c>
      <c r="H31">
        <v>300</v>
      </c>
      <c r="I31">
        <v>42.62</v>
      </c>
      <c r="J31" t="s">
        <v>6</v>
      </c>
      <c r="K31" t="s">
        <v>64</v>
      </c>
      <c r="L31" t="s">
        <v>1</v>
      </c>
      <c r="M31">
        <v>16453872</v>
      </c>
    </row>
    <row r="32" spans="1:13" x14ac:dyDescent="0.25">
      <c r="A32" t="s">
        <v>95</v>
      </c>
      <c r="B32" t="str">
        <f>"0902682922241688"</f>
        <v>0902682922241688</v>
      </c>
      <c r="C32">
        <v>922241688</v>
      </c>
      <c r="D32" t="s">
        <v>9</v>
      </c>
      <c r="E32" s="1">
        <v>42370</v>
      </c>
      <c r="G32">
        <v>452.48</v>
      </c>
      <c r="H32">
        <v>427.26</v>
      </c>
      <c r="I32">
        <v>25.22</v>
      </c>
      <c r="J32" t="s">
        <v>6</v>
      </c>
      <c r="K32" t="s">
        <v>64</v>
      </c>
      <c r="L32" t="s">
        <v>1</v>
      </c>
      <c r="M32">
        <v>16453872</v>
      </c>
    </row>
    <row r="33" spans="1:13" x14ac:dyDescent="0.25">
      <c r="A33" t="s">
        <v>96</v>
      </c>
      <c r="B33" t="str">
        <f>"0902682912577723"</f>
        <v>0902682912577723</v>
      </c>
      <c r="C33">
        <v>912577723</v>
      </c>
      <c r="D33" t="s">
        <v>9</v>
      </c>
      <c r="E33" s="1">
        <v>42370</v>
      </c>
      <c r="G33">
        <v>432.32</v>
      </c>
      <c r="H33">
        <v>373</v>
      </c>
      <c r="I33">
        <v>59.32</v>
      </c>
      <c r="J33" t="s">
        <v>6</v>
      </c>
      <c r="K33" t="s">
        <v>64</v>
      </c>
      <c r="L33" t="s">
        <v>1</v>
      </c>
      <c r="M33">
        <v>16453872</v>
      </c>
    </row>
    <row r="34" spans="1:13" x14ac:dyDescent="0.25">
      <c r="A34" t="s">
        <v>97</v>
      </c>
      <c r="B34" t="str">
        <f>"0902682915861524"</f>
        <v>0902682915861524</v>
      </c>
      <c r="C34">
        <v>915861524</v>
      </c>
      <c r="D34" t="s">
        <v>9</v>
      </c>
      <c r="E34" s="1">
        <v>42370</v>
      </c>
      <c r="G34">
        <v>559.95000000000005</v>
      </c>
      <c r="H34">
        <v>554</v>
      </c>
      <c r="I34">
        <v>5.95</v>
      </c>
      <c r="J34" t="s">
        <v>6</v>
      </c>
      <c r="K34" t="s">
        <v>64</v>
      </c>
      <c r="L34" t="s">
        <v>1</v>
      </c>
      <c r="M34">
        <v>16453872</v>
      </c>
    </row>
    <row r="35" spans="1:13" x14ac:dyDescent="0.25">
      <c r="A35" t="s">
        <v>98</v>
      </c>
      <c r="B35" t="str">
        <f>"0902682908406389"</f>
        <v>0902682908406389</v>
      </c>
      <c r="C35">
        <v>908406389</v>
      </c>
      <c r="D35" t="s">
        <v>9</v>
      </c>
      <c r="E35" s="1">
        <v>42370</v>
      </c>
      <c r="G35">
        <v>737.96</v>
      </c>
      <c r="H35">
        <v>715</v>
      </c>
      <c r="I35">
        <v>22.96</v>
      </c>
      <c r="J35" t="s">
        <v>6</v>
      </c>
      <c r="K35" t="s">
        <v>64</v>
      </c>
      <c r="L35" t="s">
        <v>1</v>
      </c>
      <c r="M35">
        <v>16453872</v>
      </c>
    </row>
    <row r="36" spans="1:13" x14ac:dyDescent="0.25">
      <c r="A36" t="s">
        <v>99</v>
      </c>
      <c r="B36" t="str">
        <f>"0902682910780505"</f>
        <v>0902682910780505</v>
      </c>
      <c r="C36">
        <v>910780505</v>
      </c>
      <c r="D36" t="s">
        <v>9</v>
      </c>
      <c r="E36" s="1">
        <v>42370</v>
      </c>
      <c r="G36">
        <v>370.53</v>
      </c>
      <c r="H36">
        <v>354</v>
      </c>
      <c r="I36">
        <v>16.53</v>
      </c>
      <c r="J36" t="s">
        <v>6</v>
      </c>
      <c r="K36" t="s">
        <v>64</v>
      </c>
      <c r="L36" t="s">
        <v>1</v>
      </c>
      <c r="M36">
        <v>16453872</v>
      </c>
    </row>
    <row r="37" spans="1:13" x14ac:dyDescent="0.25">
      <c r="A37" t="s">
        <v>100</v>
      </c>
      <c r="B37" t="str">
        <f>"0902682906877215"</f>
        <v>0902682906877215</v>
      </c>
      <c r="C37">
        <v>906877215</v>
      </c>
      <c r="D37" t="s">
        <v>9</v>
      </c>
      <c r="E37" s="1">
        <v>42370</v>
      </c>
      <c r="G37">
        <v>296.57</v>
      </c>
      <c r="H37">
        <v>246</v>
      </c>
      <c r="I37">
        <v>50.57</v>
      </c>
      <c r="J37" t="s">
        <v>6</v>
      </c>
      <c r="K37" t="s">
        <v>64</v>
      </c>
      <c r="L37" t="s">
        <v>1</v>
      </c>
      <c r="M37">
        <v>16453872</v>
      </c>
    </row>
    <row r="38" spans="1:13" x14ac:dyDescent="0.25">
      <c r="A38" t="s">
        <v>101</v>
      </c>
      <c r="B38" t="str">
        <f>"0902682905872747"</f>
        <v>0902682905872747</v>
      </c>
      <c r="C38">
        <v>905872747</v>
      </c>
      <c r="D38" t="s">
        <v>9</v>
      </c>
      <c r="E38" s="1">
        <v>42370</v>
      </c>
      <c r="G38">
        <v>318.13</v>
      </c>
      <c r="H38">
        <v>300</v>
      </c>
      <c r="I38">
        <v>18.13</v>
      </c>
      <c r="J38" t="s">
        <v>6</v>
      </c>
      <c r="K38" t="s">
        <v>64</v>
      </c>
      <c r="L38" t="s">
        <v>1</v>
      </c>
      <c r="M38">
        <v>16453872</v>
      </c>
    </row>
    <row r="39" spans="1:13" x14ac:dyDescent="0.25">
      <c r="A39" t="s">
        <v>102</v>
      </c>
      <c r="B39" t="str">
        <f>"0902682900515381"</f>
        <v>0902682900515381</v>
      </c>
      <c r="C39">
        <v>900515381</v>
      </c>
      <c r="D39" t="s">
        <v>9</v>
      </c>
      <c r="E39" s="1">
        <v>42370</v>
      </c>
      <c r="G39">
        <v>274.49</v>
      </c>
      <c r="H39">
        <v>246</v>
      </c>
      <c r="I39">
        <v>28.49</v>
      </c>
      <c r="J39" t="s">
        <v>6</v>
      </c>
      <c r="K39" t="s">
        <v>64</v>
      </c>
      <c r="L39" t="s">
        <v>1</v>
      </c>
      <c r="M39">
        <v>16453872</v>
      </c>
    </row>
    <row r="40" spans="1:13" x14ac:dyDescent="0.25">
      <c r="A40" t="s">
        <v>103</v>
      </c>
      <c r="B40" t="str">
        <f>"0902682901175520"</f>
        <v>0902682901175520</v>
      </c>
      <c r="C40">
        <v>901175520</v>
      </c>
      <c r="D40" t="s">
        <v>9</v>
      </c>
      <c r="E40" s="1">
        <v>42370</v>
      </c>
      <c r="G40">
        <v>404.76</v>
      </c>
      <c r="H40">
        <v>404.56</v>
      </c>
      <c r="I40" t="str">
        <f>"0.20"</f>
        <v>0.20</v>
      </c>
      <c r="J40" t="s">
        <v>4</v>
      </c>
      <c r="K40" t="s">
        <v>64</v>
      </c>
      <c r="L40" t="s">
        <v>1</v>
      </c>
      <c r="M40">
        <v>16453872</v>
      </c>
    </row>
    <row r="41" spans="1:13" x14ac:dyDescent="0.25">
      <c r="A41" t="s">
        <v>104</v>
      </c>
      <c r="B41" t="str">
        <f>"0902726943483497"</f>
        <v>0902726943483497</v>
      </c>
      <c r="C41">
        <v>943483497</v>
      </c>
      <c r="D41" t="s">
        <v>16</v>
      </c>
      <c r="E41" s="1">
        <v>42370</v>
      </c>
      <c r="G41">
        <v>607.02</v>
      </c>
      <c r="H41">
        <v>606.41</v>
      </c>
      <c r="I41" t="str">
        <f>"0.61"</f>
        <v>0.61</v>
      </c>
      <c r="J41" t="s">
        <v>20</v>
      </c>
      <c r="K41" t="s">
        <v>64</v>
      </c>
      <c r="L41" t="s">
        <v>1</v>
      </c>
      <c r="M41">
        <v>16453872</v>
      </c>
    </row>
    <row r="42" spans="1:13" x14ac:dyDescent="0.25">
      <c r="A42" t="s">
        <v>105</v>
      </c>
      <c r="B42" t="str">
        <f>"0902726949797432"</f>
        <v>0902726949797432</v>
      </c>
      <c r="C42">
        <v>949797432</v>
      </c>
      <c r="D42" t="s">
        <v>16</v>
      </c>
      <c r="E42" s="1">
        <v>42370</v>
      </c>
      <c r="G42">
        <v>364.09</v>
      </c>
      <c r="H42">
        <v>316</v>
      </c>
      <c r="I42">
        <v>48.09</v>
      </c>
      <c r="J42" t="s">
        <v>59</v>
      </c>
      <c r="K42" t="s">
        <v>64</v>
      </c>
      <c r="L42" t="s">
        <v>1</v>
      </c>
      <c r="M42">
        <v>16453872</v>
      </c>
    </row>
    <row r="43" spans="1:13" x14ac:dyDescent="0.25">
      <c r="A43" t="s">
        <v>106</v>
      </c>
      <c r="B43" t="str">
        <f>"0902726960410785"</f>
        <v>0902726960410785</v>
      </c>
      <c r="C43">
        <v>960410785</v>
      </c>
      <c r="D43" t="s">
        <v>16</v>
      </c>
      <c r="E43" s="1">
        <v>42370</v>
      </c>
      <c r="G43">
        <v>590.11</v>
      </c>
      <c r="H43">
        <v>530</v>
      </c>
      <c r="I43">
        <v>60.11</v>
      </c>
      <c r="J43" t="s">
        <v>49</v>
      </c>
      <c r="K43" t="s">
        <v>64</v>
      </c>
      <c r="L43" t="s">
        <v>1</v>
      </c>
      <c r="M43">
        <v>16453872</v>
      </c>
    </row>
    <row r="44" spans="1:13" x14ac:dyDescent="0.25">
      <c r="A44" t="s">
        <v>107</v>
      </c>
      <c r="B44" t="str">
        <f>"0902726962955194"</f>
        <v>0902726962955194</v>
      </c>
      <c r="C44">
        <v>962955194</v>
      </c>
      <c r="D44" t="s">
        <v>16</v>
      </c>
      <c r="E44" s="1">
        <v>42370</v>
      </c>
      <c r="G44">
        <v>820.6</v>
      </c>
      <c r="H44">
        <v>799</v>
      </c>
      <c r="I44">
        <v>21.6</v>
      </c>
      <c r="J44" t="s">
        <v>59</v>
      </c>
      <c r="K44" t="s">
        <v>64</v>
      </c>
      <c r="L44" t="s">
        <v>1</v>
      </c>
      <c r="M44">
        <v>16453872</v>
      </c>
    </row>
    <row r="45" spans="1:13" x14ac:dyDescent="0.25">
      <c r="A45" t="s">
        <v>108</v>
      </c>
      <c r="B45" t="str">
        <f>"0902726920993366"</f>
        <v>0902726920993366</v>
      </c>
      <c r="C45">
        <v>920993366</v>
      </c>
      <c r="D45" t="s">
        <v>16</v>
      </c>
      <c r="E45" s="1">
        <v>42370</v>
      </c>
      <c r="G45">
        <v>561.66</v>
      </c>
      <c r="H45">
        <v>561.1</v>
      </c>
      <c r="I45" t="str">
        <f>"0.56"</f>
        <v>0.56</v>
      </c>
      <c r="J45" t="s">
        <v>20</v>
      </c>
      <c r="K45" t="s">
        <v>64</v>
      </c>
      <c r="L45" t="s">
        <v>1</v>
      </c>
      <c r="M45">
        <v>16453872</v>
      </c>
    </row>
    <row r="46" spans="1:13" x14ac:dyDescent="0.25">
      <c r="A46" t="s">
        <v>109</v>
      </c>
      <c r="B46" t="str">
        <f>"0902725948047609"</f>
        <v>0902725948047609</v>
      </c>
      <c r="C46">
        <v>948047609</v>
      </c>
      <c r="D46" t="s">
        <v>110</v>
      </c>
      <c r="E46" s="1">
        <v>42370</v>
      </c>
      <c r="G46">
        <v>494.01</v>
      </c>
      <c r="H46">
        <v>435</v>
      </c>
      <c r="I46">
        <v>59.01</v>
      </c>
      <c r="J46" t="s">
        <v>6</v>
      </c>
      <c r="K46" t="s">
        <v>64</v>
      </c>
      <c r="L46" t="s">
        <v>1</v>
      </c>
      <c r="M46">
        <v>16453872</v>
      </c>
    </row>
    <row r="47" spans="1:13" x14ac:dyDescent="0.25">
      <c r="A47" t="s">
        <v>111</v>
      </c>
      <c r="B47" t="str">
        <f>"0902725959133448"</f>
        <v>0902725959133448</v>
      </c>
      <c r="C47">
        <v>959133448</v>
      </c>
      <c r="D47" t="s">
        <v>110</v>
      </c>
      <c r="E47" s="1">
        <v>42370</v>
      </c>
      <c r="G47">
        <v>242.17</v>
      </c>
      <c r="H47">
        <v>208</v>
      </c>
      <c r="I47">
        <v>34.17</v>
      </c>
      <c r="J47" t="s">
        <v>6</v>
      </c>
      <c r="K47" t="s">
        <v>64</v>
      </c>
      <c r="L47" t="s">
        <v>1</v>
      </c>
      <c r="M47">
        <v>16453872</v>
      </c>
    </row>
    <row r="48" spans="1:13" x14ac:dyDescent="0.25">
      <c r="A48" t="s">
        <v>112</v>
      </c>
      <c r="B48" t="str">
        <f>"0902725969711040"</f>
        <v>0902725969711040</v>
      </c>
      <c r="C48">
        <v>969711040</v>
      </c>
      <c r="D48" t="s">
        <v>110</v>
      </c>
      <c r="E48" s="1">
        <v>42370</v>
      </c>
      <c r="G48">
        <v>242.17</v>
      </c>
      <c r="H48">
        <v>108</v>
      </c>
      <c r="I48">
        <v>134.16999999999999</v>
      </c>
      <c r="J48" t="s">
        <v>10</v>
      </c>
      <c r="K48" t="s">
        <v>64</v>
      </c>
      <c r="L48" t="s">
        <v>1</v>
      </c>
      <c r="M48">
        <v>16453872</v>
      </c>
    </row>
    <row r="49" spans="1:14" x14ac:dyDescent="0.25">
      <c r="A49" t="s">
        <v>113</v>
      </c>
      <c r="B49" t="str">
        <f>"0902726907107656"</f>
        <v>0902726907107656</v>
      </c>
      <c r="C49">
        <v>907107656</v>
      </c>
      <c r="D49" t="s">
        <v>16</v>
      </c>
      <c r="E49" s="1">
        <v>42370</v>
      </c>
      <c r="G49">
        <v>322.02</v>
      </c>
      <c r="H49">
        <v>297</v>
      </c>
      <c r="I49">
        <v>25.02</v>
      </c>
      <c r="J49" t="s">
        <v>59</v>
      </c>
      <c r="K49" t="s">
        <v>64</v>
      </c>
      <c r="L49" t="s">
        <v>1</v>
      </c>
      <c r="M49">
        <v>16453872</v>
      </c>
    </row>
    <row r="50" spans="1:14" x14ac:dyDescent="0.25">
      <c r="A50" t="s">
        <v>114</v>
      </c>
      <c r="B50" t="str">
        <f>"0902726911465510"</f>
        <v>0902726911465510</v>
      </c>
      <c r="C50">
        <v>911465510</v>
      </c>
      <c r="D50" t="s">
        <v>16</v>
      </c>
      <c r="E50" s="1">
        <v>42370</v>
      </c>
      <c r="G50">
        <v>1635.21</v>
      </c>
      <c r="H50">
        <v>1626</v>
      </c>
      <c r="I50">
        <v>9.2100000000000009</v>
      </c>
      <c r="J50" t="s">
        <v>20</v>
      </c>
      <c r="K50" t="s">
        <v>64</v>
      </c>
      <c r="L50" t="s">
        <v>1</v>
      </c>
      <c r="M50">
        <v>16453872</v>
      </c>
    </row>
    <row r="51" spans="1:14" x14ac:dyDescent="0.25">
      <c r="A51" t="s">
        <v>115</v>
      </c>
      <c r="B51" t="str">
        <f>"0902725938379684"</f>
        <v>0902725938379684</v>
      </c>
      <c r="C51">
        <v>938379684</v>
      </c>
      <c r="D51" t="s">
        <v>110</v>
      </c>
      <c r="E51" s="1">
        <v>42370</v>
      </c>
      <c r="G51">
        <v>655.63</v>
      </c>
      <c r="H51">
        <v>557</v>
      </c>
      <c r="I51">
        <v>98.63</v>
      </c>
      <c r="J51" t="s">
        <v>4</v>
      </c>
      <c r="K51" t="s">
        <v>64</v>
      </c>
      <c r="L51" t="s">
        <v>1</v>
      </c>
      <c r="M51">
        <v>16453872</v>
      </c>
    </row>
    <row r="52" spans="1:14" x14ac:dyDescent="0.25">
      <c r="A52" t="s">
        <v>116</v>
      </c>
      <c r="B52" t="str">
        <f>"0902725936236432"</f>
        <v>0902725936236432</v>
      </c>
      <c r="C52">
        <v>936236432</v>
      </c>
      <c r="D52" t="s">
        <v>110</v>
      </c>
      <c r="E52" s="1">
        <v>42370</v>
      </c>
      <c r="G52">
        <v>472.7</v>
      </c>
      <c r="H52">
        <v>354</v>
      </c>
      <c r="I52">
        <v>118.7</v>
      </c>
      <c r="J52" t="s">
        <v>6</v>
      </c>
      <c r="K52" t="s">
        <v>64</v>
      </c>
      <c r="L52" t="s">
        <v>1</v>
      </c>
      <c r="M52">
        <v>16453872</v>
      </c>
    </row>
    <row r="53" spans="1:14" x14ac:dyDescent="0.25">
      <c r="A53" t="s">
        <v>117</v>
      </c>
      <c r="B53" t="str">
        <f>"0902725936336185"</f>
        <v>0902725936336185</v>
      </c>
      <c r="C53">
        <v>936336185</v>
      </c>
      <c r="D53" t="s">
        <v>110</v>
      </c>
      <c r="E53" s="1">
        <v>42370</v>
      </c>
      <c r="G53">
        <v>311.36</v>
      </c>
      <c r="H53">
        <v>231</v>
      </c>
      <c r="I53">
        <v>80.36</v>
      </c>
      <c r="J53" t="s">
        <v>6</v>
      </c>
      <c r="K53" t="s">
        <v>64</v>
      </c>
      <c r="L53" t="s">
        <v>1</v>
      </c>
      <c r="M53">
        <v>16453872</v>
      </c>
    </row>
    <row r="54" spans="1:14" x14ac:dyDescent="0.25">
      <c r="A54" t="s">
        <v>118</v>
      </c>
      <c r="B54" t="str">
        <f>"0902725929387749"</f>
        <v>0902725929387749</v>
      </c>
      <c r="C54">
        <v>929387749</v>
      </c>
      <c r="D54" t="s">
        <v>110</v>
      </c>
      <c r="E54" s="1">
        <v>42370</v>
      </c>
      <c r="G54">
        <v>379.85</v>
      </c>
      <c r="H54">
        <v>345</v>
      </c>
      <c r="I54">
        <v>34.85</v>
      </c>
      <c r="J54" t="s">
        <v>4</v>
      </c>
      <c r="K54" t="s">
        <v>64</v>
      </c>
      <c r="L54" t="s">
        <v>1</v>
      </c>
      <c r="M54">
        <v>16453872</v>
      </c>
    </row>
    <row r="55" spans="1:14" x14ac:dyDescent="0.25">
      <c r="A55" t="s">
        <v>119</v>
      </c>
      <c r="B55" t="str">
        <f>"0902725930563892"</f>
        <v>0902725930563892</v>
      </c>
      <c r="C55">
        <v>930563892</v>
      </c>
      <c r="D55" t="s">
        <v>110</v>
      </c>
      <c r="E55" s="1">
        <v>42370</v>
      </c>
      <c r="G55">
        <v>301.73</v>
      </c>
      <c r="H55" t="str">
        <f>"0.00"</f>
        <v>0.00</v>
      </c>
      <c r="I55">
        <v>301.73</v>
      </c>
      <c r="J55" t="s">
        <v>52</v>
      </c>
      <c r="K55" t="s">
        <v>64</v>
      </c>
      <c r="L55" t="s">
        <v>1</v>
      </c>
      <c r="M55">
        <v>16453872</v>
      </c>
    </row>
    <row r="56" spans="1:14" x14ac:dyDescent="0.25">
      <c r="A56" t="s">
        <v>120</v>
      </c>
      <c r="B56" t="str">
        <f>"0902725930587007"</f>
        <v>0902725930587007</v>
      </c>
      <c r="C56">
        <v>930587007</v>
      </c>
      <c r="D56" t="s">
        <v>110</v>
      </c>
      <c r="E56" s="1">
        <v>42370</v>
      </c>
      <c r="G56">
        <v>370.07</v>
      </c>
      <c r="H56">
        <v>301</v>
      </c>
      <c r="I56">
        <v>69.069999999999993</v>
      </c>
      <c r="J56" t="s">
        <v>6</v>
      </c>
      <c r="K56" t="s">
        <v>64</v>
      </c>
      <c r="L56" t="s">
        <v>1</v>
      </c>
      <c r="M56">
        <v>16453872</v>
      </c>
    </row>
    <row r="57" spans="1:14" x14ac:dyDescent="0.25">
      <c r="A57" t="s">
        <v>121</v>
      </c>
      <c r="B57" t="str">
        <f>"0902725933516779"</f>
        <v>0902725933516779</v>
      </c>
      <c r="C57">
        <v>933516779</v>
      </c>
      <c r="D57" t="s">
        <v>110</v>
      </c>
      <c r="E57" s="1">
        <v>42370</v>
      </c>
      <c r="G57">
        <v>334.41</v>
      </c>
      <c r="H57">
        <v>232</v>
      </c>
      <c r="I57">
        <v>102.41</v>
      </c>
      <c r="J57" t="s">
        <v>6</v>
      </c>
      <c r="K57" t="s">
        <v>64</v>
      </c>
      <c r="L57" t="s">
        <v>1</v>
      </c>
      <c r="M57">
        <v>16453872</v>
      </c>
    </row>
    <row r="58" spans="1:14" x14ac:dyDescent="0.25">
      <c r="A58" t="s">
        <v>122</v>
      </c>
      <c r="B58" t="str">
        <f>"0902725907719760"</f>
        <v>0902725907719760</v>
      </c>
      <c r="C58">
        <v>907719760</v>
      </c>
      <c r="D58" t="s">
        <v>110</v>
      </c>
      <c r="E58" s="1">
        <v>42370</v>
      </c>
      <c r="G58">
        <v>240.49</v>
      </c>
      <c r="H58">
        <v>233</v>
      </c>
      <c r="I58">
        <v>7.49</v>
      </c>
      <c r="J58" t="s">
        <v>4</v>
      </c>
      <c r="K58" t="s">
        <v>64</v>
      </c>
      <c r="L58" t="s">
        <v>1</v>
      </c>
      <c r="M58">
        <v>16453872</v>
      </c>
    </row>
    <row r="59" spans="1:14" x14ac:dyDescent="0.25">
      <c r="A59" t="s">
        <v>123</v>
      </c>
      <c r="B59" t="str">
        <f>"0902725910454922"</f>
        <v>0902725910454922</v>
      </c>
      <c r="C59">
        <v>910454922</v>
      </c>
      <c r="D59" t="s">
        <v>110</v>
      </c>
      <c r="E59" s="1">
        <v>42370</v>
      </c>
      <c r="G59">
        <v>432.5</v>
      </c>
      <c r="H59" t="str">
        <f>"0.00"</f>
        <v>0.00</v>
      </c>
      <c r="I59">
        <v>432.5</v>
      </c>
      <c r="J59" t="s">
        <v>52</v>
      </c>
      <c r="K59" t="s">
        <v>64</v>
      </c>
      <c r="L59" t="s">
        <v>1</v>
      </c>
      <c r="M59">
        <v>16453872</v>
      </c>
    </row>
    <row r="60" spans="1:14" x14ac:dyDescent="0.25">
      <c r="A60" t="s">
        <v>124</v>
      </c>
      <c r="B60" t="str">
        <f>"0902725911369483"</f>
        <v>0902725911369483</v>
      </c>
      <c r="C60">
        <v>911369483</v>
      </c>
      <c r="D60" t="s">
        <v>110</v>
      </c>
      <c r="E60" s="1">
        <v>42370</v>
      </c>
      <c r="G60">
        <v>780.75</v>
      </c>
      <c r="H60">
        <v>576</v>
      </c>
      <c r="I60">
        <v>204.75</v>
      </c>
      <c r="J60" t="s">
        <v>4</v>
      </c>
      <c r="K60" t="s">
        <v>64</v>
      </c>
      <c r="L60" t="s">
        <v>1</v>
      </c>
      <c r="M60">
        <v>16453872</v>
      </c>
    </row>
    <row r="61" spans="1:14" x14ac:dyDescent="0.25">
      <c r="A61" t="s">
        <v>125</v>
      </c>
      <c r="B61" t="str">
        <f>"0902725912283177"</f>
        <v>0902725912283177</v>
      </c>
      <c r="C61">
        <v>912283177</v>
      </c>
      <c r="D61" t="s">
        <v>110</v>
      </c>
      <c r="E61" s="1">
        <v>42370</v>
      </c>
      <c r="G61">
        <v>328.61</v>
      </c>
      <c r="H61">
        <v>302</v>
      </c>
      <c r="I61">
        <v>26.61</v>
      </c>
      <c r="J61" t="s">
        <v>6</v>
      </c>
      <c r="K61" t="s">
        <v>64</v>
      </c>
      <c r="L61" t="s">
        <v>1</v>
      </c>
      <c r="M61">
        <v>16453872</v>
      </c>
    </row>
    <row r="62" spans="1:14" x14ac:dyDescent="0.25">
      <c r="A62" t="s">
        <v>126</v>
      </c>
      <c r="B62" t="str">
        <f>"0902722939508916"</f>
        <v>0902722939508916</v>
      </c>
      <c r="C62">
        <v>939508916</v>
      </c>
      <c r="D62" t="s">
        <v>27</v>
      </c>
      <c r="E62" s="1">
        <v>42370</v>
      </c>
      <c r="G62">
        <v>442.79</v>
      </c>
      <c r="H62">
        <v>373</v>
      </c>
      <c r="I62">
        <v>170.41</v>
      </c>
      <c r="J62" t="s">
        <v>127</v>
      </c>
      <c r="K62" t="s">
        <v>64</v>
      </c>
      <c r="L62" t="s">
        <v>1</v>
      </c>
      <c r="M62">
        <v>16453872</v>
      </c>
      <c r="N62" t="s">
        <v>128</v>
      </c>
    </row>
    <row r="63" spans="1:14" x14ac:dyDescent="0.25">
      <c r="A63" t="s">
        <v>129</v>
      </c>
      <c r="B63" t="str">
        <f>"0902721973316468"</f>
        <v>0902721973316468</v>
      </c>
      <c r="C63">
        <v>973316468</v>
      </c>
      <c r="D63" t="s">
        <v>130</v>
      </c>
      <c r="E63" s="1">
        <v>42370</v>
      </c>
      <c r="G63">
        <v>561.41999999999996</v>
      </c>
      <c r="H63">
        <v>505</v>
      </c>
      <c r="I63">
        <v>56.42</v>
      </c>
      <c r="J63" t="s">
        <v>49</v>
      </c>
      <c r="K63" t="s">
        <v>64</v>
      </c>
      <c r="L63" t="s">
        <v>1</v>
      </c>
      <c r="M63">
        <v>16453872</v>
      </c>
    </row>
    <row r="64" spans="1:14" x14ac:dyDescent="0.25">
      <c r="A64" t="s">
        <v>131</v>
      </c>
      <c r="B64" t="str">
        <f>"0902720967757764"</f>
        <v>0902720967757764</v>
      </c>
      <c r="C64">
        <v>967757764</v>
      </c>
      <c r="D64" t="s">
        <v>3</v>
      </c>
      <c r="E64" s="1">
        <v>42370</v>
      </c>
      <c r="G64">
        <v>747.55</v>
      </c>
      <c r="H64">
        <v>680</v>
      </c>
      <c r="I64">
        <v>67.55</v>
      </c>
      <c r="J64" t="s">
        <v>4</v>
      </c>
      <c r="K64" t="s">
        <v>64</v>
      </c>
      <c r="L64" t="s">
        <v>1</v>
      </c>
      <c r="M64">
        <v>16453872</v>
      </c>
    </row>
    <row r="65" spans="1:13" x14ac:dyDescent="0.25">
      <c r="A65" t="s">
        <v>132</v>
      </c>
      <c r="B65" t="str">
        <f>"0902721906049667"</f>
        <v>0902721906049667</v>
      </c>
      <c r="C65">
        <v>906049667</v>
      </c>
      <c r="D65" t="s">
        <v>130</v>
      </c>
      <c r="E65" s="1">
        <v>42370</v>
      </c>
      <c r="G65">
        <v>439.35</v>
      </c>
      <c r="H65">
        <v>423.16</v>
      </c>
      <c r="I65">
        <v>16.190000000000001</v>
      </c>
      <c r="J65" t="s">
        <v>20</v>
      </c>
      <c r="K65" t="s">
        <v>64</v>
      </c>
      <c r="L65" t="s">
        <v>1</v>
      </c>
      <c r="M65">
        <v>16453872</v>
      </c>
    </row>
    <row r="66" spans="1:13" x14ac:dyDescent="0.25">
      <c r="A66" t="s">
        <v>133</v>
      </c>
      <c r="B66" t="str">
        <f>"0902721912111803"</f>
        <v>0902721912111803</v>
      </c>
      <c r="C66">
        <v>912111803</v>
      </c>
      <c r="D66" t="s">
        <v>130</v>
      </c>
      <c r="E66" s="1">
        <v>42370</v>
      </c>
      <c r="F66" s="1">
        <v>42400</v>
      </c>
      <c r="G66">
        <v>480.54</v>
      </c>
      <c r="H66">
        <v>462.84</v>
      </c>
      <c r="I66">
        <v>17.7</v>
      </c>
      <c r="J66" t="s">
        <v>20</v>
      </c>
      <c r="K66" t="s">
        <v>64</v>
      </c>
      <c r="L66" t="s">
        <v>1</v>
      </c>
      <c r="M66">
        <v>16453872</v>
      </c>
    </row>
    <row r="67" spans="1:13" x14ac:dyDescent="0.25">
      <c r="A67" t="s">
        <v>134</v>
      </c>
      <c r="B67" t="str">
        <f>"0902721918110032"</f>
        <v>0902721918110032</v>
      </c>
      <c r="C67">
        <v>918110032</v>
      </c>
      <c r="D67" t="s">
        <v>130</v>
      </c>
      <c r="E67" s="1">
        <v>42370</v>
      </c>
      <c r="G67">
        <v>553.51</v>
      </c>
      <c r="H67">
        <v>470</v>
      </c>
      <c r="I67">
        <v>83.51</v>
      </c>
      <c r="J67" t="s">
        <v>49</v>
      </c>
      <c r="K67" t="s">
        <v>64</v>
      </c>
      <c r="L67" t="s">
        <v>1</v>
      </c>
      <c r="M67">
        <v>16453872</v>
      </c>
    </row>
    <row r="68" spans="1:13" x14ac:dyDescent="0.25">
      <c r="A68" t="s">
        <v>135</v>
      </c>
      <c r="B68" t="str">
        <f>"0902722952609117"</f>
        <v>0902722952609117</v>
      </c>
      <c r="C68">
        <v>952609117</v>
      </c>
      <c r="D68" t="s">
        <v>27</v>
      </c>
      <c r="E68" s="1">
        <v>42370</v>
      </c>
      <c r="G68">
        <v>714.42</v>
      </c>
      <c r="H68" t="str">
        <f>"0.00"</f>
        <v>0.00</v>
      </c>
      <c r="I68">
        <v>799.11</v>
      </c>
      <c r="J68" t="s">
        <v>136</v>
      </c>
      <c r="K68" t="s">
        <v>64</v>
      </c>
      <c r="L68" t="s">
        <v>1</v>
      </c>
      <c r="M68">
        <v>16453872</v>
      </c>
    </row>
    <row r="69" spans="1:13" x14ac:dyDescent="0.25">
      <c r="A69" t="s">
        <v>137</v>
      </c>
      <c r="B69" t="str">
        <f>"0902720961507155"</f>
        <v>0902720961507155</v>
      </c>
      <c r="C69">
        <v>961507155</v>
      </c>
      <c r="D69" t="s">
        <v>3</v>
      </c>
      <c r="E69" s="1">
        <v>42370</v>
      </c>
      <c r="G69">
        <v>968.69</v>
      </c>
      <c r="H69">
        <v>938</v>
      </c>
      <c r="I69">
        <v>30.69</v>
      </c>
      <c r="J69" t="s">
        <v>15</v>
      </c>
      <c r="K69" t="s">
        <v>64</v>
      </c>
      <c r="L69" t="s">
        <v>1</v>
      </c>
      <c r="M69">
        <v>16453872</v>
      </c>
    </row>
    <row r="70" spans="1:13" x14ac:dyDescent="0.25">
      <c r="A70" t="s">
        <v>138</v>
      </c>
      <c r="B70" t="str">
        <f>"0902720962879266"</f>
        <v>0902720962879266</v>
      </c>
      <c r="C70">
        <v>962879266</v>
      </c>
      <c r="D70" t="s">
        <v>3</v>
      </c>
      <c r="E70" s="1">
        <v>42370</v>
      </c>
      <c r="G70">
        <v>884.79</v>
      </c>
      <c r="H70">
        <v>871</v>
      </c>
      <c r="I70">
        <v>13.79</v>
      </c>
      <c r="J70" t="s">
        <v>15</v>
      </c>
      <c r="K70" t="s">
        <v>64</v>
      </c>
      <c r="L70" t="s">
        <v>1</v>
      </c>
      <c r="M70">
        <v>16453872</v>
      </c>
    </row>
    <row r="71" spans="1:13" x14ac:dyDescent="0.25">
      <c r="A71" t="s">
        <v>139</v>
      </c>
      <c r="B71" t="str">
        <f>"0902720962971359"</f>
        <v>0902720962971359</v>
      </c>
      <c r="C71">
        <v>962971359</v>
      </c>
      <c r="D71" t="s">
        <v>3</v>
      </c>
      <c r="E71" s="1">
        <v>42370</v>
      </c>
      <c r="G71">
        <v>398.37</v>
      </c>
      <c r="H71">
        <v>373</v>
      </c>
      <c r="I71">
        <v>25.37</v>
      </c>
      <c r="J71" t="s">
        <v>15</v>
      </c>
      <c r="K71" t="s">
        <v>64</v>
      </c>
      <c r="L71" t="s">
        <v>1</v>
      </c>
      <c r="M71">
        <v>16453872</v>
      </c>
    </row>
    <row r="72" spans="1:13" x14ac:dyDescent="0.25">
      <c r="A72" t="s">
        <v>140</v>
      </c>
      <c r="B72" t="str">
        <f>"0902720959402147"</f>
        <v>0902720959402147</v>
      </c>
      <c r="C72">
        <v>959402147</v>
      </c>
      <c r="D72" t="s">
        <v>3</v>
      </c>
      <c r="E72" s="1">
        <v>42370</v>
      </c>
      <c r="G72">
        <v>473.84</v>
      </c>
      <c r="H72">
        <v>467</v>
      </c>
      <c r="I72">
        <v>6.84</v>
      </c>
      <c r="J72" t="s">
        <v>15</v>
      </c>
      <c r="K72" t="s">
        <v>64</v>
      </c>
      <c r="L72" t="s">
        <v>1</v>
      </c>
      <c r="M72">
        <v>16453872</v>
      </c>
    </row>
    <row r="73" spans="1:13" x14ac:dyDescent="0.25">
      <c r="A73" t="s">
        <v>141</v>
      </c>
      <c r="B73" t="str">
        <f>"0902720953918431"</f>
        <v>0902720953918431</v>
      </c>
      <c r="C73">
        <v>953918431</v>
      </c>
      <c r="D73" t="s">
        <v>3</v>
      </c>
      <c r="E73" s="1">
        <v>42370</v>
      </c>
      <c r="G73">
        <v>458.42</v>
      </c>
      <c r="H73">
        <v>452</v>
      </c>
      <c r="I73">
        <v>6.42</v>
      </c>
      <c r="J73" t="s">
        <v>15</v>
      </c>
      <c r="K73" t="s">
        <v>64</v>
      </c>
      <c r="L73" t="s">
        <v>1</v>
      </c>
      <c r="M73">
        <v>16453872</v>
      </c>
    </row>
    <row r="74" spans="1:13" x14ac:dyDescent="0.25">
      <c r="A74" t="s">
        <v>142</v>
      </c>
      <c r="B74" t="str">
        <f>"0902720929372505"</f>
        <v>0902720929372505</v>
      </c>
      <c r="C74">
        <v>929372505</v>
      </c>
      <c r="D74" t="s">
        <v>3</v>
      </c>
      <c r="E74" s="1">
        <v>42370</v>
      </c>
      <c r="G74">
        <v>356.7</v>
      </c>
      <c r="H74">
        <v>346</v>
      </c>
      <c r="I74">
        <v>10.7</v>
      </c>
      <c r="J74" t="s">
        <v>15</v>
      </c>
      <c r="K74" t="s">
        <v>64</v>
      </c>
      <c r="L74" t="s">
        <v>1</v>
      </c>
      <c r="M74">
        <v>16453872</v>
      </c>
    </row>
    <row r="75" spans="1:13" x14ac:dyDescent="0.25">
      <c r="A75" t="s">
        <v>143</v>
      </c>
      <c r="B75" t="str">
        <f>"0902720935428916"</f>
        <v>0902720935428916</v>
      </c>
      <c r="C75">
        <v>935428916</v>
      </c>
      <c r="D75" t="s">
        <v>3</v>
      </c>
      <c r="E75" s="1">
        <v>42370</v>
      </c>
      <c r="G75">
        <v>944.62</v>
      </c>
      <c r="H75">
        <v>933</v>
      </c>
      <c r="I75">
        <v>11.62</v>
      </c>
      <c r="J75" t="s">
        <v>15</v>
      </c>
      <c r="K75" t="s">
        <v>64</v>
      </c>
      <c r="L75" t="s">
        <v>1</v>
      </c>
      <c r="M75">
        <v>16453872</v>
      </c>
    </row>
    <row r="76" spans="1:13" x14ac:dyDescent="0.25">
      <c r="A76" t="s">
        <v>144</v>
      </c>
      <c r="B76" t="str">
        <f>"0902720915169094"</f>
        <v>0902720915169094</v>
      </c>
      <c r="C76">
        <v>915169094</v>
      </c>
      <c r="D76" t="s">
        <v>3</v>
      </c>
      <c r="E76" s="1">
        <v>42370</v>
      </c>
      <c r="G76">
        <v>276.08</v>
      </c>
      <c r="H76">
        <v>252</v>
      </c>
      <c r="I76">
        <v>24.08</v>
      </c>
      <c r="J76" t="s">
        <v>15</v>
      </c>
      <c r="K76" t="s">
        <v>64</v>
      </c>
      <c r="L76" t="s">
        <v>1</v>
      </c>
      <c r="M76">
        <v>16453872</v>
      </c>
    </row>
    <row r="77" spans="1:13" x14ac:dyDescent="0.25">
      <c r="A77" t="s">
        <v>145</v>
      </c>
      <c r="B77" t="str">
        <f>"0902720921124497"</f>
        <v>0902720921124497</v>
      </c>
      <c r="C77">
        <v>921124497</v>
      </c>
      <c r="D77" t="s">
        <v>3</v>
      </c>
      <c r="E77" s="1">
        <v>42370</v>
      </c>
      <c r="G77">
        <v>687.46</v>
      </c>
      <c r="H77">
        <v>639</v>
      </c>
      <c r="I77">
        <v>48.46</v>
      </c>
      <c r="J77" t="s">
        <v>15</v>
      </c>
      <c r="K77" t="s">
        <v>64</v>
      </c>
      <c r="L77" t="s">
        <v>1</v>
      </c>
      <c r="M77">
        <v>16453872</v>
      </c>
    </row>
    <row r="78" spans="1:13" x14ac:dyDescent="0.25">
      <c r="A78" t="s">
        <v>146</v>
      </c>
      <c r="B78" t="str">
        <f>"0902720921237408"</f>
        <v>0902720921237408</v>
      </c>
      <c r="C78">
        <v>921237408</v>
      </c>
      <c r="D78" t="s">
        <v>3</v>
      </c>
      <c r="E78" s="1">
        <v>42370</v>
      </c>
      <c r="G78">
        <v>561.5</v>
      </c>
      <c r="H78">
        <v>549</v>
      </c>
      <c r="I78">
        <v>12.5</v>
      </c>
      <c r="J78" t="s">
        <v>26</v>
      </c>
      <c r="K78" t="s">
        <v>64</v>
      </c>
      <c r="L78" t="s">
        <v>1</v>
      </c>
      <c r="M78">
        <v>16453872</v>
      </c>
    </row>
    <row r="79" spans="1:13" x14ac:dyDescent="0.25">
      <c r="A79" t="s">
        <v>147</v>
      </c>
      <c r="B79" t="str">
        <f>"0902720927220948"</f>
        <v>0902720927220948</v>
      </c>
      <c r="C79">
        <v>927220948</v>
      </c>
      <c r="D79" t="s">
        <v>3</v>
      </c>
      <c r="E79" s="1">
        <v>42370</v>
      </c>
      <c r="G79">
        <v>784.14</v>
      </c>
      <c r="H79">
        <v>671</v>
      </c>
      <c r="I79">
        <v>113.14</v>
      </c>
      <c r="J79" t="s">
        <v>15</v>
      </c>
      <c r="K79" t="s">
        <v>64</v>
      </c>
      <c r="L79" t="s">
        <v>1</v>
      </c>
      <c r="M79">
        <v>16453872</v>
      </c>
    </row>
    <row r="80" spans="1:13" x14ac:dyDescent="0.25">
      <c r="A80" t="s">
        <v>148</v>
      </c>
      <c r="B80" t="str">
        <f>"0902720928222826"</f>
        <v>0902720928222826</v>
      </c>
      <c r="C80">
        <v>928222826</v>
      </c>
      <c r="D80" t="s">
        <v>3</v>
      </c>
      <c r="E80" s="1">
        <v>42370</v>
      </c>
      <c r="G80">
        <v>944.62</v>
      </c>
      <c r="H80">
        <v>897</v>
      </c>
      <c r="I80">
        <v>47.62</v>
      </c>
      <c r="J80" t="s">
        <v>15</v>
      </c>
      <c r="K80" t="s">
        <v>64</v>
      </c>
      <c r="L80" t="s">
        <v>1</v>
      </c>
      <c r="M80">
        <v>16453872</v>
      </c>
    </row>
    <row r="81" spans="1:13" x14ac:dyDescent="0.25">
      <c r="A81" t="s">
        <v>149</v>
      </c>
      <c r="B81" t="str">
        <f>"0902720905750291"</f>
        <v>0902720905750291</v>
      </c>
      <c r="C81">
        <v>905750291</v>
      </c>
      <c r="D81" t="s">
        <v>3</v>
      </c>
      <c r="E81" s="1">
        <v>42370</v>
      </c>
      <c r="G81">
        <v>765.57</v>
      </c>
      <c r="H81">
        <v>765.19</v>
      </c>
      <c r="I81" t="str">
        <f>"0.38"</f>
        <v>0.38</v>
      </c>
      <c r="J81" t="s">
        <v>15</v>
      </c>
      <c r="K81" t="s">
        <v>64</v>
      </c>
      <c r="L81" t="s">
        <v>1</v>
      </c>
      <c r="M81">
        <v>16453872</v>
      </c>
    </row>
    <row r="82" spans="1:13" x14ac:dyDescent="0.25">
      <c r="A82" t="s">
        <v>150</v>
      </c>
      <c r="B82" t="str">
        <f>"0902720910265844"</f>
        <v>0902720910265844</v>
      </c>
      <c r="C82">
        <v>910265844</v>
      </c>
      <c r="D82" t="s">
        <v>3</v>
      </c>
      <c r="E82" s="1">
        <v>42370</v>
      </c>
      <c r="G82">
        <v>309.70999999999998</v>
      </c>
      <c r="H82">
        <v>231</v>
      </c>
      <c r="I82">
        <v>78.709999999999994</v>
      </c>
      <c r="J82" t="s">
        <v>8</v>
      </c>
      <c r="K82" t="s">
        <v>64</v>
      </c>
      <c r="L82" t="s">
        <v>1</v>
      </c>
      <c r="M82">
        <v>16453872</v>
      </c>
    </row>
    <row r="83" spans="1:13" x14ac:dyDescent="0.25">
      <c r="A83" t="s">
        <v>151</v>
      </c>
      <c r="B83" t="str">
        <f>"0902720911506088"</f>
        <v>0902720911506088</v>
      </c>
      <c r="C83">
        <v>911506088</v>
      </c>
      <c r="D83" t="s">
        <v>3</v>
      </c>
      <c r="E83" s="1">
        <v>42370</v>
      </c>
      <c r="G83">
        <v>794.44</v>
      </c>
      <c r="H83">
        <v>768</v>
      </c>
      <c r="I83">
        <v>26.44</v>
      </c>
      <c r="J83" t="s">
        <v>42</v>
      </c>
      <c r="K83" t="s">
        <v>64</v>
      </c>
      <c r="L83" t="s">
        <v>1</v>
      </c>
      <c r="M83">
        <v>16453872</v>
      </c>
    </row>
    <row r="84" spans="1:13" x14ac:dyDescent="0.25">
      <c r="A84" t="s">
        <v>152</v>
      </c>
      <c r="B84" t="str">
        <f>"0902720912546708"</f>
        <v>0902720912546708</v>
      </c>
      <c r="C84">
        <v>912546708</v>
      </c>
      <c r="D84" t="s">
        <v>3</v>
      </c>
      <c r="E84" s="1">
        <v>42370</v>
      </c>
      <c r="G84">
        <v>274.61</v>
      </c>
      <c r="H84">
        <v>267</v>
      </c>
      <c r="I84">
        <v>7.61</v>
      </c>
      <c r="J84" t="s">
        <v>8</v>
      </c>
      <c r="K84" t="s">
        <v>64</v>
      </c>
      <c r="L84" t="s">
        <v>1</v>
      </c>
      <c r="M84">
        <v>16453872</v>
      </c>
    </row>
    <row r="85" spans="1:13" x14ac:dyDescent="0.25">
      <c r="A85" t="s">
        <v>153</v>
      </c>
      <c r="B85" t="str">
        <f>"0902720913424221"</f>
        <v>0902720913424221</v>
      </c>
      <c r="C85">
        <v>913424221</v>
      </c>
      <c r="D85" t="s">
        <v>3</v>
      </c>
      <c r="E85" s="1">
        <v>42370</v>
      </c>
      <c r="G85">
        <v>481.46</v>
      </c>
      <c r="H85">
        <v>481.22</v>
      </c>
      <c r="I85" t="str">
        <f>"0.24"</f>
        <v>0.24</v>
      </c>
      <c r="J85" t="s">
        <v>8</v>
      </c>
      <c r="K85" t="s">
        <v>64</v>
      </c>
      <c r="L85" t="s">
        <v>1</v>
      </c>
      <c r="M85">
        <v>16453872</v>
      </c>
    </row>
    <row r="86" spans="1:13" x14ac:dyDescent="0.25">
      <c r="A86" t="s">
        <v>154</v>
      </c>
      <c r="B86" t="str">
        <f>"0902719960865050"</f>
        <v>0902719960865050</v>
      </c>
      <c r="C86">
        <v>960865050</v>
      </c>
      <c r="D86" t="s">
        <v>7</v>
      </c>
      <c r="E86" s="1">
        <v>42370</v>
      </c>
      <c r="G86">
        <v>635.95000000000005</v>
      </c>
      <c r="H86">
        <v>500</v>
      </c>
      <c r="I86">
        <v>135.94999999999999</v>
      </c>
      <c r="J86" t="s">
        <v>30</v>
      </c>
      <c r="K86" t="s">
        <v>64</v>
      </c>
      <c r="L86" t="s">
        <v>1</v>
      </c>
      <c r="M86">
        <v>16453872</v>
      </c>
    </row>
    <row r="87" spans="1:13" x14ac:dyDescent="0.25">
      <c r="A87" t="s">
        <v>155</v>
      </c>
      <c r="B87" t="str">
        <f>"0902719963993138"</f>
        <v>0902719963993138</v>
      </c>
      <c r="C87">
        <v>963993138</v>
      </c>
      <c r="D87" t="s">
        <v>7</v>
      </c>
      <c r="E87" s="1">
        <v>42370</v>
      </c>
      <c r="G87">
        <v>325.70999999999998</v>
      </c>
      <c r="H87">
        <v>325.38</v>
      </c>
      <c r="I87" t="str">
        <f>"0.33"</f>
        <v>0.33</v>
      </c>
      <c r="J87" t="s">
        <v>4</v>
      </c>
      <c r="K87" t="s">
        <v>64</v>
      </c>
      <c r="L87" t="s">
        <v>1</v>
      </c>
      <c r="M87">
        <v>16453872</v>
      </c>
    </row>
    <row r="88" spans="1:13" x14ac:dyDescent="0.25">
      <c r="A88" t="s">
        <v>156</v>
      </c>
      <c r="B88" t="str">
        <f>"0902719920044147"</f>
        <v>0902719920044147</v>
      </c>
      <c r="C88">
        <v>920044147</v>
      </c>
      <c r="D88" t="s">
        <v>7</v>
      </c>
      <c r="E88" s="1">
        <v>42370</v>
      </c>
      <c r="G88">
        <v>469.37</v>
      </c>
      <c r="H88">
        <v>270</v>
      </c>
      <c r="I88">
        <v>199.37</v>
      </c>
      <c r="J88" t="s">
        <v>8</v>
      </c>
      <c r="K88" t="s">
        <v>64</v>
      </c>
      <c r="L88" t="s">
        <v>1</v>
      </c>
      <c r="M88">
        <v>16453872</v>
      </c>
    </row>
    <row r="89" spans="1:13" x14ac:dyDescent="0.25">
      <c r="A89" t="s">
        <v>157</v>
      </c>
      <c r="B89" t="str">
        <f>"0902719914863037"</f>
        <v>0902719914863037</v>
      </c>
      <c r="C89">
        <v>914863037</v>
      </c>
      <c r="D89" t="s">
        <v>7</v>
      </c>
      <c r="E89" s="1">
        <v>42370</v>
      </c>
      <c r="G89">
        <v>299.61</v>
      </c>
      <c r="H89">
        <v>220</v>
      </c>
      <c r="I89">
        <v>79.61</v>
      </c>
      <c r="J89" t="s">
        <v>8</v>
      </c>
      <c r="K89" t="s">
        <v>64</v>
      </c>
      <c r="L89" t="s">
        <v>1</v>
      </c>
      <c r="M89">
        <v>16453872</v>
      </c>
    </row>
    <row r="90" spans="1:13" x14ac:dyDescent="0.25">
      <c r="A90" t="s">
        <v>158</v>
      </c>
      <c r="B90" t="str">
        <f>"0902719933049169"</f>
        <v>0902719933049169</v>
      </c>
      <c r="C90">
        <v>933049169</v>
      </c>
      <c r="D90" t="s">
        <v>7</v>
      </c>
      <c r="E90" s="1">
        <v>42370</v>
      </c>
      <c r="G90">
        <v>487.05</v>
      </c>
      <c r="H90">
        <v>424</v>
      </c>
      <c r="I90">
        <v>63.05</v>
      </c>
      <c r="J90" t="s">
        <v>29</v>
      </c>
      <c r="K90" t="s">
        <v>64</v>
      </c>
      <c r="L90" t="s">
        <v>1</v>
      </c>
      <c r="M90">
        <v>16453872</v>
      </c>
    </row>
    <row r="91" spans="1:13" x14ac:dyDescent="0.25">
      <c r="A91" t="s">
        <v>159</v>
      </c>
      <c r="B91" t="str">
        <f>"0902719932545902"</f>
        <v>0902719932545902</v>
      </c>
      <c r="C91">
        <v>932545902</v>
      </c>
      <c r="D91" t="s">
        <v>7</v>
      </c>
      <c r="E91" s="1">
        <v>42370</v>
      </c>
      <c r="G91">
        <v>809.4</v>
      </c>
      <c r="H91">
        <v>519</v>
      </c>
      <c r="I91">
        <v>290.39999999999998</v>
      </c>
      <c r="J91" t="s">
        <v>58</v>
      </c>
      <c r="K91" t="s">
        <v>64</v>
      </c>
      <c r="L91" t="s">
        <v>1</v>
      </c>
      <c r="M91">
        <v>16453872</v>
      </c>
    </row>
    <row r="92" spans="1:13" x14ac:dyDescent="0.25">
      <c r="A92" t="s">
        <v>160</v>
      </c>
      <c r="B92" t="str">
        <f>"0902719943795733"</f>
        <v>0902719943795733</v>
      </c>
      <c r="C92">
        <v>943795733</v>
      </c>
      <c r="D92" t="s">
        <v>7</v>
      </c>
      <c r="E92" s="1">
        <v>42370</v>
      </c>
      <c r="G92">
        <v>810.43</v>
      </c>
      <c r="H92">
        <v>789</v>
      </c>
      <c r="I92">
        <v>21.43</v>
      </c>
      <c r="J92" t="s">
        <v>30</v>
      </c>
      <c r="K92" t="s">
        <v>64</v>
      </c>
      <c r="L92" t="s">
        <v>1</v>
      </c>
      <c r="M92">
        <v>16453872</v>
      </c>
    </row>
    <row r="93" spans="1:13" x14ac:dyDescent="0.25">
      <c r="A93" t="s">
        <v>161</v>
      </c>
      <c r="B93" t="str">
        <f>"0902719950162952"</f>
        <v>0902719950162952</v>
      </c>
      <c r="C93">
        <v>950162952</v>
      </c>
      <c r="D93" t="s">
        <v>7</v>
      </c>
      <c r="E93" s="1">
        <v>42370</v>
      </c>
      <c r="G93">
        <v>736.74</v>
      </c>
      <c r="H93">
        <v>547</v>
      </c>
      <c r="I93">
        <v>189.74</v>
      </c>
      <c r="J93" t="s">
        <v>8</v>
      </c>
      <c r="K93" t="s">
        <v>64</v>
      </c>
      <c r="L93" t="s">
        <v>1</v>
      </c>
      <c r="M93">
        <v>16453872</v>
      </c>
    </row>
    <row r="94" spans="1:13" x14ac:dyDescent="0.25">
      <c r="A94" t="s">
        <v>162</v>
      </c>
      <c r="B94" t="str">
        <f>"0902719951383202"</f>
        <v>0902719951383202</v>
      </c>
      <c r="C94">
        <v>951383202</v>
      </c>
      <c r="D94" t="s">
        <v>7</v>
      </c>
      <c r="E94" s="1">
        <v>42370</v>
      </c>
      <c r="G94">
        <v>280.58999999999997</v>
      </c>
      <c r="H94">
        <v>219</v>
      </c>
      <c r="I94">
        <v>61.59</v>
      </c>
      <c r="J94" t="s">
        <v>8</v>
      </c>
      <c r="K94" t="s">
        <v>64</v>
      </c>
      <c r="L94" t="s">
        <v>1</v>
      </c>
      <c r="M94">
        <v>16453872</v>
      </c>
    </row>
    <row r="95" spans="1:13" x14ac:dyDescent="0.25">
      <c r="A95" t="s">
        <v>163</v>
      </c>
      <c r="B95" t="str">
        <f>"0902719952337360"</f>
        <v>0902719952337360</v>
      </c>
      <c r="C95">
        <v>952337360</v>
      </c>
      <c r="D95" t="s">
        <v>7</v>
      </c>
      <c r="E95" s="1">
        <v>42370</v>
      </c>
      <c r="G95">
        <v>483.77</v>
      </c>
      <c r="H95">
        <v>466</v>
      </c>
      <c r="I95">
        <v>17.77</v>
      </c>
      <c r="J95" t="s">
        <v>30</v>
      </c>
      <c r="K95" t="s">
        <v>64</v>
      </c>
      <c r="L95" t="s">
        <v>1</v>
      </c>
      <c r="M95">
        <v>16453872</v>
      </c>
    </row>
    <row r="96" spans="1:13" x14ac:dyDescent="0.25">
      <c r="A96" t="s">
        <v>164</v>
      </c>
      <c r="B96" t="str">
        <f>"0902719948521062"</f>
        <v>0902719948521062</v>
      </c>
      <c r="C96">
        <v>948521062</v>
      </c>
      <c r="D96" t="s">
        <v>7</v>
      </c>
      <c r="E96" s="1">
        <v>42309</v>
      </c>
      <c r="G96">
        <v>280.11</v>
      </c>
      <c r="H96">
        <v>250</v>
      </c>
      <c r="I96">
        <v>30.11</v>
      </c>
      <c r="J96" t="s">
        <v>30</v>
      </c>
      <c r="K96" t="s">
        <v>64</v>
      </c>
      <c r="L96" t="s">
        <v>1</v>
      </c>
      <c r="M96">
        <v>16453872</v>
      </c>
    </row>
    <row r="97" spans="1:13" x14ac:dyDescent="0.25">
      <c r="A97" t="s">
        <v>165</v>
      </c>
      <c r="B97" t="str">
        <f>"0902719923720531"</f>
        <v>0902719923720531</v>
      </c>
      <c r="C97">
        <v>923720531</v>
      </c>
      <c r="D97" t="s">
        <v>7</v>
      </c>
      <c r="E97" s="1">
        <v>42309</v>
      </c>
      <c r="G97">
        <v>280.08999999999997</v>
      </c>
      <c r="H97">
        <v>224</v>
      </c>
      <c r="I97">
        <v>56.09</v>
      </c>
      <c r="J97" t="s">
        <v>0</v>
      </c>
      <c r="K97" t="s">
        <v>64</v>
      </c>
      <c r="L97" t="s">
        <v>1</v>
      </c>
      <c r="M97">
        <v>16453872</v>
      </c>
    </row>
    <row r="98" spans="1:13" x14ac:dyDescent="0.25">
      <c r="A98" t="s">
        <v>166</v>
      </c>
      <c r="B98" t="str">
        <f>"0902719974932251"</f>
        <v>0902719974932251</v>
      </c>
      <c r="C98">
        <v>974932251</v>
      </c>
      <c r="D98" t="s">
        <v>7</v>
      </c>
      <c r="E98" s="1">
        <v>42309</v>
      </c>
      <c r="G98">
        <v>232.26</v>
      </c>
      <c r="H98">
        <v>120</v>
      </c>
      <c r="I98">
        <v>112.26</v>
      </c>
      <c r="J98" t="s">
        <v>29</v>
      </c>
      <c r="K98" t="s">
        <v>64</v>
      </c>
      <c r="L98" t="s">
        <v>1</v>
      </c>
      <c r="M98">
        <v>16453872</v>
      </c>
    </row>
    <row r="99" spans="1:13" x14ac:dyDescent="0.25">
      <c r="A99" t="s">
        <v>167</v>
      </c>
      <c r="B99" t="str">
        <f>"0902720914158314"</f>
        <v>0902720914158314</v>
      </c>
      <c r="C99">
        <v>914158314</v>
      </c>
      <c r="D99" t="s">
        <v>3</v>
      </c>
      <c r="E99" s="1">
        <v>42309</v>
      </c>
      <c r="G99">
        <v>762.3</v>
      </c>
      <c r="H99">
        <v>740</v>
      </c>
      <c r="I99">
        <v>22.3</v>
      </c>
      <c r="J99" t="s">
        <v>31</v>
      </c>
      <c r="K99" t="s">
        <v>64</v>
      </c>
      <c r="L99" t="s">
        <v>1</v>
      </c>
      <c r="M99">
        <v>16453872</v>
      </c>
    </row>
    <row r="100" spans="1:13" x14ac:dyDescent="0.25">
      <c r="A100" t="s">
        <v>168</v>
      </c>
      <c r="B100" t="str">
        <f>"0902720947047336"</f>
        <v>0902720947047336</v>
      </c>
      <c r="C100">
        <v>947047336</v>
      </c>
      <c r="D100" t="s">
        <v>3</v>
      </c>
      <c r="E100" s="1">
        <v>42309</v>
      </c>
      <c r="G100">
        <v>346.28</v>
      </c>
      <c r="H100">
        <v>346.11</v>
      </c>
      <c r="I100" t="str">
        <f>"0.17"</f>
        <v>0.17</v>
      </c>
      <c r="J100" t="s">
        <v>26</v>
      </c>
      <c r="K100" t="s">
        <v>64</v>
      </c>
      <c r="L100" t="s">
        <v>1</v>
      </c>
      <c r="M100">
        <v>16453872</v>
      </c>
    </row>
    <row r="101" spans="1:13" x14ac:dyDescent="0.25">
      <c r="A101" t="s">
        <v>169</v>
      </c>
      <c r="B101" t="str">
        <f>"0902720965163168"</f>
        <v>0902720965163168</v>
      </c>
      <c r="C101">
        <v>965163168</v>
      </c>
      <c r="D101" t="s">
        <v>3</v>
      </c>
      <c r="E101" s="1">
        <v>42309</v>
      </c>
      <c r="G101">
        <v>391.13</v>
      </c>
      <c r="H101">
        <v>328</v>
      </c>
      <c r="I101">
        <v>63.13</v>
      </c>
      <c r="J101" t="s">
        <v>31</v>
      </c>
      <c r="K101" t="s">
        <v>64</v>
      </c>
      <c r="L101" t="s">
        <v>1</v>
      </c>
      <c r="M101">
        <v>16453872</v>
      </c>
    </row>
    <row r="102" spans="1:13" x14ac:dyDescent="0.25">
      <c r="A102" t="s">
        <v>170</v>
      </c>
      <c r="B102" t="str">
        <f>"0902683914473748"</f>
        <v>0902683914473748</v>
      </c>
      <c r="C102">
        <v>914473748</v>
      </c>
      <c r="D102" t="s">
        <v>5</v>
      </c>
      <c r="E102" s="1">
        <v>42309</v>
      </c>
      <c r="G102">
        <v>201.33</v>
      </c>
      <c r="H102">
        <v>200.42</v>
      </c>
      <c r="I102" t="str">
        <f>"0.91"</f>
        <v>0.91</v>
      </c>
      <c r="J102" t="s">
        <v>4</v>
      </c>
      <c r="K102" t="s">
        <v>64</v>
      </c>
      <c r="L102" t="s">
        <v>1</v>
      </c>
      <c r="M102">
        <v>16453872</v>
      </c>
    </row>
    <row r="103" spans="1:13" x14ac:dyDescent="0.25">
      <c r="A103" t="s">
        <v>171</v>
      </c>
      <c r="B103" t="str">
        <f>"0902683922732884"</f>
        <v>0902683922732884</v>
      </c>
      <c r="C103">
        <v>922732884</v>
      </c>
      <c r="D103" t="s">
        <v>5</v>
      </c>
      <c r="E103" s="1">
        <v>42309</v>
      </c>
      <c r="G103">
        <v>291.39</v>
      </c>
      <c r="H103">
        <v>279.92</v>
      </c>
      <c r="I103">
        <v>11.47</v>
      </c>
      <c r="J103" t="s">
        <v>0</v>
      </c>
      <c r="K103" t="s">
        <v>64</v>
      </c>
      <c r="L103" t="s">
        <v>1</v>
      </c>
      <c r="M103">
        <v>16453872</v>
      </c>
    </row>
    <row r="104" spans="1:13" x14ac:dyDescent="0.25">
      <c r="A104" t="s">
        <v>172</v>
      </c>
      <c r="B104" t="str">
        <f>"0902683938326219"</f>
        <v>0902683938326219</v>
      </c>
      <c r="C104">
        <v>938326219</v>
      </c>
      <c r="D104" t="s">
        <v>5</v>
      </c>
      <c r="E104" s="1">
        <v>42309</v>
      </c>
      <c r="G104">
        <v>327.20999999999998</v>
      </c>
      <c r="H104">
        <v>305</v>
      </c>
      <c r="I104">
        <v>22.21</v>
      </c>
      <c r="J104" t="s">
        <v>6</v>
      </c>
      <c r="K104" t="s">
        <v>64</v>
      </c>
      <c r="L104" t="s">
        <v>1</v>
      </c>
      <c r="M104">
        <v>16453872</v>
      </c>
    </row>
    <row r="105" spans="1:13" x14ac:dyDescent="0.25">
      <c r="A105" t="s">
        <v>173</v>
      </c>
      <c r="B105" t="str">
        <f>"0902683939344771"</f>
        <v>0902683939344771</v>
      </c>
      <c r="C105">
        <v>939344771</v>
      </c>
      <c r="D105" t="s">
        <v>5</v>
      </c>
      <c r="E105" s="1">
        <v>42309</v>
      </c>
      <c r="G105">
        <v>215.82</v>
      </c>
      <c r="H105">
        <v>213</v>
      </c>
      <c r="I105">
        <v>2.82</v>
      </c>
      <c r="J105" t="s">
        <v>4</v>
      </c>
      <c r="K105" t="s">
        <v>64</v>
      </c>
      <c r="L105" t="s">
        <v>1</v>
      </c>
      <c r="M105">
        <v>16453872</v>
      </c>
    </row>
    <row r="106" spans="1:13" x14ac:dyDescent="0.25">
      <c r="A106" t="s">
        <v>174</v>
      </c>
      <c r="B106" t="str">
        <f>"0902683942248474"</f>
        <v>0902683942248474</v>
      </c>
      <c r="C106">
        <v>942248474</v>
      </c>
      <c r="D106" t="s">
        <v>5</v>
      </c>
      <c r="E106" s="1">
        <v>42309</v>
      </c>
      <c r="G106">
        <v>343.45</v>
      </c>
      <c r="H106">
        <v>341.9</v>
      </c>
      <c r="I106">
        <v>1.55</v>
      </c>
      <c r="J106" t="s">
        <v>4</v>
      </c>
      <c r="K106" t="s">
        <v>64</v>
      </c>
      <c r="L106" t="s">
        <v>1</v>
      </c>
      <c r="M106">
        <v>16453872</v>
      </c>
    </row>
    <row r="107" spans="1:13" x14ac:dyDescent="0.25">
      <c r="A107" t="s">
        <v>175</v>
      </c>
      <c r="B107" t="str">
        <f>"0902683943319519"</f>
        <v>0902683943319519</v>
      </c>
      <c r="C107">
        <v>943319519</v>
      </c>
      <c r="D107" t="s">
        <v>5</v>
      </c>
      <c r="E107" s="1">
        <v>42309</v>
      </c>
      <c r="G107">
        <v>308.31</v>
      </c>
      <c r="H107">
        <v>306.92</v>
      </c>
      <c r="I107">
        <v>1.39</v>
      </c>
      <c r="J107" t="s">
        <v>4</v>
      </c>
      <c r="K107" t="s">
        <v>64</v>
      </c>
      <c r="L107" t="s">
        <v>1</v>
      </c>
      <c r="M107">
        <v>16453872</v>
      </c>
    </row>
    <row r="108" spans="1:13" x14ac:dyDescent="0.25">
      <c r="A108" t="s">
        <v>176</v>
      </c>
      <c r="B108" t="str">
        <f>"0902683947446954"</f>
        <v>0902683947446954</v>
      </c>
      <c r="C108">
        <v>947446954</v>
      </c>
      <c r="D108" t="s">
        <v>5</v>
      </c>
      <c r="E108" s="1">
        <v>42309</v>
      </c>
      <c r="G108">
        <v>224.97</v>
      </c>
      <c r="H108">
        <v>210</v>
      </c>
      <c r="I108">
        <v>14.97</v>
      </c>
      <c r="J108" t="s">
        <v>6</v>
      </c>
      <c r="K108" t="s">
        <v>64</v>
      </c>
      <c r="L108" t="s">
        <v>1</v>
      </c>
      <c r="M108">
        <v>16453872</v>
      </c>
    </row>
    <row r="109" spans="1:13" x14ac:dyDescent="0.25">
      <c r="A109" t="s">
        <v>177</v>
      </c>
      <c r="B109" t="str">
        <f>"0902683967338181"</f>
        <v>0902683967338181</v>
      </c>
      <c r="C109">
        <v>967338181</v>
      </c>
      <c r="D109" t="s">
        <v>5</v>
      </c>
      <c r="E109" s="1">
        <v>42278</v>
      </c>
      <c r="G109">
        <v>421.95</v>
      </c>
      <c r="H109">
        <v>420.05</v>
      </c>
      <c r="I109">
        <v>1.9</v>
      </c>
      <c r="J109" t="s">
        <v>4</v>
      </c>
      <c r="K109" t="s">
        <v>64</v>
      </c>
      <c r="L109" t="s">
        <v>1</v>
      </c>
      <c r="M109">
        <v>16453872</v>
      </c>
    </row>
    <row r="110" spans="1:13" x14ac:dyDescent="0.25">
      <c r="A110" t="s">
        <v>178</v>
      </c>
      <c r="B110" t="str">
        <f>"0902720955619988"</f>
        <v>0902720955619988</v>
      </c>
      <c r="C110">
        <v>955619988</v>
      </c>
      <c r="D110" t="s">
        <v>3</v>
      </c>
      <c r="E110" s="1">
        <v>42278</v>
      </c>
      <c r="G110">
        <v>679.29</v>
      </c>
      <c r="H110">
        <v>678.61</v>
      </c>
      <c r="I110" t="str">
        <f>"0.68"</f>
        <v>0.68</v>
      </c>
      <c r="J110" t="s">
        <v>4</v>
      </c>
      <c r="K110" t="s">
        <v>64</v>
      </c>
      <c r="L110" t="s">
        <v>1</v>
      </c>
      <c r="M110">
        <v>16453872</v>
      </c>
    </row>
    <row r="111" spans="1:13" x14ac:dyDescent="0.25">
      <c r="A111" t="s">
        <v>179</v>
      </c>
      <c r="B111" t="str">
        <f>"0902720936946342"</f>
        <v>0902720936946342</v>
      </c>
      <c r="C111">
        <v>936946342</v>
      </c>
      <c r="D111" t="s">
        <v>3</v>
      </c>
      <c r="E111" s="1">
        <v>42278</v>
      </c>
      <c r="F111" s="1">
        <v>42369</v>
      </c>
      <c r="G111">
        <v>10.43</v>
      </c>
      <c r="H111">
        <v>769</v>
      </c>
      <c r="I111">
        <v>10.43</v>
      </c>
      <c r="J111" t="s">
        <v>4</v>
      </c>
      <c r="K111" t="s">
        <v>64</v>
      </c>
      <c r="L111" t="s">
        <v>1</v>
      </c>
      <c r="M111">
        <v>16453872</v>
      </c>
    </row>
    <row r="112" spans="1:13" x14ac:dyDescent="0.25">
      <c r="A112" t="s">
        <v>180</v>
      </c>
      <c r="B112" t="str">
        <f>"0902720967847204"</f>
        <v>0902720967847204</v>
      </c>
      <c r="C112">
        <v>967847204</v>
      </c>
      <c r="D112" t="s">
        <v>3</v>
      </c>
      <c r="E112" s="1">
        <v>42278</v>
      </c>
      <c r="G112">
        <v>244.18</v>
      </c>
      <c r="H112" t="str">
        <f>"0.00"</f>
        <v>0.00</v>
      </c>
      <c r="I112">
        <v>244.18</v>
      </c>
      <c r="J112" t="s">
        <v>4</v>
      </c>
      <c r="K112" t="s">
        <v>64</v>
      </c>
      <c r="L112" t="s">
        <v>1</v>
      </c>
      <c r="M112">
        <v>16453872</v>
      </c>
    </row>
    <row r="113" spans="1:14" x14ac:dyDescent="0.25">
      <c r="A113" t="s">
        <v>181</v>
      </c>
      <c r="B113" t="str">
        <f>"0902719971257168"</f>
        <v>0902719971257168</v>
      </c>
      <c r="C113">
        <v>971257168</v>
      </c>
      <c r="D113" t="s">
        <v>7</v>
      </c>
      <c r="E113" s="1">
        <v>42278</v>
      </c>
      <c r="G113">
        <v>294.18</v>
      </c>
      <c r="H113">
        <v>254</v>
      </c>
      <c r="I113">
        <v>40.18</v>
      </c>
      <c r="J113" t="s">
        <v>30</v>
      </c>
      <c r="K113" t="s">
        <v>64</v>
      </c>
      <c r="L113" t="s">
        <v>1</v>
      </c>
      <c r="M113">
        <v>16453872</v>
      </c>
    </row>
    <row r="114" spans="1:14" x14ac:dyDescent="0.25">
      <c r="A114" t="s">
        <v>182</v>
      </c>
      <c r="B114" t="str">
        <f>"0902719963586627"</f>
        <v>0902719963586627</v>
      </c>
      <c r="C114">
        <v>963586627</v>
      </c>
      <c r="D114" t="s">
        <v>7</v>
      </c>
      <c r="E114" s="1">
        <v>42278</v>
      </c>
      <c r="G114">
        <v>605.51</v>
      </c>
      <c r="H114">
        <v>604.9</v>
      </c>
      <c r="I114" t="str">
        <f>"0.61"</f>
        <v>0.61</v>
      </c>
      <c r="J114" t="s">
        <v>8</v>
      </c>
      <c r="K114" t="s">
        <v>64</v>
      </c>
      <c r="L114" t="s">
        <v>1</v>
      </c>
      <c r="M114">
        <v>16453872</v>
      </c>
    </row>
    <row r="115" spans="1:14" x14ac:dyDescent="0.25">
      <c r="A115" t="s">
        <v>183</v>
      </c>
      <c r="B115" t="str">
        <f>"0902719914333441"</f>
        <v>0902719914333441</v>
      </c>
      <c r="C115">
        <v>914333441</v>
      </c>
      <c r="D115" t="s">
        <v>7</v>
      </c>
      <c r="E115" s="1">
        <v>42278</v>
      </c>
      <c r="G115">
        <v>939.24</v>
      </c>
      <c r="H115">
        <v>905</v>
      </c>
      <c r="I115">
        <v>34.24</v>
      </c>
      <c r="J115" t="s">
        <v>0</v>
      </c>
      <c r="K115" t="s">
        <v>64</v>
      </c>
      <c r="L115" t="s">
        <v>1</v>
      </c>
      <c r="M115">
        <v>16453872</v>
      </c>
    </row>
    <row r="116" spans="1:14" x14ac:dyDescent="0.25">
      <c r="A116" t="s">
        <v>184</v>
      </c>
      <c r="B116" t="str">
        <f>"0902719911613227"</f>
        <v>0902719911613227</v>
      </c>
      <c r="C116">
        <v>911613227</v>
      </c>
      <c r="D116" t="s">
        <v>7</v>
      </c>
      <c r="E116" s="1">
        <v>42278</v>
      </c>
      <c r="G116">
        <v>545.91999999999996</v>
      </c>
      <c r="H116">
        <v>483</v>
      </c>
      <c r="I116">
        <v>62.92</v>
      </c>
      <c r="J116" t="s">
        <v>30</v>
      </c>
      <c r="K116" t="s">
        <v>64</v>
      </c>
      <c r="L116" t="s">
        <v>1</v>
      </c>
      <c r="M116">
        <v>16453872</v>
      </c>
    </row>
    <row r="117" spans="1:14" x14ac:dyDescent="0.25">
      <c r="A117" t="s">
        <v>185</v>
      </c>
      <c r="B117" t="str">
        <f>"0902682915469089"</f>
        <v>0902682915469089</v>
      </c>
      <c r="C117">
        <v>915469089</v>
      </c>
      <c r="D117" t="s">
        <v>9</v>
      </c>
      <c r="E117" s="1">
        <v>42248</v>
      </c>
      <c r="G117">
        <v>560.88</v>
      </c>
      <c r="H117">
        <v>256</v>
      </c>
      <c r="I117">
        <v>304.88</v>
      </c>
      <c r="J117" t="s">
        <v>62</v>
      </c>
      <c r="K117" t="s">
        <v>64</v>
      </c>
      <c r="L117" t="s">
        <v>1</v>
      </c>
      <c r="M117">
        <v>16453872</v>
      </c>
    </row>
    <row r="118" spans="1:14" x14ac:dyDescent="0.25">
      <c r="A118" t="s">
        <v>186</v>
      </c>
      <c r="B118" t="str">
        <f>"0902715959051282"</f>
        <v>0902715959051282</v>
      </c>
      <c r="C118">
        <v>959051282</v>
      </c>
      <c r="D118" t="s">
        <v>22</v>
      </c>
      <c r="E118" s="1">
        <v>42248</v>
      </c>
      <c r="G118">
        <v>332.64</v>
      </c>
      <c r="H118">
        <v>246</v>
      </c>
      <c r="I118">
        <v>401.29</v>
      </c>
      <c r="J118" t="s">
        <v>25</v>
      </c>
      <c r="K118" t="s">
        <v>64</v>
      </c>
      <c r="L118" t="s">
        <v>1</v>
      </c>
      <c r="M118">
        <v>16453872</v>
      </c>
    </row>
    <row r="119" spans="1:14" x14ac:dyDescent="0.25">
      <c r="A119" t="s">
        <v>187</v>
      </c>
      <c r="B119" t="str">
        <f>"0902720978014124"</f>
        <v>0902720978014124</v>
      </c>
      <c r="C119">
        <v>978014124</v>
      </c>
      <c r="D119" t="s">
        <v>3</v>
      </c>
      <c r="E119" s="1">
        <v>42248</v>
      </c>
      <c r="G119">
        <v>651.25</v>
      </c>
      <c r="H119">
        <v>267</v>
      </c>
      <c r="I119">
        <v>384.25</v>
      </c>
      <c r="J119" t="s">
        <v>13</v>
      </c>
      <c r="K119" t="s">
        <v>64</v>
      </c>
      <c r="L119" t="s">
        <v>1</v>
      </c>
      <c r="M119">
        <v>16453872</v>
      </c>
    </row>
    <row r="120" spans="1:14" x14ac:dyDescent="0.25">
      <c r="A120" t="s">
        <v>188</v>
      </c>
      <c r="B120" t="str">
        <f>"0902724939742495"</f>
        <v>0902724939742495</v>
      </c>
      <c r="C120">
        <v>939742495</v>
      </c>
      <c r="D120" t="s">
        <v>28</v>
      </c>
      <c r="E120" s="1">
        <v>42248</v>
      </c>
      <c r="G120">
        <v>465.93</v>
      </c>
      <c r="H120">
        <v>280</v>
      </c>
      <c r="I120">
        <v>185.93</v>
      </c>
      <c r="J120" t="s">
        <v>50</v>
      </c>
      <c r="K120" t="s">
        <v>64</v>
      </c>
      <c r="L120" t="s">
        <v>1</v>
      </c>
      <c r="M120">
        <v>16453872</v>
      </c>
    </row>
    <row r="121" spans="1:14" x14ac:dyDescent="0.25">
      <c r="A121" t="s">
        <v>189</v>
      </c>
      <c r="B121" t="str">
        <f>"0902720941015203"</f>
        <v>0902720941015203</v>
      </c>
      <c r="C121">
        <v>941015203</v>
      </c>
      <c r="D121" t="s">
        <v>3</v>
      </c>
      <c r="E121" s="1">
        <v>42248</v>
      </c>
      <c r="F121" s="1">
        <v>42277</v>
      </c>
      <c r="G121">
        <v>507.68</v>
      </c>
      <c r="H121">
        <v>446</v>
      </c>
      <c r="I121">
        <v>61.68</v>
      </c>
      <c r="J121" t="s">
        <v>52</v>
      </c>
      <c r="K121" t="s">
        <v>64</v>
      </c>
      <c r="L121" t="s">
        <v>1</v>
      </c>
      <c r="M121">
        <v>16453872</v>
      </c>
    </row>
    <row r="122" spans="1:14" x14ac:dyDescent="0.25">
      <c r="A122" t="s">
        <v>190</v>
      </c>
      <c r="B122" t="str">
        <f>"0902726925721559"</f>
        <v>0902726925721559</v>
      </c>
      <c r="C122">
        <v>925721559</v>
      </c>
      <c r="D122" t="s">
        <v>16</v>
      </c>
      <c r="E122" s="1">
        <v>42248</v>
      </c>
      <c r="G122">
        <v>670.35</v>
      </c>
      <c r="H122" t="str">
        <f>"0.00"</f>
        <v>0.00</v>
      </c>
      <c r="I122">
        <v>670.35</v>
      </c>
      <c r="J122" t="s">
        <v>17</v>
      </c>
      <c r="K122" t="s">
        <v>64</v>
      </c>
      <c r="L122" t="s">
        <v>1</v>
      </c>
      <c r="M122">
        <v>16453872</v>
      </c>
    </row>
    <row r="123" spans="1:14" x14ac:dyDescent="0.25">
      <c r="A123" t="s">
        <v>191</v>
      </c>
      <c r="B123" t="str">
        <f>"0902726922084125"</f>
        <v>0902726922084125</v>
      </c>
      <c r="C123">
        <v>922084125</v>
      </c>
      <c r="D123" t="s">
        <v>16</v>
      </c>
      <c r="E123" s="1">
        <v>42248</v>
      </c>
      <c r="G123">
        <v>294.08</v>
      </c>
      <c r="H123">
        <v>248</v>
      </c>
      <c r="I123">
        <v>46.08</v>
      </c>
      <c r="J123" t="s">
        <v>20</v>
      </c>
      <c r="K123" t="s">
        <v>64</v>
      </c>
      <c r="L123" t="s">
        <v>1</v>
      </c>
      <c r="M123">
        <v>16453872</v>
      </c>
      <c r="N123" t="s">
        <v>192</v>
      </c>
    </row>
    <row r="124" spans="1:14" x14ac:dyDescent="0.25">
      <c r="A124" t="s">
        <v>193</v>
      </c>
      <c r="B124" t="str">
        <f>"0902732970812237"</f>
        <v>0902732970812237</v>
      </c>
      <c r="C124">
        <v>970812237</v>
      </c>
      <c r="D124" t="s">
        <v>2</v>
      </c>
      <c r="E124" s="1">
        <v>42217</v>
      </c>
      <c r="F124" s="1">
        <v>42247</v>
      </c>
      <c r="G124">
        <v>467.43</v>
      </c>
      <c r="H124">
        <v>280</v>
      </c>
      <c r="I124">
        <v>187.43</v>
      </c>
      <c r="J124" t="s">
        <v>14</v>
      </c>
      <c r="K124" t="s">
        <v>64</v>
      </c>
      <c r="L124" t="s">
        <v>1</v>
      </c>
      <c r="M124">
        <v>16453872</v>
      </c>
      <c r="N124" t="s">
        <v>194</v>
      </c>
    </row>
    <row r="125" spans="1:14" x14ac:dyDescent="0.25">
      <c r="A125" t="s">
        <v>195</v>
      </c>
      <c r="B125" t="str">
        <f>"0902732971335793"</f>
        <v>0902732971335793</v>
      </c>
      <c r="C125">
        <v>971335793</v>
      </c>
      <c r="D125" t="s">
        <v>2</v>
      </c>
      <c r="E125" s="1">
        <v>42217</v>
      </c>
      <c r="F125" s="1">
        <v>42247</v>
      </c>
      <c r="G125">
        <v>281.86</v>
      </c>
      <c r="H125">
        <v>251</v>
      </c>
      <c r="I125">
        <v>78.33</v>
      </c>
      <c r="J125" t="s">
        <v>36</v>
      </c>
      <c r="K125" t="s">
        <v>64</v>
      </c>
      <c r="L125" t="s">
        <v>1</v>
      </c>
      <c r="M125">
        <v>16453872</v>
      </c>
    </row>
    <row r="126" spans="1:14" x14ac:dyDescent="0.25">
      <c r="A126" t="s">
        <v>196</v>
      </c>
      <c r="B126" t="str">
        <f>"0902732966036786"</f>
        <v>0902732966036786</v>
      </c>
      <c r="C126">
        <v>966036786</v>
      </c>
      <c r="D126" t="s">
        <v>2</v>
      </c>
      <c r="E126" s="1">
        <v>42217</v>
      </c>
      <c r="F126" s="1">
        <v>42277</v>
      </c>
      <c r="G126">
        <v>136.80000000000001</v>
      </c>
      <c r="H126" t="str">
        <f>"0.00"</f>
        <v>0.00</v>
      </c>
      <c r="I126">
        <v>175.27</v>
      </c>
      <c r="J126" t="s">
        <v>32</v>
      </c>
      <c r="K126" t="s">
        <v>64</v>
      </c>
      <c r="L126" t="s">
        <v>1</v>
      </c>
      <c r="M126">
        <v>16453872</v>
      </c>
    </row>
    <row r="127" spans="1:14" x14ac:dyDescent="0.25">
      <c r="A127" t="s">
        <v>197</v>
      </c>
      <c r="B127" t="str">
        <f>"0902728917549398"</f>
        <v>0902728917549398</v>
      </c>
      <c r="C127">
        <v>917549398</v>
      </c>
      <c r="D127" t="s">
        <v>12</v>
      </c>
      <c r="E127" s="1">
        <v>42217</v>
      </c>
      <c r="F127" s="1">
        <v>42277</v>
      </c>
      <c r="G127">
        <v>305.08</v>
      </c>
      <c r="H127" t="str">
        <f>"0.00"</f>
        <v>0.00</v>
      </c>
      <c r="I127">
        <v>305.08</v>
      </c>
      <c r="J127" t="s">
        <v>15</v>
      </c>
      <c r="K127" t="s">
        <v>64</v>
      </c>
      <c r="L127" t="s">
        <v>1</v>
      </c>
      <c r="M127">
        <v>16453872</v>
      </c>
    </row>
    <row r="128" spans="1:14" x14ac:dyDescent="0.25">
      <c r="A128" t="s">
        <v>198</v>
      </c>
      <c r="B128" t="str">
        <f>"0902728903699921"</f>
        <v>0902728903699921</v>
      </c>
      <c r="C128">
        <v>903699921</v>
      </c>
      <c r="D128" t="s">
        <v>12</v>
      </c>
      <c r="E128" s="1">
        <v>42217</v>
      </c>
      <c r="G128">
        <v>452.37</v>
      </c>
      <c r="H128" t="str">
        <f>"0.00"</f>
        <v>0.00</v>
      </c>
      <c r="I128">
        <v>452.37</v>
      </c>
      <c r="J128" t="s">
        <v>18</v>
      </c>
      <c r="K128" t="s">
        <v>64</v>
      </c>
      <c r="L128" t="s">
        <v>1</v>
      </c>
      <c r="M128">
        <v>16453872</v>
      </c>
      <c r="N128" t="s">
        <v>199</v>
      </c>
    </row>
    <row r="129" spans="1:14" x14ac:dyDescent="0.25">
      <c r="A129" t="s">
        <v>200</v>
      </c>
      <c r="B129" t="str">
        <f>"0902726926125948"</f>
        <v>0902726926125948</v>
      </c>
      <c r="C129">
        <v>926125948</v>
      </c>
      <c r="D129" t="s">
        <v>16</v>
      </c>
      <c r="E129" s="1">
        <v>42064</v>
      </c>
      <c r="F129" s="1">
        <v>42124</v>
      </c>
      <c r="G129">
        <v>373.05</v>
      </c>
      <c r="H129" t="str">
        <f>"0.00"</f>
        <v>0.00</v>
      </c>
      <c r="I129">
        <v>373.05</v>
      </c>
      <c r="J129" t="s">
        <v>59</v>
      </c>
      <c r="K129" t="s">
        <v>64</v>
      </c>
      <c r="L129" t="s">
        <v>1</v>
      </c>
      <c r="M129">
        <v>16453872</v>
      </c>
    </row>
    <row r="130" spans="1:14" x14ac:dyDescent="0.25">
      <c r="A130" t="s">
        <v>201</v>
      </c>
      <c r="B130" t="str">
        <f>"0902726928919152"</f>
        <v>0902726928919152</v>
      </c>
      <c r="C130">
        <v>928919152</v>
      </c>
      <c r="D130" t="s">
        <v>16</v>
      </c>
      <c r="E130" s="1">
        <v>42064</v>
      </c>
      <c r="F130" s="1">
        <v>42094</v>
      </c>
      <c r="G130">
        <v>273.33999999999997</v>
      </c>
      <c r="H130">
        <v>176</v>
      </c>
      <c r="I130">
        <v>97.34</v>
      </c>
      <c r="J130" t="s">
        <v>50</v>
      </c>
      <c r="K130" t="s">
        <v>64</v>
      </c>
      <c r="L130" t="s">
        <v>1</v>
      </c>
      <c r="M130">
        <v>16453872</v>
      </c>
    </row>
    <row r="131" spans="1:14" x14ac:dyDescent="0.25">
      <c r="A131" t="s">
        <v>202</v>
      </c>
      <c r="B131" t="str">
        <f>"0902726930239326"</f>
        <v>0902726930239326</v>
      </c>
      <c r="C131">
        <v>930239326</v>
      </c>
      <c r="D131" t="s">
        <v>16</v>
      </c>
      <c r="E131" s="1">
        <v>42064</v>
      </c>
      <c r="G131">
        <v>447.2</v>
      </c>
      <c r="H131">
        <v>50</v>
      </c>
      <c r="I131">
        <v>397.2</v>
      </c>
      <c r="J131" t="s">
        <v>60</v>
      </c>
      <c r="K131" t="s">
        <v>64</v>
      </c>
      <c r="L131" t="s">
        <v>1</v>
      </c>
      <c r="M131">
        <v>16453872</v>
      </c>
      <c r="N131" t="s">
        <v>203</v>
      </c>
    </row>
    <row r="132" spans="1:14" x14ac:dyDescent="0.25">
      <c r="A132" t="s">
        <v>204</v>
      </c>
      <c r="B132" t="str">
        <f>"0902726936376087"</f>
        <v>0902726936376087</v>
      </c>
      <c r="C132">
        <v>936376087</v>
      </c>
      <c r="D132" t="s">
        <v>16</v>
      </c>
      <c r="E132" s="1">
        <v>42064</v>
      </c>
      <c r="F132" s="1">
        <v>42124</v>
      </c>
      <c r="G132">
        <v>280.64</v>
      </c>
      <c r="H132">
        <v>239</v>
      </c>
      <c r="I132" t="str">
        <f>"0.01"</f>
        <v>0.01</v>
      </c>
      <c r="J132" t="s">
        <v>59</v>
      </c>
      <c r="K132" t="s">
        <v>64</v>
      </c>
      <c r="L132" t="s">
        <v>1</v>
      </c>
      <c r="M132">
        <v>16453872</v>
      </c>
    </row>
    <row r="133" spans="1:14" x14ac:dyDescent="0.25">
      <c r="A133" t="s">
        <v>205</v>
      </c>
      <c r="B133" t="str">
        <f>"0902726935207442"</f>
        <v>0902726935207442</v>
      </c>
      <c r="C133">
        <v>935207442</v>
      </c>
      <c r="D133" t="s">
        <v>16</v>
      </c>
      <c r="E133" s="1">
        <v>42064</v>
      </c>
      <c r="F133" s="1">
        <v>42094</v>
      </c>
      <c r="G133">
        <v>452.5</v>
      </c>
      <c r="H133">
        <v>427</v>
      </c>
      <c r="I133">
        <v>25.5</v>
      </c>
      <c r="J133" t="s">
        <v>59</v>
      </c>
      <c r="K133" t="s">
        <v>64</v>
      </c>
      <c r="L133" t="s">
        <v>1</v>
      </c>
      <c r="M133">
        <v>16453872</v>
      </c>
    </row>
    <row r="134" spans="1:14" x14ac:dyDescent="0.25">
      <c r="A134" t="s">
        <v>206</v>
      </c>
      <c r="B134" t="str">
        <f>"0902683963760984"</f>
        <v>0902683963760984</v>
      </c>
      <c r="C134">
        <v>963760984</v>
      </c>
      <c r="D134" t="s">
        <v>5</v>
      </c>
      <c r="E134" s="1">
        <v>42064</v>
      </c>
      <c r="F134" s="1">
        <v>42155</v>
      </c>
      <c r="G134">
        <v>138.61000000000001</v>
      </c>
      <c r="H134">
        <v>98</v>
      </c>
      <c r="I134" t="str">
        <f>"0.01"</f>
        <v>0.01</v>
      </c>
      <c r="J134" t="s">
        <v>6</v>
      </c>
      <c r="K134" t="s">
        <v>64</v>
      </c>
      <c r="L134" t="s">
        <v>1</v>
      </c>
      <c r="M134">
        <v>16453872</v>
      </c>
    </row>
    <row r="135" spans="1:14" x14ac:dyDescent="0.25">
      <c r="A135" t="s">
        <v>207</v>
      </c>
      <c r="B135" t="str">
        <f>"0902715947176717"</f>
        <v>0902715947176717</v>
      </c>
      <c r="C135">
        <v>947176717</v>
      </c>
      <c r="D135" t="s">
        <v>22</v>
      </c>
      <c r="E135" s="1">
        <v>42064</v>
      </c>
      <c r="G135">
        <v>179.17</v>
      </c>
      <c r="H135">
        <v>17</v>
      </c>
      <c r="I135">
        <v>90.17</v>
      </c>
      <c r="J135" t="s">
        <v>208</v>
      </c>
      <c r="K135" t="s">
        <v>64</v>
      </c>
      <c r="L135" t="s">
        <v>1</v>
      </c>
      <c r="M135">
        <v>16453872</v>
      </c>
    </row>
    <row r="136" spans="1:14" x14ac:dyDescent="0.25">
      <c r="A136" t="s">
        <v>209</v>
      </c>
      <c r="B136" t="str">
        <f>"0902715930644036"</f>
        <v>0902715930644036</v>
      </c>
      <c r="C136">
        <v>930644036</v>
      </c>
      <c r="D136" t="s">
        <v>22</v>
      </c>
      <c r="E136" s="1">
        <v>42064</v>
      </c>
      <c r="F136" s="1">
        <v>42277</v>
      </c>
      <c r="G136">
        <v>147.83000000000001</v>
      </c>
      <c r="H136" t="str">
        <f>"0.00"</f>
        <v>0.00</v>
      </c>
      <c r="I136">
        <v>147.83000000000001</v>
      </c>
      <c r="J136" t="s">
        <v>210</v>
      </c>
      <c r="K136" t="s">
        <v>64</v>
      </c>
      <c r="L136" t="s">
        <v>1</v>
      </c>
      <c r="M136">
        <v>16453872</v>
      </c>
    </row>
    <row r="137" spans="1:14" x14ac:dyDescent="0.25">
      <c r="A137" t="s">
        <v>211</v>
      </c>
      <c r="B137" t="str">
        <f>"0902683933602542"</f>
        <v>0902683933602542</v>
      </c>
      <c r="C137">
        <v>933602542</v>
      </c>
      <c r="D137" t="s">
        <v>5</v>
      </c>
      <c r="E137" s="1">
        <v>42064</v>
      </c>
      <c r="F137" s="1">
        <v>42277</v>
      </c>
      <c r="G137">
        <v>603.66999999999996</v>
      </c>
      <c r="H137" t="str">
        <f>"0.00"</f>
        <v>0.00</v>
      </c>
      <c r="I137">
        <v>659.24</v>
      </c>
      <c r="J137" t="s">
        <v>10</v>
      </c>
      <c r="K137" t="s">
        <v>64</v>
      </c>
      <c r="L137" t="s">
        <v>1</v>
      </c>
      <c r="M137">
        <v>16453872</v>
      </c>
    </row>
    <row r="138" spans="1:14" x14ac:dyDescent="0.25">
      <c r="A138" t="s">
        <v>212</v>
      </c>
      <c r="B138" t="str">
        <f>"0902683936098510"</f>
        <v>0902683936098510</v>
      </c>
      <c r="C138">
        <v>936098510</v>
      </c>
      <c r="D138" t="s">
        <v>5</v>
      </c>
      <c r="E138" s="1">
        <v>42064</v>
      </c>
      <c r="F138" s="1">
        <v>42155</v>
      </c>
      <c r="G138">
        <v>356.89</v>
      </c>
      <c r="H138">
        <v>321</v>
      </c>
      <c r="I138" t="str">
        <f>"0.01"</f>
        <v>0.01</v>
      </c>
      <c r="J138" t="s">
        <v>6</v>
      </c>
      <c r="K138" t="s">
        <v>64</v>
      </c>
      <c r="L138" t="s">
        <v>1</v>
      </c>
      <c r="M138">
        <v>16453872</v>
      </c>
    </row>
    <row r="139" spans="1:14" x14ac:dyDescent="0.25">
      <c r="A139" t="s">
        <v>213</v>
      </c>
      <c r="B139" t="str">
        <f>"0902682954348663"</f>
        <v>0902682954348663</v>
      </c>
      <c r="C139">
        <v>954348663</v>
      </c>
      <c r="D139" t="s">
        <v>9</v>
      </c>
      <c r="E139" s="1">
        <v>42064</v>
      </c>
      <c r="F139" s="1">
        <v>42155</v>
      </c>
      <c r="G139">
        <v>276.92</v>
      </c>
      <c r="H139">
        <v>249</v>
      </c>
      <c r="I139">
        <v>27.92</v>
      </c>
      <c r="J139" t="s">
        <v>6</v>
      </c>
      <c r="K139" t="s">
        <v>64</v>
      </c>
      <c r="L139" t="s">
        <v>1</v>
      </c>
      <c r="M139">
        <v>16453872</v>
      </c>
    </row>
    <row r="140" spans="1:14" x14ac:dyDescent="0.25">
      <c r="A140" t="s">
        <v>214</v>
      </c>
      <c r="B140" t="str">
        <f>"0902682920107803"</f>
        <v>0902682920107803</v>
      </c>
      <c r="C140">
        <v>920107803</v>
      </c>
      <c r="D140" t="s">
        <v>9</v>
      </c>
      <c r="E140" s="1">
        <v>42064</v>
      </c>
      <c r="F140" s="1">
        <v>42155</v>
      </c>
      <c r="G140">
        <v>722.06</v>
      </c>
      <c r="H140">
        <v>695</v>
      </c>
      <c r="I140">
        <v>27.06</v>
      </c>
      <c r="J140" t="s">
        <v>6</v>
      </c>
      <c r="K140" t="s">
        <v>64</v>
      </c>
      <c r="L140" t="s">
        <v>1</v>
      </c>
      <c r="M140">
        <v>16453872</v>
      </c>
    </row>
    <row r="141" spans="1:14" x14ac:dyDescent="0.25">
      <c r="A141" t="s">
        <v>215</v>
      </c>
      <c r="B141" t="str">
        <f>"0902683920868369"</f>
        <v>0902683920868369</v>
      </c>
      <c r="C141">
        <v>920868369</v>
      </c>
      <c r="D141" t="s">
        <v>5</v>
      </c>
      <c r="E141" s="1">
        <v>42036</v>
      </c>
      <c r="F141" s="1">
        <v>42247</v>
      </c>
      <c r="G141">
        <v>271.98</v>
      </c>
      <c r="H141">
        <v>202</v>
      </c>
      <c r="I141">
        <v>53.9</v>
      </c>
      <c r="J141" t="s">
        <v>6</v>
      </c>
      <c r="K141" t="s">
        <v>64</v>
      </c>
      <c r="L141" t="s">
        <v>1</v>
      </c>
      <c r="M141">
        <v>16453872</v>
      </c>
      <c r="N141" t="s">
        <v>216</v>
      </c>
    </row>
    <row r="142" spans="1:14" x14ac:dyDescent="0.25">
      <c r="A142" t="s">
        <v>217</v>
      </c>
      <c r="B142" t="str">
        <f>"0902683941606107"</f>
        <v>0902683941606107</v>
      </c>
      <c r="C142">
        <v>941606107</v>
      </c>
      <c r="D142" t="s">
        <v>5</v>
      </c>
      <c r="E142" s="1">
        <v>42036</v>
      </c>
      <c r="G142">
        <v>259.32</v>
      </c>
      <c r="H142" t="str">
        <f>"0.00"</f>
        <v>0.00</v>
      </c>
      <c r="I142">
        <v>259.32</v>
      </c>
      <c r="J142" t="s">
        <v>0</v>
      </c>
      <c r="K142" t="s">
        <v>64</v>
      </c>
      <c r="L142" t="s">
        <v>1</v>
      </c>
      <c r="M142">
        <v>16453872</v>
      </c>
    </row>
    <row r="143" spans="1:14" x14ac:dyDescent="0.25">
      <c r="A143" t="s">
        <v>218</v>
      </c>
      <c r="B143" t="str">
        <f>"0902719904445195"</f>
        <v>0902719904445195</v>
      </c>
      <c r="C143">
        <v>904445195</v>
      </c>
      <c r="D143" t="s">
        <v>7</v>
      </c>
      <c r="E143" s="1">
        <v>42036</v>
      </c>
      <c r="F143" s="1">
        <v>42094</v>
      </c>
      <c r="G143">
        <v>1133.53</v>
      </c>
      <c r="H143" t="str">
        <f>"0.00"</f>
        <v>0.00</v>
      </c>
      <c r="I143">
        <v>1133.53</v>
      </c>
      <c r="J143" t="s">
        <v>8</v>
      </c>
      <c r="K143" t="s">
        <v>64</v>
      </c>
      <c r="L143" t="s">
        <v>1</v>
      </c>
      <c r="M143">
        <v>16453872</v>
      </c>
    </row>
    <row r="144" spans="1:14" x14ac:dyDescent="0.25">
      <c r="A144" t="s">
        <v>219</v>
      </c>
      <c r="B144" t="str">
        <f>"0902719901839916"</f>
        <v>0902719901839916</v>
      </c>
      <c r="C144">
        <v>901839916</v>
      </c>
      <c r="D144" t="s">
        <v>7</v>
      </c>
      <c r="E144" s="1">
        <v>42036</v>
      </c>
      <c r="F144" s="1">
        <v>42155</v>
      </c>
      <c r="G144">
        <v>577.99</v>
      </c>
      <c r="H144">
        <v>463</v>
      </c>
      <c r="I144">
        <v>114.99</v>
      </c>
      <c r="J144" t="s">
        <v>8</v>
      </c>
      <c r="K144" t="s">
        <v>64</v>
      </c>
      <c r="L144" t="s">
        <v>1</v>
      </c>
      <c r="M144">
        <v>16453872</v>
      </c>
    </row>
    <row r="145" spans="1:14" x14ac:dyDescent="0.25">
      <c r="A145" t="s">
        <v>220</v>
      </c>
      <c r="B145" t="str">
        <f>"0902719907635002"</f>
        <v>0902719907635002</v>
      </c>
      <c r="C145">
        <v>907635002</v>
      </c>
      <c r="D145" t="s">
        <v>7</v>
      </c>
      <c r="E145" s="1">
        <v>42036</v>
      </c>
      <c r="F145" s="1">
        <v>42247</v>
      </c>
      <c r="G145">
        <v>256.92</v>
      </c>
      <c r="H145">
        <v>236</v>
      </c>
      <c r="I145">
        <v>18.329999999999998</v>
      </c>
      <c r="J145" t="s">
        <v>30</v>
      </c>
      <c r="K145" t="s">
        <v>64</v>
      </c>
      <c r="L145" t="s">
        <v>1</v>
      </c>
      <c r="M145">
        <v>16453872</v>
      </c>
      <c r="N145" t="s">
        <v>221</v>
      </c>
    </row>
    <row r="146" spans="1:14" x14ac:dyDescent="0.25">
      <c r="A146" t="s">
        <v>222</v>
      </c>
      <c r="B146" t="str">
        <f>"0902719910114285"</f>
        <v>0902719910114285</v>
      </c>
      <c r="C146">
        <v>910114285</v>
      </c>
      <c r="D146" t="s">
        <v>7</v>
      </c>
      <c r="E146" s="1">
        <v>42036</v>
      </c>
      <c r="G146">
        <v>391.82</v>
      </c>
      <c r="H146">
        <v>322</v>
      </c>
      <c r="I146">
        <v>188.03</v>
      </c>
      <c r="J146" t="s">
        <v>4</v>
      </c>
      <c r="K146" t="s">
        <v>64</v>
      </c>
      <c r="L146" t="s">
        <v>1</v>
      </c>
      <c r="M146">
        <v>16453872</v>
      </c>
    </row>
    <row r="147" spans="1:14" x14ac:dyDescent="0.25">
      <c r="A147" t="s">
        <v>223</v>
      </c>
      <c r="B147" t="str">
        <f>"0902683960743407"</f>
        <v>0902683960743407</v>
      </c>
      <c r="C147">
        <v>960743407</v>
      </c>
      <c r="D147" t="s">
        <v>5</v>
      </c>
      <c r="E147" s="1">
        <v>42036</v>
      </c>
      <c r="G147">
        <v>252.1</v>
      </c>
      <c r="H147">
        <v>225</v>
      </c>
      <c r="I147">
        <v>27.1</v>
      </c>
      <c r="J147" t="s">
        <v>6</v>
      </c>
      <c r="K147" t="s">
        <v>64</v>
      </c>
      <c r="L147" t="s">
        <v>1</v>
      </c>
      <c r="M147">
        <v>16453872</v>
      </c>
    </row>
    <row r="148" spans="1:14" x14ac:dyDescent="0.25">
      <c r="A148" t="s">
        <v>224</v>
      </c>
      <c r="B148" t="str">
        <f>"0902726958682286"</f>
        <v>0902726958682286</v>
      </c>
      <c r="C148">
        <v>958682286</v>
      </c>
      <c r="D148" t="s">
        <v>16</v>
      </c>
      <c r="E148" s="1">
        <v>42036</v>
      </c>
      <c r="F148" s="1">
        <v>42063</v>
      </c>
      <c r="G148">
        <v>856.36</v>
      </c>
      <c r="H148">
        <v>629</v>
      </c>
      <c r="I148" t="str">
        <f>"0.01"</f>
        <v>0.01</v>
      </c>
      <c r="J148" t="s">
        <v>60</v>
      </c>
      <c r="K148" t="s">
        <v>64</v>
      </c>
      <c r="L148" t="s">
        <v>1</v>
      </c>
      <c r="M148">
        <v>16453872</v>
      </c>
    </row>
    <row r="149" spans="1:14" x14ac:dyDescent="0.25">
      <c r="A149" t="s">
        <v>225</v>
      </c>
      <c r="B149" t="str">
        <f>"0902722943553520"</f>
        <v>0902722943553520</v>
      </c>
      <c r="C149">
        <v>943553520</v>
      </c>
      <c r="D149" t="s">
        <v>27</v>
      </c>
      <c r="E149" s="1">
        <v>42036</v>
      </c>
      <c r="F149" s="1">
        <v>42063</v>
      </c>
      <c r="G149">
        <v>191.67</v>
      </c>
      <c r="H149">
        <v>134</v>
      </c>
      <c r="I149">
        <v>57.67</v>
      </c>
      <c r="J149" t="s">
        <v>226</v>
      </c>
      <c r="K149" t="s">
        <v>64</v>
      </c>
      <c r="L149" t="s">
        <v>1</v>
      </c>
      <c r="M149">
        <v>16453872</v>
      </c>
    </row>
    <row r="150" spans="1:14" x14ac:dyDescent="0.25">
      <c r="A150" t="s">
        <v>227</v>
      </c>
      <c r="B150" t="str">
        <f>"0902722916239659"</f>
        <v>0902722916239659</v>
      </c>
      <c r="C150">
        <v>916239659</v>
      </c>
      <c r="D150" t="s">
        <v>27</v>
      </c>
      <c r="E150" s="1">
        <v>42036</v>
      </c>
      <c r="F150" s="1">
        <v>42063</v>
      </c>
      <c r="G150">
        <v>255.06</v>
      </c>
      <c r="H150">
        <v>165</v>
      </c>
      <c r="I150">
        <v>90.06</v>
      </c>
      <c r="J150" t="s">
        <v>228</v>
      </c>
      <c r="K150" t="s">
        <v>64</v>
      </c>
      <c r="L150" t="s">
        <v>1</v>
      </c>
      <c r="M150">
        <v>16453872</v>
      </c>
    </row>
    <row r="151" spans="1:14" x14ac:dyDescent="0.25">
      <c r="A151" t="s">
        <v>229</v>
      </c>
      <c r="B151" t="str">
        <f>"0902720957402741"</f>
        <v>0902720957402741</v>
      </c>
      <c r="C151">
        <v>957402741</v>
      </c>
      <c r="D151" t="s">
        <v>3</v>
      </c>
      <c r="E151" s="1">
        <v>42036</v>
      </c>
      <c r="F151" s="1">
        <v>42063</v>
      </c>
      <c r="G151">
        <v>508.21</v>
      </c>
      <c r="H151" t="str">
        <f>"0.00"</f>
        <v>0.00</v>
      </c>
      <c r="I151">
        <v>508.21</v>
      </c>
      <c r="J151" t="s">
        <v>8</v>
      </c>
      <c r="K151" t="s">
        <v>64</v>
      </c>
      <c r="L151" t="s">
        <v>1</v>
      </c>
      <c r="M151">
        <v>16453872</v>
      </c>
      <c r="N151" t="s">
        <v>230</v>
      </c>
    </row>
    <row r="152" spans="1:14" x14ac:dyDescent="0.25">
      <c r="A152" t="s">
        <v>231</v>
      </c>
      <c r="B152" t="str">
        <f>"0902720931098309"</f>
        <v>0902720931098309</v>
      </c>
      <c r="C152">
        <v>931098309</v>
      </c>
      <c r="D152" t="s">
        <v>3</v>
      </c>
      <c r="E152" s="1">
        <v>42036</v>
      </c>
      <c r="F152" s="1">
        <v>42063</v>
      </c>
      <c r="G152">
        <v>432.34</v>
      </c>
      <c r="H152">
        <v>321</v>
      </c>
      <c r="I152">
        <v>111.34</v>
      </c>
      <c r="J152" t="s">
        <v>15</v>
      </c>
      <c r="K152" t="s">
        <v>64</v>
      </c>
      <c r="L152" t="s">
        <v>1</v>
      </c>
      <c r="M152">
        <v>16453872</v>
      </c>
    </row>
    <row r="153" spans="1:14" x14ac:dyDescent="0.25">
      <c r="A153" t="s">
        <v>232</v>
      </c>
      <c r="B153" t="str">
        <f>"0902719922711012"</f>
        <v>0902719922711012</v>
      </c>
      <c r="C153">
        <v>922711012</v>
      </c>
      <c r="D153" t="s">
        <v>7</v>
      </c>
      <c r="E153" s="1">
        <v>42036</v>
      </c>
      <c r="G153">
        <v>200.85</v>
      </c>
      <c r="H153" t="str">
        <f>"0.00"</f>
        <v>0.00</v>
      </c>
      <c r="I153">
        <v>20.85</v>
      </c>
      <c r="J153" t="s">
        <v>4</v>
      </c>
      <c r="K153" t="s">
        <v>64</v>
      </c>
      <c r="L153" t="s">
        <v>1</v>
      </c>
      <c r="M153">
        <v>16453872</v>
      </c>
      <c r="N153" t="s">
        <v>233</v>
      </c>
    </row>
    <row r="154" spans="1:14" x14ac:dyDescent="0.25">
      <c r="A154" t="s">
        <v>234</v>
      </c>
      <c r="B154" t="str">
        <f>"0902719922362543"</f>
        <v>0902719922362543</v>
      </c>
      <c r="C154">
        <v>922362543</v>
      </c>
      <c r="D154" t="s">
        <v>7</v>
      </c>
      <c r="E154" s="1">
        <v>42036</v>
      </c>
      <c r="F154" s="1">
        <v>42247</v>
      </c>
      <c r="G154">
        <v>677.46</v>
      </c>
      <c r="H154">
        <v>493</v>
      </c>
      <c r="I154" t="str">
        <f>"0.01"</f>
        <v>0.01</v>
      </c>
      <c r="J154" t="s">
        <v>0</v>
      </c>
      <c r="K154" t="s">
        <v>64</v>
      </c>
      <c r="L154" t="s">
        <v>1</v>
      </c>
      <c r="M154">
        <v>16453872</v>
      </c>
    </row>
    <row r="155" spans="1:14" x14ac:dyDescent="0.25">
      <c r="A155" t="s">
        <v>235</v>
      </c>
      <c r="B155" t="str">
        <f>"0902719917488515"</f>
        <v>0902719917488515</v>
      </c>
      <c r="C155">
        <v>917488515</v>
      </c>
      <c r="D155" t="s">
        <v>7</v>
      </c>
      <c r="E155" s="1">
        <v>42036</v>
      </c>
      <c r="F155" s="1">
        <v>42124</v>
      </c>
      <c r="G155">
        <v>221.46</v>
      </c>
      <c r="H155" t="str">
        <f>"0.00"</f>
        <v>0.00</v>
      </c>
      <c r="I155">
        <v>221.46</v>
      </c>
      <c r="J155" t="s">
        <v>8</v>
      </c>
      <c r="K155" t="s">
        <v>64</v>
      </c>
      <c r="L155" t="s">
        <v>1</v>
      </c>
      <c r="M155">
        <v>16453872</v>
      </c>
    </row>
    <row r="156" spans="1:14" x14ac:dyDescent="0.25">
      <c r="A156" t="s">
        <v>236</v>
      </c>
      <c r="B156" t="str">
        <f>"0902719916213239"</f>
        <v>0902719916213239</v>
      </c>
      <c r="C156">
        <v>916213239</v>
      </c>
      <c r="D156" t="s">
        <v>7</v>
      </c>
      <c r="E156" s="1">
        <v>42036</v>
      </c>
      <c r="F156" s="1">
        <v>42124</v>
      </c>
      <c r="G156">
        <v>642.80999999999995</v>
      </c>
      <c r="H156" t="str">
        <f>"0.00"</f>
        <v>0.00</v>
      </c>
      <c r="I156">
        <v>642.80999999999995</v>
      </c>
      <c r="J156" t="s">
        <v>4</v>
      </c>
      <c r="K156" t="s">
        <v>64</v>
      </c>
      <c r="L156" t="s">
        <v>1</v>
      </c>
      <c r="M156">
        <v>16453872</v>
      </c>
      <c r="N156" t="s">
        <v>237</v>
      </c>
    </row>
    <row r="157" spans="1:14" x14ac:dyDescent="0.25">
      <c r="A157" t="s">
        <v>238</v>
      </c>
      <c r="B157" t="str">
        <f>"0902719955122579"</f>
        <v>0902719955122579</v>
      </c>
      <c r="C157">
        <v>955122579</v>
      </c>
      <c r="D157" t="s">
        <v>7</v>
      </c>
      <c r="E157" s="1">
        <v>42036</v>
      </c>
      <c r="F157" s="1">
        <v>42124</v>
      </c>
      <c r="G157">
        <v>642.49</v>
      </c>
      <c r="H157">
        <v>444</v>
      </c>
      <c r="I157" t="str">
        <f>"0.01"</f>
        <v>0.01</v>
      </c>
      <c r="J157" t="s">
        <v>30</v>
      </c>
      <c r="K157" t="s">
        <v>64</v>
      </c>
      <c r="L157" t="s">
        <v>1</v>
      </c>
      <c r="M157">
        <v>16453872</v>
      </c>
    </row>
    <row r="158" spans="1:14" x14ac:dyDescent="0.25">
      <c r="A158" t="s">
        <v>239</v>
      </c>
      <c r="B158" t="str">
        <f>"0902719939321803"</f>
        <v>0902719939321803</v>
      </c>
      <c r="C158">
        <v>939321803</v>
      </c>
      <c r="D158" t="s">
        <v>7</v>
      </c>
      <c r="E158" s="1">
        <v>42036</v>
      </c>
      <c r="F158" s="1">
        <v>42063</v>
      </c>
      <c r="G158">
        <v>264.70999999999998</v>
      </c>
      <c r="H158">
        <v>212</v>
      </c>
      <c r="I158">
        <v>52.71</v>
      </c>
      <c r="J158" t="s">
        <v>30</v>
      </c>
      <c r="K158" t="s">
        <v>64</v>
      </c>
      <c r="L158" t="s">
        <v>1</v>
      </c>
      <c r="M158">
        <v>16453872</v>
      </c>
    </row>
    <row r="159" spans="1:14" x14ac:dyDescent="0.25">
      <c r="A159" t="s">
        <v>240</v>
      </c>
      <c r="B159" t="str">
        <f>"0902719939731570"</f>
        <v>0902719939731570</v>
      </c>
      <c r="C159">
        <v>939731570</v>
      </c>
      <c r="D159" t="s">
        <v>7</v>
      </c>
      <c r="E159" s="1">
        <v>42036</v>
      </c>
      <c r="F159" s="1">
        <v>42063</v>
      </c>
      <c r="G159">
        <v>338.73</v>
      </c>
      <c r="H159">
        <v>283</v>
      </c>
      <c r="I159">
        <v>55.73</v>
      </c>
      <c r="J159" t="s">
        <v>30</v>
      </c>
      <c r="K159" t="s">
        <v>64</v>
      </c>
      <c r="L159" t="s">
        <v>1</v>
      </c>
      <c r="M159">
        <v>16453872</v>
      </c>
    </row>
    <row r="160" spans="1:14" x14ac:dyDescent="0.25">
      <c r="A160" t="s">
        <v>241</v>
      </c>
      <c r="B160" t="str">
        <f>"0902719943636742"</f>
        <v>0902719943636742</v>
      </c>
      <c r="C160">
        <v>943636742</v>
      </c>
      <c r="D160" t="s">
        <v>7</v>
      </c>
      <c r="E160" s="1">
        <v>42036</v>
      </c>
      <c r="F160" s="1">
        <v>42124</v>
      </c>
      <c r="G160">
        <v>336.91</v>
      </c>
      <c r="H160">
        <v>335.73</v>
      </c>
      <c r="I160">
        <v>54.95</v>
      </c>
      <c r="J160" t="s">
        <v>4</v>
      </c>
      <c r="K160" t="s">
        <v>64</v>
      </c>
      <c r="L160" t="s">
        <v>1</v>
      </c>
      <c r="M160">
        <v>16453872</v>
      </c>
      <c r="N160" t="s">
        <v>242</v>
      </c>
    </row>
    <row r="161" spans="1:14" x14ac:dyDescent="0.25">
      <c r="A161" t="s">
        <v>243</v>
      </c>
      <c r="B161" t="str">
        <f>"0902720920015053"</f>
        <v>0902720920015053</v>
      </c>
      <c r="C161">
        <v>920015053</v>
      </c>
      <c r="D161" t="s">
        <v>3</v>
      </c>
      <c r="E161" s="1">
        <v>42036</v>
      </c>
      <c r="F161" s="1">
        <v>42094</v>
      </c>
      <c r="G161">
        <v>351.08</v>
      </c>
      <c r="H161" t="str">
        <f>"0.00"</f>
        <v>0.00</v>
      </c>
      <c r="I161">
        <v>351.08</v>
      </c>
      <c r="J161" t="s">
        <v>4</v>
      </c>
      <c r="K161" t="s">
        <v>64</v>
      </c>
      <c r="L161" t="s">
        <v>1</v>
      </c>
      <c r="M161">
        <v>16453872</v>
      </c>
      <c r="N161" t="s">
        <v>244</v>
      </c>
    </row>
    <row r="162" spans="1:14" x14ac:dyDescent="0.25">
      <c r="A162" t="s">
        <v>245</v>
      </c>
      <c r="B162" t="str">
        <f>"0902720900986777"</f>
        <v>0902720900986777</v>
      </c>
      <c r="C162">
        <v>900986777</v>
      </c>
      <c r="D162" t="s">
        <v>3</v>
      </c>
      <c r="E162" s="1">
        <v>42036</v>
      </c>
      <c r="F162" s="1">
        <v>42124</v>
      </c>
      <c r="G162">
        <v>373.13</v>
      </c>
      <c r="H162">
        <v>265</v>
      </c>
      <c r="I162">
        <v>108.13</v>
      </c>
      <c r="J162" t="s">
        <v>26</v>
      </c>
      <c r="K162" t="s">
        <v>64</v>
      </c>
      <c r="L162" t="s">
        <v>1</v>
      </c>
      <c r="M162">
        <v>16453872</v>
      </c>
    </row>
    <row r="163" spans="1:14" x14ac:dyDescent="0.25">
      <c r="A163" t="s">
        <v>246</v>
      </c>
      <c r="B163" t="str">
        <f>"0902719961465373"</f>
        <v>0902719961465373</v>
      </c>
      <c r="C163">
        <v>961465373</v>
      </c>
      <c r="D163" t="s">
        <v>7</v>
      </c>
      <c r="E163" s="1">
        <v>42036</v>
      </c>
      <c r="F163" s="1">
        <v>42247</v>
      </c>
      <c r="G163">
        <v>638.17999999999995</v>
      </c>
      <c r="H163">
        <v>607</v>
      </c>
      <c r="I163">
        <v>144</v>
      </c>
      <c r="J163" t="s">
        <v>0</v>
      </c>
      <c r="K163" t="s">
        <v>64</v>
      </c>
      <c r="L163" t="s">
        <v>1</v>
      </c>
      <c r="M163">
        <v>16453872</v>
      </c>
      <c r="N163" t="s">
        <v>247</v>
      </c>
    </row>
    <row r="164" spans="1:14" x14ac:dyDescent="0.25">
      <c r="A164" t="s">
        <v>248</v>
      </c>
      <c r="B164" t="str">
        <f>"0902719960561111"</f>
        <v>0902719960561111</v>
      </c>
      <c r="C164">
        <v>960561111</v>
      </c>
      <c r="D164" t="s">
        <v>2</v>
      </c>
      <c r="E164" s="1">
        <v>42036</v>
      </c>
      <c r="F164" s="1">
        <v>42155</v>
      </c>
      <c r="G164">
        <v>449.09</v>
      </c>
      <c r="H164" t="str">
        <f>"0.00"</f>
        <v>0.00</v>
      </c>
      <c r="I164">
        <v>483.77</v>
      </c>
      <c r="J164" t="s">
        <v>30</v>
      </c>
      <c r="K164" t="s">
        <v>64</v>
      </c>
      <c r="L164" t="s">
        <v>1</v>
      </c>
      <c r="M164">
        <v>16453872</v>
      </c>
      <c r="N164" t="s">
        <v>249</v>
      </c>
    </row>
    <row r="165" spans="1:14" x14ac:dyDescent="0.25">
      <c r="A165" t="s">
        <v>250</v>
      </c>
      <c r="B165" t="str">
        <f>"0902732950286873"</f>
        <v>0902732950286873</v>
      </c>
      <c r="C165">
        <v>950286873</v>
      </c>
      <c r="D165" t="s">
        <v>2</v>
      </c>
      <c r="E165" s="1">
        <v>42036</v>
      </c>
      <c r="F165" s="1">
        <v>42094</v>
      </c>
      <c r="G165">
        <v>143.03</v>
      </c>
      <c r="H165" t="str">
        <f>"0.00"</f>
        <v>0.00</v>
      </c>
      <c r="I165">
        <v>143.03</v>
      </c>
      <c r="J165" t="s">
        <v>32</v>
      </c>
      <c r="K165" t="s">
        <v>64</v>
      </c>
      <c r="L165" t="s">
        <v>1</v>
      </c>
      <c r="M165">
        <v>16453872</v>
      </c>
    </row>
    <row r="166" spans="1:14" x14ac:dyDescent="0.25">
      <c r="A166" t="s">
        <v>251</v>
      </c>
      <c r="B166" t="str">
        <f>"0902732943296555"</f>
        <v>0902732943296555</v>
      </c>
      <c r="C166">
        <v>943296555</v>
      </c>
      <c r="D166" t="s">
        <v>2</v>
      </c>
      <c r="E166" s="1">
        <v>42036</v>
      </c>
      <c r="F166" s="1">
        <v>42063</v>
      </c>
      <c r="G166">
        <v>473.43</v>
      </c>
      <c r="H166">
        <v>347</v>
      </c>
      <c r="I166">
        <v>128.43</v>
      </c>
      <c r="J166" t="s">
        <v>33</v>
      </c>
      <c r="K166" t="s">
        <v>64</v>
      </c>
      <c r="L166" t="s">
        <v>1</v>
      </c>
      <c r="M166">
        <v>16453872</v>
      </c>
    </row>
    <row r="167" spans="1:14" x14ac:dyDescent="0.25">
      <c r="A167" t="s">
        <v>252</v>
      </c>
      <c r="B167" t="str">
        <f>"0902732948717057"</f>
        <v>0902732948717057</v>
      </c>
      <c r="C167">
        <v>948717057</v>
      </c>
      <c r="D167" t="s">
        <v>2</v>
      </c>
      <c r="E167" s="1">
        <v>42036</v>
      </c>
      <c r="F167" s="1">
        <v>42094</v>
      </c>
      <c r="G167">
        <v>286.83</v>
      </c>
      <c r="H167">
        <v>177</v>
      </c>
      <c r="I167">
        <v>109.83</v>
      </c>
      <c r="J167" t="s">
        <v>33</v>
      </c>
      <c r="K167" t="s">
        <v>64</v>
      </c>
      <c r="L167" t="s">
        <v>1</v>
      </c>
      <c r="M167">
        <v>16453872</v>
      </c>
    </row>
    <row r="168" spans="1:14" x14ac:dyDescent="0.25">
      <c r="A168" t="s">
        <v>253</v>
      </c>
      <c r="B168" t="str">
        <f>"0902732942326235"</f>
        <v>0902732942326235</v>
      </c>
      <c r="C168">
        <v>942326235</v>
      </c>
      <c r="D168" t="s">
        <v>2</v>
      </c>
      <c r="E168" s="1">
        <v>42036</v>
      </c>
      <c r="F168" s="1">
        <v>42063</v>
      </c>
      <c r="G168">
        <v>224.55</v>
      </c>
      <c r="H168">
        <v>181</v>
      </c>
      <c r="I168">
        <v>43.55</v>
      </c>
      <c r="J168" t="s">
        <v>34</v>
      </c>
      <c r="K168" t="s">
        <v>64</v>
      </c>
      <c r="L168" t="s">
        <v>1</v>
      </c>
      <c r="M168">
        <v>16453872</v>
      </c>
    </row>
    <row r="169" spans="1:14" x14ac:dyDescent="0.25">
      <c r="A169" t="s">
        <v>254</v>
      </c>
      <c r="B169" t="str">
        <f>"0902732966326854"</f>
        <v>0902732966326854</v>
      </c>
      <c r="C169">
        <v>966326854</v>
      </c>
      <c r="D169" t="s">
        <v>2</v>
      </c>
      <c r="E169" s="1">
        <v>42036</v>
      </c>
      <c r="F169" s="1">
        <v>42124</v>
      </c>
      <c r="G169">
        <v>363.91</v>
      </c>
      <c r="H169">
        <v>357</v>
      </c>
      <c r="I169">
        <v>6.91</v>
      </c>
      <c r="J169" t="s">
        <v>40</v>
      </c>
      <c r="K169" t="s">
        <v>64</v>
      </c>
      <c r="L169" t="s">
        <v>1</v>
      </c>
      <c r="M169">
        <v>16453872</v>
      </c>
    </row>
    <row r="170" spans="1:14" x14ac:dyDescent="0.25">
      <c r="A170" t="s">
        <v>255</v>
      </c>
      <c r="B170" t="str">
        <f>"0902732966702338"</f>
        <v>0902732966702338</v>
      </c>
      <c r="C170">
        <v>966702338</v>
      </c>
      <c r="D170" t="s">
        <v>2</v>
      </c>
      <c r="E170" s="1">
        <v>42036</v>
      </c>
      <c r="F170" s="1">
        <v>42094</v>
      </c>
      <c r="G170">
        <v>307.14999999999998</v>
      </c>
      <c r="H170" t="str">
        <f>"0.00"</f>
        <v>0.00</v>
      </c>
      <c r="I170">
        <v>333.62</v>
      </c>
      <c r="J170" t="s">
        <v>36</v>
      </c>
      <c r="K170" t="s">
        <v>64</v>
      </c>
      <c r="L170" t="s">
        <v>1</v>
      </c>
      <c r="M170">
        <v>16453872</v>
      </c>
    </row>
    <row r="171" spans="1:14" x14ac:dyDescent="0.25">
      <c r="A171" t="s">
        <v>256</v>
      </c>
      <c r="B171" t="str">
        <f>"0902732963143910"</f>
        <v>0902732963143910</v>
      </c>
      <c r="C171">
        <v>963143910</v>
      </c>
      <c r="D171" t="s">
        <v>2</v>
      </c>
      <c r="E171" s="1">
        <v>42036</v>
      </c>
      <c r="F171" s="1">
        <v>42063</v>
      </c>
      <c r="G171">
        <v>1059.02</v>
      </c>
      <c r="H171">
        <v>932</v>
      </c>
      <c r="I171">
        <v>127.02</v>
      </c>
      <c r="J171" t="s">
        <v>36</v>
      </c>
      <c r="K171" t="s">
        <v>64</v>
      </c>
      <c r="L171" t="s">
        <v>1</v>
      </c>
      <c r="M171">
        <v>16453872</v>
      </c>
    </row>
    <row r="172" spans="1:14" x14ac:dyDescent="0.25">
      <c r="A172" t="s">
        <v>257</v>
      </c>
      <c r="B172" t="str">
        <f>"0902732962073261"</f>
        <v>0902732962073261</v>
      </c>
      <c r="C172">
        <v>962073261</v>
      </c>
      <c r="D172" t="s">
        <v>2</v>
      </c>
      <c r="E172" s="1">
        <v>42036</v>
      </c>
      <c r="G172">
        <v>595.79999999999995</v>
      </c>
      <c r="H172">
        <v>535</v>
      </c>
      <c r="I172" t="str">
        <f>"0.01"</f>
        <v>0.01</v>
      </c>
      <c r="J172" t="s">
        <v>37</v>
      </c>
      <c r="K172" t="s">
        <v>64</v>
      </c>
      <c r="L172" t="s">
        <v>1</v>
      </c>
      <c r="M172">
        <v>16453872</v>
      </c>
    </row>
    <row r="173" spans="1:14" x14ac:dyDescent="0.25">
      <c r="A173" t="s">
        <v>258</v>
      </c>
      <c r="B173" t="str">
        <f>"0902728966909207"</f>
        <v>0902728966909207</v>
      </c>
      <c r="C173">
        <v>966909207</v>
      </c>
      <c r="D173" t="s">
        <v>12</v>
      </c>
      <c r="E173" s="1">
        <v>42036</v>
      </c>
      <c r="F173" s="1">
        <v>42063</v>
      </c>
      <c r="G173">
        <v>271.14</v>
      </c>
      <c r="H173" t="str">
        <f>"0.00"</f>
        <v>0.00</v>
      </c>
      <c r="I173">
        <v>271.14</v>
      </c>
      <c r="J173" t="s">
        <v>15</v>
      </c>
      <c r="K173" t="s">
        <v>64</v>
      </c>
      <c r="L173" t="s">
        <v>1</v>
      </c>
      <c r="M173">
        <v>16453872</v>
      </c>
    </row>
    <row r="174" spans="1:14" x14ac:dyDescent="0.25">
      <c r="A174" t="s">
        <v>259</v>
      </c>
      <c r="B174" t="str">
        <f>"0902728964479034"</f>
        <v>0902728964479034</v>
      </c>
      <c r="C174">
        <v>964479034</v>
      </c>
      <c r="D174" t="s">
        <v>12</v>
      </c>
      <c r="E174" s="1">
        <v>42036</v>
      </c>
      <c r="F174" s="1">
        <v>42247</v>
      </c>
      <c r="G174">
        <v>526.25</v>
      </c>
      <c r="H174">
        <v>466</v>
      </c>
      <c r="I174">
        <v>38.19</v>
      </c>
      <c r="J174" t="s">
        <v>15</v>
      </c>
      <c r="K174" t="s">
        <v>64</v>
      </c>
      <c r="L174" t="s">
        <v>1</v>
      </c>
      <c r="M174">
        <v>16453872</v>
      </c>
    </row>
    <row r="175" spans="1:14" x14ac:dyDescent="0.25">
      <c r="A175" t="s">
        <v>260</v>
      </c>
      <c r="B175" t="str">
        <f>"0902728966041300"</f>
        <v>0902728966041300</v>
      </c>
      <c r="C175">
        <v>966041300</v>
      </c>
      <c r="D175" t="s">
        <v>12</v>
      </c>
      <c r="E175" s="1">
        <v>42036</v>
      </c>
      <c r="G175">
        <v>309.08</v>
      </c>
      <c r="H175" t="str">
        <f>"0.00"</f>
        <v>0.00</v>
      </c>
      <c r="I175">
        <v>309.08</v>
      </c>
      <c r="J175" t="s">
        <v>31</v>
      </c>
      <c r="K175" t="s">
        <v>64</v>
      </c>
      <c r="L175" t="s">
        <v>1</v>
      </c>
      <c r="M175">
        <v>16453872</v>
      </c>
    </row>
    <row r="176" spans="1:14" x14ac:dyDescent="0.25">
      <c r="A176" t="s">
        <v>261</v>
      </c>
      <c r="B176" t="str">
        <f>"0902728972014589"</f>
        <v>0902728972014589</v>
      </c>
      <c r="C176">
        <v>972014589</v>
      </c>
      <c r="D176" t="s">
        <v>12</v>
      </c>
      <c r="E176" s="1">
        <v>42036</v>
      </c>
      <c r="F176" s="1">
        <v>42155</v>
      </c>
      <c r="G176">
        <v>332.46</v>
      </c>
      <c r="H176">
        <v>224</v>
      </c>
      <c r="I176">
        <v>108.14</v>
      </c>
      <c r="J176" t="s">
        <v>43</v>
      </c>
      <c r="K176" t="s">
        <v>64</v>
      </c>
      <c r="L176" t="s">
        <v>1</v>
      </c>
      <c r="M176">
        <v>16453872</v>
      </c>
      <c r="N176" t="s">
        <v>262</v>
      </c>
    </row>
    <row r="177" spans="1:14" x14ac:dyDescent="0.25">
      <c r="A177" t="s">
        <v>263</v>
      </c>
      <c r="B177" t="str">
        <f>"0902728976929049"</f>
        <v>0902728976929049</v>
      </c>
      <c r="C177">
        <v>976929049</v>
      </c>
      <c r="D177" t="s">
        <v>12</v>
      </c>
      <c r="E177" s="1">
        <v>42036</v>
      </c>
      <c r="F177" s="1">
        <v>42124</v>
      </c>
      <c r="G177">
        <v>509.07</v>
      </c>
      <c r="H177">
        <v>422</v>
      </c>
      <c r="I177" t="str">
        <f>"0.01"</f>
        <v>0.01</v>
      </c>
      <c r="J177" t="s">
        <v>8</v>
      </c>
      <c r="K177" t="s">
        <v>64</v>
      </c>
      <c r="L177" t="s">
        <v>1</v>
      </c>
      <c r="M177">
        <v>16453872</v>
      </c>
    </row>
    <row r="178" spans="1:14" x14ac:dyDescent="0.25">
      <c r="A178" t="s">
        <v>264</v>
      </c>
      <c r="B178" t="str">
        <f>"0902728979990463"</f>
        <v>0902728979990463</v>
      </c>
      <c r="C178">
        <v>979990463</v>
      </c>
      <c r="D178" t="s">
        <v>12</v>
      </c>
      <c r="E178" s="1">
        <v>42036</v>
      </c>
      <c r="F178" s="1">
        <v>42094</v>
      </c>
      <c r="G178">
        <v>342.21</v>
      </c>
      <c r="H178">
        <v>250</v>
      </c>
      <c r="I178">
        <v>92.21</v>
      </c>
      <c r="J178" t="s">
        <v>13</v>
      </c>
      <c r="K178" t="s">
        <v>64</v>
      </c>
      <c r="L178" t="s">
        <v>1</v>
      </c>
      <c r="M178">
        <v>16453872</v>
      </c>
    </row>
    <row r="179" spans="1:14" x14ac:dyDescent="0.25">
      <c r="A179" t="s">
        <v>265</v>
      </c>
      <c r="B179" t="str">
        <f>"0902728979062372"</f>
        <v>0902728979062372</v>
      </c>
      <c r="C179">
        <v>979062372</v>
      </c>
      <c r="D179" t="s">
        <v>12</v>
      </c>
      <c r="E179" s="1">
        <v>42036</v>
      </c>
      <c r="F179" s="1">
        <v>42124</v>
      </c>
      <c r="G179">
        <v>622.20000000000005</v>
      </c>
      <c r="H179" t="str">
        <f>"0.00"</f>
        <v>0.00</v>
      </c>
      <c r="I179">
        <v>778.65</v>
      </c>
      <c r="J179" t="s">
        <v>31</v>
      </c>
      <c r="K179" t="s">
        <v>64</v>
      </c>
      <c r="L179" t="s">
        <v>1</v>
      </c>
      <c r="M179">
        <v>16453872</v>
      </c>
    </row>
    <row r="180" spans="1:14" x14ac:dyDescent="0.25">
      <c r="A180" t="s">
        <v>266</v>
      </c>
      <c r="B180" t="str">
        <f>"0902729963589093"</f>
        <v>0902729963589093</v>
      </c>
      <c r="C180">
        <v>963589093</v>
      </c>
      <c r="D180" t="s">
        <v>46</v>
      </c>
      <c r="E180" s="1">
        <v>42036</v>
      </c>
      <c r="F180" s="1">
        <v>42124</v>
      </c>
      <c r="G180">
        <v>416.67</v>
      </c>
      <c r="H180">
        <v>251</v>
      </c>
      <c r="I180">
        <v>165.67</v>
      </c>
      <c r="J180" t="s">
        <v>59</v>
      </c>
      <c r="K180" t="s">
        <v>64</v>
      </c>
      <c r="L180" t="s">
        <v>1</v>
      </c>
      <c r="M180">
        <v>16453872</v>
      </c>
      <c r="N180" t="s">
        <v>267</v>
      </c>
    </row>
    <row r="181" spans="1:14" x14ac:dyDescent="0.25">
      <c r="A181" t="s">
        <v>268</v>
      </c>
      <c r="B181" t="str">
        <f>"0902730921663703"</f>
        <v>0902730921663703</v>
      </c>
      <c r="C181">
        <v>921663703</v>
      </c>
      <c r="D181" t="s">
        <v>38</v>
      </c>
      <c r="E181" s="1">
        <v>42036</v>
      </c>
      <c r="F181" s="1">
        <v>42155</v>
      </c>
      <c r="G181">
        <v>255.81</v>
      </c>
      <c r="H181">
        <v>96</v>
      </c>
      <c r="I181" t="str">
        <f>"0.01"</f>
        <v>0.01</v>
      </c>
      <c r="J181" t="s">
        <v>269</v>
      </c>
      <c r="K181" t="s">
        <v>64</v>
      </c>
      <c r="L181" t="s">
        <v>1</v>
      </c>
      <c r="M181">
        <v>16453872</v>
      </c>
      <c r="N181" t="s">
        <v>270</v>
      </c>
    </row>
    <row r="182" spans="1:14" x14ac:dyDescent="0.25">
      <c r="A182" t="s">
        <v>271</v>
      </c>
      <c r="B182" t="str">
        <f>"0902732913692047"</f>
        <v>0902732913692047</v>
      </c>
      <c r="C182">
        <v>913692047</v>
      </c>
      <c r="D182" t="s">
        <v>2</v>
      </c>
      <c r="E182" s="1">
        <v>42036</v>
      </c>
      <c r="F182" s="1">
        <v>42063</v>
      </c>
      <c r="G182">
        <v>712.76</v>
      </c>
      <c r="H182">
        <v>609</v>
      </c>
      <c r="I182" t="str">
        <f>"0.01"</f>
        <v>0.01</v>
      </c>
      <c r="J182" t="s">
        <v>36</v>
      </c>
      <c r="K182" t="s">
        <v>64</v>
      </c>
      <c r="L182" t="s">
        <v>1</v>
      </c>
      <c r="M182">
        <v>16453872</v>
      </c>
    </row>
    <row r="183" spans="1:14" x14ac:dyDescent="0.25">
      <c r="A183" t="s">
        <v>272</v>
      </c>
      <c r="B183" t="str">
        <f>"0902730950097978"</f>
        <v>0902730950097978</v>
      </c>
      <c r="C183">
        <v>950097978</v>
      </c>
      <c r="D183" t="s">
        <v>38</v>
      </c>
      <c r="E183" s="1">
        <v>42036</v>
      </c>
      <c r="F183" s="1">
        <v>42063</v>
      </c>
      <c r="G183">
        <v>800.27</v>
      </c>
      <c r="H183">
        <v>542</v>
      </c>
      <c r="I183">
        <v>258.27</v>
      </c>
      <c r="J183" t="s">
        <v>39</v>
      </c>
      <c r="K183" t="s">
        <v>64</v>
      </c>
      <c r="L183" t="s">
        <v>1</v>
      </c>
      <c r="M183">
        <v>16453872</v>
      </c>
    </row>
    <row r="184" spans="1:14" x14ac:dyDescent="0.25">
      <c r="A184" t="s">
        <v>273</v>
      </c>
      <c r="B184" t="str">
        <f>"0902728910236758"</f>
        <v>0902728910236758</v>
      </c>
      <c r="C184">
        <v>910236758</v>
      </c>
      <c r="D184" t="s">
        <v>12</v>
      </c>
      <c r="E184" s="1">
        <v>42036</v>
      </c>
      <c r="F184" s="1">
        <v>42063</v>
      </c>
      <c r="G184">
        <v>581.72</v>
      </c>
      <c r="H184">
        <v>375</v>
      </c>
      <c r="I184">
        <v>206.72</v>
      </c>
      <c r="J184" t="s">
        <v>26</v>
      </c>
      <c r="K184" t="s">
        <v>64</v>
      </c>
      <c r="L184" t="s">
        <v>1</v>
      </c>
      <c r="M184">
        <v>16453872</v>
      </c>
      <c r="N184" t="s">
        <v>274</v>
      </c>
    </row>
    <row r="185" spans="1:14" x14ac:dyDescent="0.25">
      <c r="A185" t="s">
        <v>275</v>
      </c>
      <c r="B185" t="str">
        <f>"0902728909865536"</f>
        <v>0902728909865536</v>
      </c>
      <c r="C185">
        <v>909865536</v>
      </c>
      <c r="D185" t="s">
        <v>12</v>
      </c>
      <c r="E185" s="1">
        <v>42036</v>
      </c>
      <c r="F185" s="1">
        <v>42247</v>
      </c>
      <c r="G185">
        <v>600.14</v>
      </c>
      <c r="H185">
        <v>551</v>
      </c>
      <c r="I185">
        <v>7.88</v>
      </c>
      <c r="J185" t="s">
        <v>15</v>
      </c>
      <c r="K185" t="s">
        <v>64</v>
      </c>
      <c r="L185" t="s">
        <v>1</v>
      </c>
      <c r="M185">
        <v>16453872</v>
      </c>
    </row>
    <row r="186" spans="1:14" x14ac:dyDescent="0.25">
      <c r="A186" t="s">
        <v>276</v>
      </c>
      <c r="B186" t="str">
        <f>"0902728901636860"</f>
        <v>0902728901636860</v>
      </c>
      <c r="C186">
        <v>901636860</v>
      </c>
      <c r="D186" t="s">
        <v>12</v>
      </c>
      <c r="E186" s="1">
        <v>42036</v>
      </c>
      <c r="F186" s="1">
        <v>42155</v>
      </c>
      <c r="G186">
        <v>792.29</v>
      </c>
      <c r="H186">
        <v>674</v>
      </c>
      <c r="I186">
        <v>63.18</v>
      </c>
      <c r="J186" t="s">
        <v>15</v>
      </c>
      <c r="K186" t="s">
        <v>64</v>
      </c>
      <c r="L186" t="s">
        <v>1</v>
      </c>
      <c r="M186">
        <v>16453872</v>
      </c>
      <c r="N186" t="s">
        <v>277</v>
      </c>
    </row>
    <row r="187" spans="1:14" x14ac:dyDescent="0.25">
      <c r="A187" t="s">
        <v>278</v>
      </c>
      <c r="B187" t="str">
        <f>"0902728903647019"</f>
        <v>0902728903647019</v>
      </c>
      <c r="C187">
        <v>903647019</v>
      </c>
      <c r="D187" t="s">
        <v>12</v>
      </c>
      <c r="E187" s="1">
        <v>42036</v>
      </c>
      <c r="F187" s="1">
        <v>42124</v>
      </c>
      <c r="G187">
        <v>538.16999999999996</v>
      </c>
      <c r="H187" t="str">
        <f>"0.00"</f>
        <v>0.00</v>
      </c>
      <c r="I187">
        <v>617.23</v>
      </c>
      <c r="J187" t="s">
        <v>15</v>
      </c>
      <c r="K187" t="s">
        <v>64</v>
      </c>
      <c r="L187" t="s">
        <v>1</v>
      </c>
      <c r="M187">
        <v>16453872</v>
      </c>
      <c r="N187" t="s">
        <v>279</v>
      </c>
    </row>
    <row r="188" spans="1:14" x14ac:dyDescent="0.25">
      <c r="A188" t="s">
        <v>280</v>
      </c>
      <c r="B188" t="str">
        <f>"0902728919282488"</f>
        <v>0902728919282488</v>
      </c>
      <c r="C188">
        <v>919282488</v>
      </c>
      <c r="D188" t="s">
        <v>12</v>
      </c>
      <c r="E188" s="1">
        <v>42036</v>
      </c>
      <c r="F188" s="1">
        <v>42063</v>
      </c>
      <c r="G188">
        <v>227.12</v>
      </c>
      <c r="H188" t="str">
        <f>"0.00"</f>
        <v>0.00</v>
      </c>
      <c r="I188">
        <v>309.41000000000003</v>
      </c>
      <c r="J188" t="s">
        <v>41</v>
      </c>
      <c r="K188" t="s">
        <v>64</v>
      </c>
      <c r="L188" t="s">
        <v>1</v>
      </c>
      <c r="M188">
        <v>16453872</v>
      </c>
    </row>
    <row r="189" spans="1:14" x14ac:dyDescent="0.25">
      <c r="A189" t="s">
        <v>281</v>
      </c>
      <c r="B189" t="str">
        <f>"0902728925558872"</f>
        <v>0902728925558872</v>
      </c>
      <c r="C189">
        <v>925558872</v>
      </c>
      <c r="D189" t="s">
        <v>12</v>
      </c>
      <c r="E189" s="1">
        <v>42036</v>
      </c>
      <c r="G189">
        <v>1052.3800000000001</v>
      </c>
      <c r="H189">
        <v>915</v>
      </c>
      <c r="I189" t="str">
        <f>"0.01"</f>
        <v>0.01</v>
      </c>
      <c r="J189" t="s">
        <v>15</v>
      </c>
      <c r="K189" t="s">
        <v>64</v>
      </c>
      <c r="L189" t="s">
        <v>1</v>
      </c>
      <c r="M189">
        <v>16453872</v>
      </c>
      <c r="N189" t="s">
        <v>282</v>
      </c>
    </row>
    <row r="190" spans="1:14" x14ac:dyDescent="0.25">
      <c r="A190" t="s">
        <v>283</v>
      </c>
      <c r="B190" t="str">
        <f>"0902728933089008"</f>
        <v>0902728933089008</v>
      </c>
      <c r="C190">
        <v>933089008</v>
      </c>
      <c r="D190" t="s">
        <v>12</v>
      </c>
      <c r="E190" s="1">
        <v>42036</v>
      </c>
      <c r="F190" s="1">
        <v>42155</v>
      </c>
      <c r="G190">
        <v>674.02</v>
      </c>
      <c r="H190">
        <v>471</v>
      </c>
      <c r="I190">
        <v>141.63</v>
      </c>
      <c r="J190" t="s">
        <v>15</v>
      </c>
      <c r="K190" t="s">
        <v>64</v>
      </c>
      <c r="L190" t="s">
        <v>1</v>
      </c>
      <c r="M190">
        <v>16453872</v>
      </c>
    </row>
    <row r="191" spans="1:14" x14ac:dyDescent="0.25">
      <c r="A191" t="s">
        <v>284</v>
      </c>
      <c r="B191" t="str">
        <f>"0902728930116896"</f>
        <v>0902728930116896</v>
      </c>
      <c r="C191">
        <v>930116896</v>
      </c>
      <c r="D191" t="s">
        <v>12</v>
      </c>
      <c r="E191" s="1">
        <v>42036</v>
      </c>
      <c r="F191" s="1">
        <v>42063</v>
      </c>
      <c r="G191">
        <v>690.92</v>
      </c>
      <c r="H191">
        <v>575</v>
      </c>
      <c r="I191">
        <v>115.92</v>
      </c>
      <c r="J191" t="s">
        <v>42</v>
      </c>
      <c r="K191" t="s">
        <v>64</v>
      </c>
      <c r="L191" t="s">
        <v>1</v>
      </c>
      <c r="M191">
        <v>16453872</v>
      </c>
    </row>
    <row r="192" spans="1:14" x14ac:dyDescent="0.25">
      <c r="A192" t="s">
        <v>285</v>
      </c>
      <c r="B192" t="str">
        <f>"0902728940417932"</f>
        <v>0902728940417932</v>
      </c>
      <c r="C192">
        <v>940417932</v>
      </c>
      <c r="D192" t="s">
        <v>12</v>
      </c>
      <c r="E192" s="1">
        <v>42036</v>
      </c>
      <c r="F192" s="1">
        <v>42124</v>
      </c>
      <c r="G192">
        <v>785.41</v>
      </c>
      <c r="H192" t="str">
        <f>"0.00"</f>
        <v>0.00</v>
      </c>
      <c r="I192">
        <v>785.41</v>
      </c>
      <c r="J192" t="s">
        <v>286</v>
      </c>
      <c r="K192" t="s">
        <v>64</v>
      </c>
      <c r="L192" t="s">
        <v>1</v>
      </c>
      <c r="M192">
        <v>16453872</v>
      </c>
    </row>
    <row r="193" spans="1:14" x14ac:dyDescent="0.25">
      <c r="A193" t="s">
        <v>287</v>
      </c>
      <c r="B193" t="str">
        <f>"0902728940875326"</f>
        <v>0902728940875326</v>
      </c>
      <c r="C193">
        <v>940875326</v>
      </c>
      <c r="D193" t="s">
        <v>12</v>
      </c>
      <c r="E193" s="1">
        <v>42036</v>
      </c>
      <c r="F193" s="1">
        <v>42247</v>
      </c>
      <c r="G193">
        <v>661.33</v>
      </c>
      <c r="H193">
        <v>592</v>
      </c>
      <c r="I193">
        <v>759.46</v>
      </c>
      <c r="J193" t="s">
        <v>15</v>
      </c>
      <c r="K193" t="s">
        <v>64</v>
      </c>
      <c r="L193" t="s">
        <v>1</v>
      </c>
      <c r="M193">
        <v>16453872</v>
      </c>
    </row>
    <row r="194" spans="1:14" x14ac:dyDescent="0.25">
      <c r="A194" t="s">
        <v>288</v>
      </c>
      <c r="B194" t="str">
        <f>"0902728957968866"</f>
        <v>0902728957968866</v>
      </c>
      <c r="C194">
        <v>957968866</v>
      </c>
      <c r="D194" t="s">
        <v>12</v>
      </c>
      <c r="E194" s="1">
        <v>42036</v>
      </c>
      <c r="F194" s="1">
        <v>42124</v>
      </c>
      <c r="G194">
        <v>697.86</v>
      </c>
      <c r="H194" t="str">
        <f>"0.00"</f>
        <v>0.00</v>
      </c>
      <c r="I194">
        <v>697.86</v>
      </c>
      <c r="J194" t="s">
        <v>15</v>
      </c>
      <c r="K194" t="s">
        <v>64</v>
      </c>
      <c r="L194" t="s">
        <v>1</v>
      </c>
      <c r="M194">
        <v>16453872</v>
      </c>
    </row>
    <row r="195" spans="1:14" x14ac:dyDescent="0.25">
      <c r="A195" t="s">
        <v>289</v>
      </c>
      <c r="B195" t="str">
        <f>"0902728954996916"</f>
        <v>0902728954996916</v>
      </c>
      <c r="C195">
        <v>954996916</v>
      </c>
      <c r="D195" t="s">
        <v>12</v>
      </c>
      <c r="E195" s="1">
        <v>42036</v>
      </c>
      <c r="G195">
        <v>226.11</v>
      </c>
      <c r="H195" t="str">
        <f>"0.00"</f>
        <v>0.00</v>
      </c>
      <c r="I195">
        <v>226.11</v>
      </c>
      <c r="J195" t="s">
        <v>8</v>
      </c>
      <c r="K195" t="s">
        <v>64</v>
      </c>
      <c r="L195" t="s">
        <v>1</v>
      </c>
      <c r="M195">
        <v>16453872</v>
      </c>
    </row>
    <row r="196" spans="1:14" x14ac:dyDescent="0.25">
      <c r="A196" t="s">
        <v>290</v>
      </c>
      <c r="B196" t="str">
        <f>"0902728959843301"</f>
        <v>0902728959843301</v>
      </c>
      <c r="C196">
        <v>959843301</v>
      </c>
      <c r="D196" t="s">
        <v>12</v>
      </c>
      <c r="E196" s="1">
        <v>42036</v>
      </c>
      <c r="F196" s="1">
        <v>42124</v>
      </c>
      <c r="G196">
        <v>430.3</v>
      </c>
      <c r="H196" t="str">
        <f>"0.00"</f>
        <v>0.00</v>
      </c>
      <c r="I196">
        <v>516.42999999999995</v>
      </c>
      <c r="J196" t="s">
        <v>15</v>
      </c>
      <c r="K196" t="s">
        <v>64</v>
      </c>
      <c r="L196" t="s">
        <v>1</v>
      </c>
      <c r="M196">
        <v>16453872</v>
      </c>
    </row>
    <row r="197" spans="1:14" x14ac:dyDescent="0.25">
      <c r="A197" t="s">
        <v>291</v>
      </c>
      <c r="B197" t="str">
        <f>"0902728962838164"</f>
        <v>0902728962838164</v>
      </c>
      <c r="C197">
        <v>962838164</v>
      </c>
      <c r="D197" t="s">
        <v>12</v>
      </c>
      <c r="E197" s="1">
        <v>42005</v>
      </c>
      <c r="G197">
        <v>340.38</v>
      </c>
      <c r="H197">
        <v>269</v>
      </c>
      <c r="I197">
        <v>71.38</v>
      </c>
      <c r="J197" t="s">
        <v>15</v>
      </c>
      <c r="K197" t="s">
        <v>64</v>
      </c>
      <c r="L197" t="s">
        <v>1</v>
      </c>
      <c r="M197">
        <v>16453872</v>
      </c>
    </row>
    <row r="198" spans="1:14" x14ac:dyDescent="0.25">
      <c r="A198" t="s">
        <v>292</v>
      </c>
      <c r="B198" t="str">
        <f>"0902728964462910"</f>
        <v>0902728964462910</v>
      </c>
      <c r="C198">
        <v>964462910</v>
      </c>
      <c r="D198" t="s">
        <v>12</v>
      </c>
      <c r="E198" s="1">
        <v>42005</v>
      </c>
      <c r="F198" s="1">
        <v>42124</v>
      </c>
      <c r="G198">
        <v>742.01</v>
      </c>
      <c r="H198">
        <v>690</v>
      </c>
      <c r="I198" t="str">
        <f>"0.01"</f>
        <v>0.01</v>
      </c>
      <c r="J198" t="s">
        <v>15</v>
      </c>
      <c r="K198" t="s">
        <v>64</v>
      </c>
      <c r="L198" t="s">
        <v>1</v>
      </c>
      <c r="M198">
        <v>16453872</v>
      </c>
      <c r="N198" t="s">
        <v>293</v>
      </c>
    </row>
    <row r="199" spans="1:14" x14ac:dyDescent="0.25">
      <c r="A199" t="s">
        <v>294</v>
      </c>
      <c r="B199" t="str">
        <f>"0902728912772774"</f>
        <v>0902728912772774</v>
      </c>
      <c r="C199">
        <v>912772774</v>
      </c>
      <c r="D199" t="s">
        <v>12</v>
      </c>
      <c r="E199" s="1">
        <v>42005</v>
      </c>
      <c r="F199" s="1">
        <v>42063</v>
      </c>
      <c r="G199">
        <v>273.82</v>
      </c>
      <c r="H199">
        <v>235</v>
      </c>
      <c r="I199">
        <v>38.82</v>
      </c>
      <c r="J199" t="s">
        <v>15</v>
      </c>
      <c r="K199" t="s">
        <v>64</v>
      </c>
      <c r="L199" t="s">
        <v>1</v>
      </c>
      <c r="M199">
        <v>16453872</v>
      </c>
    </row>
    <row r="200" spans="1:14" x14ac:dyDescent="0.25">
      <c r="A200" t="s">
        <v>295</v>
      </c>
      <c r="B200" t="str">
        <f>"0902728910506347"</f>
        <v>0902728910506347</v>
      </c>
      <c r="C200">
        <v>910506347</v>
      </c>
      <c r="D200" t="s">
        <v>12</v>
      </c>
      <c r="E200" s="1">
        <v>42005</v>
      </c>
      <c r="F200" s="1">
        <v>42063</v>
      </c>
      <c r="G200">
        <v>270.2</v>
      </c>
      <c r="H200">
        <v>183</v>
      </c>
      <c r="I200">
        <v>87.2</v>
      </c>
      <c r="J200" t="s">
        <v>13</v>
      </c>
      <c r="K200" t="s">
        <v>64</v>
      </c>
      <c r="L200" t="s">
        <v>1</v>
      </c>
      <c r="M200">
        <v>16453872</v>
      </c>
    </row>
    <row r="201" spans="1:14" x14ac:dyDescent="0.25">
      <c r="A201" t="s">
        <v>296</v>
      </c>
      <c r="B201" t="str">
        <f>"0902730968293870"</f>
        <v>0902730968293870</v>
      </c>
      <c r="C201">
        <v>968293870</v>
      </c>
      <c r="D201" t="s">
        <v>38</v>
      </c>
      <c r="E201" s="1">
        <v>42005</v>
      </c>
      <c r="F201" s="1">
        <v>42063</v>
      </c>
      <c r="G201">
        <v>465.89</v>
      </c>
      <c r="H201">
        <v>306</v>
      </c>
      <c r="I201">
        <v>159.88999999999999</v>
      </c>
      <c r="J201" t="s">
        <v>39</v>
      </c>
      <c r="K201" t="s">
        <v>64</v>
      </c>
      <c r="L201" t="s">
        <v>1</v>
      </c>
      <c r="M201">
        <v>16453872</v>
      </c>
    </row>
    <row r="202" spans="1:14" x14ac:dyDescent="0.25">
      <c r="A202" t="s">
        <v>297</v>
      </c>
      <c r="B202" t="str">
        <f>"0902730963048024"</f>
        <v>0902730963048024</v>
      </c>
      <c r="C202">
        <v>963048024</v>
      </c>
      <c r="D202" t="s">
        <v>38</v>
      </c>
      <c r="E202" s="1">
        <v>42005</v>
      </c>
      <c r="F202" s="1">
        <v>42124</v>
      </c>
      <c r="G202">
        <v>265.67</v>
      </c>
      <c r="H202">
        <v>40</v>
      </c>
      <c r="I202" t="str">
        <f>"0.01"</f>
        <v>0.01</v>
      </c>
      <c r="J202" t="s">
        <v>19</v>
      </c>
      <c r="K202" t="s">
        <v>64</v>
      </c>
      <c r="L202" t="s">
        <v>1</v>
      </c>
      <c r="M202">
        <v>16453872</v>
      </c>
      <c r="N202" t="s">
        <v>298</v>
      </c>
    </row>
    <row r="203" spans="1:14" x14ac:dyDescent="0.25">
      <c r="A203" t="s">
        <v>299</v>
      </c>
      <c r="B203" t="str">
        <f>"0902730963301489"</f>
        <v>0902730963301489</v>
      </c>
      <c r="C203">
        <v>963301489</v>
      </c>
      <c r="D203" t="s">
        <v>38</v>
      </c>
      <c r="E203" s="1">
        <v>42005</v>
      </c>
      <c r="F203" s="1">
        <v>42063</v>
      </c>
      <c r="G203">
        <v>549.76</v>
      </c>
      <c r="H203" t="str">
        <f>"0.00"</f>
        <v>0.00</v>
      </c>
      <c r="I203">
        <v>549.76</v>
      </c>
      <c r="J203" t="s">
        <v>19</v>
      </c>
      <c r="K203" t="s">
        <v>64</v>
      </c>
      <c r="L203" t="s">
        <v>1</v>
      </c>
      <c r="M203">
        <v>16453872</v>
      </c>
      <c r="N203" t="s">
        <v>300</v>
      </c>
    </row>
    <row r="204" spans="1:14" x14ac:dyDescent="0.25">
      <c r="A204" t="s">
        <v>301</v>
      </c>
      <c r="B204" t="str">
        <f>"0902730923641624"</f>
        <v>0902730923641624</v>
      </c>
      <c r="C204">
        <v>923641624</v>
      </c>
      <c r="D204" t="s">
        <v>38</v>
      </c>
      <c r="E204" s="1">
        <v>42005</v>
      </c>
      <c r="F204" s="1">
        <v>42094</v>
      </c>
      <c r="G204">
        <v>1011.38</v>
      </c>
      <c r="H204" t="str">
        <f>"0.00"</f>
        <v>0.00</v>
      </c>
      <c r="I204">
        <v>1011.38</v>
      </c>
      <c r="J204" t="s">
        <v>52</v>
      </c>
      <c r="K204" t="s">
        <v>64</v>
      </c>
      <c r="L204" t="s">
        <v>1</v>
      </c>
      <c r="M204">
        <v>16453872</v>
      </c>
      <c r="N204" t="s">
        <v>302</v>
      </c>
    </row>
    <row r="205" spans="1:14" x14ac:dyDescent="0.25">
      <c r="A205" t="s">
        <v>303</v>
      </c>
      <c r="B205" t="str">
        <f>"0902730925437436"</f>
        <v>0902730925437436</v>
      </c>
      <c r="C205">
        <v>925437436</v>
      </c>
      <c r="D205" t="s">
        <v>38</v>
      </c>
      <c r="E205" s="1">
        <v>42005</v>
      </c>
      <c r="F205" s="1">
        <v>42063</v>
      </c>
      <c r="G205">
        <v>305.39</v>
      </c>
      <c r="H205">
        <v>277</v>
      </c>
      <c r="I205">
        <v>28.39</v>
      </c>
      <c r="J205" t="s">
        <v>53</v>
      </c>
      <c r="K205" t="s">
        <v>64</v>
      </c>
      <c r="L205" t="s">
        <v>1</v>
      </c>
      <c r="M205">
        <v>16453872</v>
      </c>
    </row>
    <row r="206" spans="1:14" x14ac:dyDescent="0.25">
      <c r="A206" t="s">
        <v>304</v>
      </c>
      <c r="B206" t="str">
        <f>"0902729975709386"</f>
        <v>0902729975709386</v>
      </c>
      <c r="C206">
        <v>975709386</v>
      </c>
      <c r="D206" t="s">
        <v>46</v>
      </c>
      <c r="E206" s="1">
        <v>42005</v>
      </c>
      <c r="F206" s="1">
        <v>42094</v>
      </c>
      <c r="G206">
        <v>614.34</v>
      </c>
      <c r="H206" t="str">
        <f>"0.00"</f>
        <v>0.00</v>
      </c>
      <c r="I206">
        <v>614.34</v>
      </c>
      <c r="J206" t="s">
        <v>20</v>
      </c>
      <c r="K206" t="s">
        <v>64</v>
      </c>
      <c r="L206" t="s">
        <v>1</v>
      </c>
      <c r="M206">
        <v>16453872</v>
      </c>
      <c r="N206" t="s">
        <v>305</v>
      </c>
    </row>
    <row r="207" spans="1:14" x14ac:dyDescent="0.25">
      <c r="A207" t="s">
        <v>306</v>
      </c>
      <c r="B207" t="str">
        <f>"0902730902845855"</f>
        <v>0902730902845855</v>
      </c>
      <c r="C207">
        <v>902845855</v>
      </c>
      <c r="D207" t="s">
        <v>38</v>
      </c>
      <c r="E207" s="1">
        <v>42005</v>
      </c>
      <c r="F207" s="1">
        <v>42124</v>
      </c>
      <c r="G207">
        <v>460.81</v>
      </c>
      <c r="H207" t="str">
        <f>"0.00"</f>
        <v>0.00</v>
      </c>
      <c r="I207">
        <v>460.81</v>
      </c>
      <c r="J207" t="s">
        <v>45</v>
      </c>
      <c r="K207" t="s">
        <v>64</v>
      </c>
      <c r="L207" t="s">
        <v>1</v>
      </c>
      <c r="M207">
        <v>16453872</v>
      </c>
    </row>
    <row r="208" spans="1:14" x14ac:dyDescent="0.25">
      <c r="A208" t="s">
        <v>307</v>
      </c>
      <c r="B208" t="str">
        <f>"0902732976512420"</f>
        <v>0902732976512420</v>
      </c>
      <c r="C208">
        <v>976512420</v>
      </c>
      <c r="D208" t="s">
        <v>2</v>
      </c>
      <c r="E208" s="1">
        <v>42005</v>
      </c>
      <c r="F208" s="1">
        <v>42124</v>
      </c>
      <c r="G208">
        <v>212.45</v>
      </c>
      <c r="H208">
        <v>176</v>
      </c>
      <c r="I208">
        <v>36.450000000000003</v>
      </c>
      <c r="J208" t="s">
        <v>34</v>
      </c>
      <c r="K208" t="s">
        <v>64</v>
      </c>
      <c r="L208" t="s">
        <v>1</v>
      </c>
      <c r="M208">
        <v>16453872</v>
      </c>
    </row>
    <row r="209" spans="1:14" x14ac:dyDescent="0.25">
      <c r="A209" t="s">
        <v>308</v>
      </c>
      <c r="B209" t="str">
        <f>"0902732958643722"</f>
        <v>0902732958643722</v>
      </c>
      <c r="C209">
        <v>958643722</v>
      </c>
      <c r="D209" t="s">
        <v>2</v>
      </c>
      <c r="E209" s="1">
        <v>42005</v>
      </c>
      <c r="F209" s="1">
        <v>42035</v>
      </c>
      <c r="G209">
        <v>193.85</v>
      </c>
      <c r="H209">
        <v>121</v>
      </c>
      <c r="I209">
        <v>72.849999999999994</v>
      </c>
      <c r="J209" t="s">
        <v>40</v>
      </c>
      <c r="K209" t="s">
        <v>64</v>
      </c>
      <c r="L209" t="s">
        <v>1</v>
      </c>
      <c r="M209">
        <v>16453872</v>
      </c>
      <c r="N209" t="s">
        <v>309</v>
      </c>
    </row>
    <row r="210" spans="1:14" x14ac:dyDescent="0.25">
      <c r="A210" t="s">
        <v>310</v>
      </c>
      <c r="B210" t="str">
        <f>"0902732950056702"</f>
        <v>0902732950056702</v>
      </c>
      <c r="C210">
        <v>950056702</v>
      </c>
      <c r="D210" t="s">
        <v>2</v>
      </c>
      <c r="E210" s="1">
        <v>42005</v>
      </c>
      <c r="F210" s="1">
        <v>42035</v>
      </c>
      <c r="G210">
        <v>415.19</v>
      </c>
      <c r="H210">
        <v>91</v>
      </c>
      <c r="I210">
        <v>324.19</v>
      </c>
      <c r="J210" t="s">
        <v>311</v>
      </c>
      <c r="K210" t="s">
        <v>64</v>
      </c>
      <c r="L210" t="s">
        <v>1</v>
      </c>
      <c r="M210">
        <v>16453872</v>
      </c>
      <c r="N210" t="s">
        <v>312</v>
      </c>
    </row>
    <row r="211" spans="1:14" x14ac:dyDescent="0.25">
      <c r="A211" t="s">
        <v>313</v>
      </c>
      <c r="B211" t="str">
        <f>"0902719974397542"</f>
        <v>0902719974397542</v>
      </c>
      <c r="C211">
        <v>974397542</v>
      </c>
      <c r="D211" t="s">
        <v>7</v>
      </c>
      <c r="E211" s="1">
        <v>42005</v>
      </c>
      <c r="F211" s="1">
        <v>42124</v>
      </c>
      <c r="G211">
        <v>313.39</v>
      </c>
      <c r="H211" t="str">
        <f>"0.00"</f>
        <v>0.00</v>
      </c>
      <c r="I211">
        <v>313.39</v>
      </c>
      <c r="J211" t="s">
        <v>4</v>
      </c>
      <c r="K211" t="s">
        <v>64</v>
      </c>
      <c r="L211" t="s">
        <v>1</v>
      </c>
      <c r="M211">
        <v>16453872</v>
      </c>
      <c r="N211" t="s">
        <v>314</v>
      </c>
    </row>
    <row r="212" spans="1:14" x14ac:dyDescent="0.25">
      <c r="A212" t="s">
        <v>315</v>
      </c>
      <c r="B212" t="str">
        <f>"0902720905918560"</f>
        <v>0902720905918560</v>
      </c>
      <c r="C212">
        <v>905918560</v>
      </c>
      <c r="D212" t="s">
        <v>3</v>
      </c>
      <c r="E212" s="1">
        <v>42005</v>
      </c>
      <c r="G212">
        <v>274.75</v>
      </c>
      <c r="H212">
        <v>204</v>
      </c>
      <c r="I212">
        <v>70.75</v>
      </c>
      <c r="J212" t="s">
        <v>15</v>
      </c>
      <c r="K212" t="s">
        <v>64</v>
      </c>
      <c r="L212" t="s">
        <v>1</v>
      </c>
      <c r="M212">
        <v>16453872</v>
      </c>
    </row>
    <row r="213" spans="1:14" x14ac:dyDescent="0.25">
      <c r="A213" t="s">
        <v>316</v>
      </c>
      <c r="B213" t="str">
        <f>"0904957916938524"</f>
        <v>0904957916938524</v>
      </c>
      <c r="C213">
        <v>916938524</v>
      </c>
      <c r="D213" t="s">
        <v>317</v>
      </c>
      <c r="E213" s="1">
        <v>42401</v>
      </c>
      <c r="G213">
        <v>610.41999999999996</v>
      </c>
      <c r="H213">
        <v>443</v>
      </c>
      <c r="I213">
        <v>167.42</v>
      </c>
      <c r="J213" t="s">
        <v>318</v>
      </c>
      <c r="K213" t="s">
        <v>64</v>
      </c>
      <c r="L213" t="s">
        <v>1</v>
      </c>
      <c r="M213">
        <v>16453872</v>
      </c>
    </row>
    <row r="214" spans="1:14" x14ac:dyDescent="0.25">
      <c r="A214" t="s">
        <v>319</v>
      </c>
      <c r="B214" t="str">
        <f>"0902732965545819"</f>
        <v>0902732965545819</v>
      </c>
      <c r="C214">
        <v>965545819</v>
      </c>
      <c r="D214" t="s">
        <v>2</v>
      </c>
      <c r="E214" s="1">
        <v>42401</v>
      </c>
      <c r="G214">
        <v>580.38</v>
      </c>
      <c r="H214">
        <v>529</v>
      </c>
      <c r="I214">
        <v>51.38</v>
      </c>
      <c r="J214" t="s">
        <v>37</v>
      </c>
      <c r="K214" t="s">
        <v>64</v>
      </c>
      <c r="L214" t="s">
        <v>1</v>
      </c>
      <c r="M214">
        <v>16453872</v>
      </c>
    </row>
    <row r="215" spans="1:14" x14ac:dyDescent="0.25">
      <c r="A215" t="s">
        <v>320</v>
      </c>
      <c r="B215" t="str">
        <f>"0902728972459761"</f>
        <v>0902728972459761</v>
      </c>
      <c r="C215">
        <v>972459761</v>
      </c>
      <c r="D215" t="s">
        <v>12</v>
      </c>
      <c r="E215" s="1">
        <v>42401</v>
      </c>
      <c r="G215">
        <v>353.83</v>
      </c>
      <c r="H215">
        <v>317</v>
      </c>
      <c r="I215">
        <v>36.83</v>
      </c>
      <c r="J215" t="s">
        <v>15</v>
      </c>
      <c r="K215" t="s">
        <v>64</v>
      </c>
      <c r="L215" t="s">
        <v>1</v>
      </c>
      <c r="M215">
        <v>16453872</v>
      </c>
    </row>
    <row r="216" spans="1:14" x14ac:dyDescent="0.25">
      <c r="A216" t="s">
        <v>321</v>
      </c>
      <c r="B216" t="str">
        <f>"0902725913755783"</f>
        <v>0902725913755783</v>
      </c>
      <c r="C216">
        <v>913755783</v>
      </c>
      <c r="D216" t="s">
        <v>110</v>
      </c>
      <c r="E216" s="1">
        <v>42401</v>
      </c>
      <c r="G216">
        <v>469.06</v>
      </c>
      <c r="H216">
        <v>353</v>
      </c>
      <c r="I216">
        <v>116.06</v>
      </c>
      <c r="J216" t="s">
        <v>10</v>
      </c>
      <c r="K216" t="s">
        <v>64</v>
      </c>
      <c r="L216" t="s">
        <v>1</v>
      </c>
      <c r="M216">
        <v>16453872</v>
      </c>
    </row>
    <row r="217" spans="1:14" x14ac:dyDescent="0.25">
      <c r="A217" t="s">
        <v>322</v>
      </c>
      <c r="B217" t="str">
        <f>"0902682922400567"</f>
        <v>0902682922400567</v>
      </c>
      <c r="C217">
        <v>922400567</v>
      </c>
      <c r="D217" t="s">
        <v>9</v>
      </c>
      <c r="E217" s="1">
        <v>42401</v>
      </c>
      <c r="G217">
        <v>795.7</v>
      </c>
      <c r="H217">
        <v>732</v>
      </c>
      <c r="I217">
        <v>63.7</v>
      </c>
      <c r="J217" t="s">
        <v>10</v>
      </c>
      <c r="K217" t="s">
        <v>64</v>
      </c>
      <c r="L217" t="s">
        <v>1</v>
      </c>
      <c r="M217">
        <v>16453872</v>
      </c>
    </row>
    <row r="218" spans="1:14" x14ac:dyDescent="0.25">
      <c r="A218" t="s">
        <v>323</v>
      </c>
      <c r="B218" t="str">
        <f>"0902682946185416"</f>
        <v>0902682946185416</v>
      </c>
      <c r="C218">
        <v>946185416</v>
      </c>
      <c r="D218" t="s">
        <v>9</v>
      </c>
      <c r="E218" s="1">
        <v>42401</v>
      </c>
      <c r="G218">
        <v>640.37</v>
      </c>
      <c r="H218">
        <v>605</v>
      </c>
      <c r="I218">
        <v>35.369999999999997</v>
      </c>
      <c r="J218" t="s">
        <v>6</v>
      </c>
      <c r="K218" t="s">
        <v>64</v>
      </c>
      <c r="L218" t="s">
        <v>1</v>
      </c>
      <c r="M218">
        <v>16453872</v>
      </c>
    </row>
    <row r="219" spans="1:14" x14ac:dyDescent="0.25">
      <c r="A219" t="s">
        <v>324</v>
      </c>
      <c r="B219" t="str">
        <f>"0902683900141228"</f>
        <v>0902683900141228</v>
      </c>
      <c r="C219">
        <v>900141228</v>
      </c>
      <c r="D219" t="s">
        <v>5</v>
      </c>
      <c r="E219" s="1">
        <v>42401</v>
      </c>
      <c r="G219">
        <v>646.30999999999995</v>
      </c>
      <c r="H219">
        <v>598</v>
      </c>
      <c r="I219">
        <v>48.31</v>
      </c>
      <c r="J219" t="s">
        <v>6</v>
      </c>
      <c r="K219" t="s">
        <v>64</v>
      </c>
      <c r="L219" t="s">
        <v>1</v>
      </c>
      <c r="M219">
        <v>16453872</v>
      </c>
    </row>
    <row r="220" spans="1:14" x14ac:dyDescent="0.25">
      <c r="A220" t="s">
        <v>325</v>
      </c>
      <c r="B220" t="str">
        <f>"0902683904580482"</f>
        <v>0902683904580482</v>
      </c>
      <c r="C220">
        <v>904580482</v>
      </c>
      <c r="D220" t="s">
        <v>5</v>
      </c>
      <c r="E220" s="1">
        <v>42401</v>
      </c>
      <c r="G220">
        <v>314.27</v>
      </c>
      <c r="H220">
        <v>294</v>
      </c>
      <c r="I220">
        <v>20.27</v>
      </c>
      <c r="J220" t="s">
        <v>6</v>
      </c>
      <c r="K220" t="s">
        <v>64</v>
      </c>
      <c r="L220" t="s">
        <v>1</v>
      </c>
      <c r="M220">
        <v>16453872</v>
      </c>
    </row>
    <row r="221" spans="1:14" x14ac:dyDescent="0.25">
      <c r="A221" t="s">
        <v>326</v>
      </c>
      <c r="B221" t="str">
        <f>"0902683942579548"</f>
        <v>0902683942579548</v>
      </c>
      <c r="C221">
        <v>942579548</v>
      </c>
      <c r="D221" t="s">
        <v>5</v>
      </c>
      <c r="E221" s="1">
        <v>42401</v>
      </c>
      <c r="G221">
        <v>632.14</v>
      </c>
      <c r="H221">
        <v>612</v>
      </c>
      <c r="I221">
        <v>20.14</v>
      </c>
      <c r="J221" t="s">
        <v>6</v>
      </c>
      <c r="K221" t="s">
        <v>64</v>
      </c>
      <c r="L221" t="s">
        <v>1</v>
      </c>
      <c r="M221">
        <v>16453872</v>
      </c>
      <c r="N221" t="s">
        <v>327</v>
      </c>
    </row>
    <row r="222" spans="1:14" x14ac:dyDescent="0.25">
      <c r="A222" t="s">
        <v>328</v>
      </c>
      <c r="B222" t="str">
        <f>"0902683959748380"</f>
        <v>0902683959748380</v>
      </c>
      <c r="C222">
        <v>959748380</v>
      </c>
      <c r="D222" t="s">
        <v>5</v>
      </c>
      <c r="E222" s="1">
        <v>42401</v>
      </c>
      <c r="G222">
        <v>550.03</v>
      </c>
      <c r="H222">
        <v>437</v>
      </c>
      <c r="I222">
        <v>113.03</v>
      </c>
      <c r="J222" t="s">
        <v>4</v>
      </c>
      <c r="K222" t="s">
        <v>64</v>
      </c>
      <c r="L222" t="s">
        <v>1</v>
      </c>
      <c r="M222">
        <v>16453872</v>
      </c>
    </row>
    <row r="223" spans="1:14" x14ac:dyDescent="0.25">
      <c r="A223" t="s">
        <v>329</v>
      </c>
      <c r="B223" t="str">
        <f>"0902683965361264"</f>
        <v>0902683965361264</v>
      </c>
      <c r="C223">
        <v>965361264</v>
      </c>
      <c r="D223" t="s">
        <v>5</v>
      </c>
      <c r="E223" s="1">
        <v>42401</v>
      </c>
      <c r="G223">
        <v>942.83</v>
      </c>
      <c r="H223">
        <v>496</v>
      </c>
      <c r="I223">
        <v>446.83</v>
      </c>
      <c r="J223" t="s">
        <v>4</v>
      </c>
      <c r="K223" t="s">
        <v>64</v>
      </c>
      <c r="L223" t="s">
        <v>1</v>
      </c>
      <c r="M223">
        <v>16453872</v>
      </c>
      <c r="N223" t="s">
        <v>330</v>
      </c>
    </row>
    <row r="224" spans="1:14" x14ac:dyDescent="0.25">
      <c r="A224" t="s">
        <v>331</v>
      </c>
      <c r="B224" t="str">
        <f>"0902683968045067"</f>
        <v>0902683968045067</v>
      </c>
      <c r="C224">
        <v>968045067</v>
      </c>
      <c r="D224" t="s">
        <v>5</v>
      </c>
      <c r="E224" s="1">
        <v>42401</v>
      </c>
      <c r="G224">
        <v>325.62</v>
      </c>
      <c r="H224">
        <v>200</v>
      </c>
      <c r="I224">
        <v>125.62</v>
      </c>
      <c r="J224" t="s">
        <v>10</v>
      </c>
      <c r="K224" t="s">
        <v>64</v>
      </c>
      <c r="L224" t="s">
        <v>1</v>
      </c>
      <c r="M224">
        <v>16453872</v>
      </c>
    </row>
    <row r="225" spans="1:13" x14ac:dyDescent="0.25">
      <c r="A225" t="s">
        <v>332</v>
      </c>
      <c r="B225" t="str">
        <f>"0904957944077590"</f>
        <v>0904957944077590</v>
      </c>
      <c r="C225">
        <v>944077590</v>
      </c>
      <c r="D225" t="s">
        <v>317</v>
      </c>
      <c r="E225" s="1">
        <v>42370</v>
      </c>
      <c r="G225">
        <v>265.58999999999997</v>
      </c>
      <c r="H225">
        <v>264.10000000000002</v>
      </c>
      <c r="I225">
        <v>1.49</v>
      </c>
      <c r="J225" t="s">
        <v>333</v>
      </c>
      <c r="K225" t="s">
        <v>64</v>
      </c>
      <c r="L225" t="s">
        <v>1</v>
      </c>
      <c r="M225">
        <v>16453872</v>
      </c>
    </row>
    <row r="226" spans="1:13" x14ac:dyDescent="0.25">
      <c r="A226" t="s">
        <v>334</v>
      </c>
      <c r="B226" t="str">
        <f>"0904957947594940"</f>
        <v>0904957947594940</v>
      </c>
      <c r="C226">
        <v>947594940</v>
      </c>
      <c r="D226" t="s">
        <v>317</v>
      </c>
      <c r="E226" s="1">
        <v>42370</v>
      </c>
      <c r="G226">
        <v>553.94000000000005</v>
      </c>
      <c r="H226">
        <v>489</v>
      </c>
      <c r="I226">
        <v>64.94</v>
      </c>
      <c r="J226" t="s">
        <v>333</v>
      </c>
      <c r="K226" t="s">
        <v>64</v>
      </c>
      <c r="L226" t="s">
        <v>1</v>
      </c>
      <c r="M226">
        <v>16453872</v>
      </c>
    </row>
    <row r="227" spans="1:13" x14ac:dyDescent="0.25">
      <c r="A227" t="s">
        <v>335</v>
      </c>
      <c r="B227" t="str">
        <f>"0904957948280830"</f>
        <v>0904957948280830</v>
      </c>
      <c r="C227">
        <v>948280830</v>
      </c>
      <c r="D227" t="s">
        <v>317</v>
      </c>
      <c r="E227" s="1">
        <v>42370</v>
      </c>
      <c r="G227">
        <v>377.58</v>
      </c>
      <c r="H227">
        <v>370</v>
      </c>
      <c r="I227">
        <v>7.58</v>
      </c>
      <c r="J227" t="s">
        <v>333</v>
      </c>
      <c r="K227" t="s">
        <v>64</v>
      </c>
      <c r="L227" t="s">
        <v>1</v>
      </c>
      <c r="M227">
        <v>16453872</v>
      </c>
    </row>
    <row r="228" spans="1:13" x14ac:dyDescent="0.25">
      <c r="A228" t="s">
        <v>336</v>
      </c>
      <c r="B228" t="str">
        <f>"0904957948538327"</f>
        <v>0904957948538327</v>
      </c>
      <c r="C228">
        <v>948538327</v>
      </c>
      <c r="D228" t="s">
        <v>317</v>
      </c>
      <c r="E228" s="1">
        <v>42370</v>
      </c>
      <c r="G228">
        <v>550.44000000000005</v>
      </c>
      <c r="H228">
        <v>523</v>
      </c>
      <c r="I228">
        <v>27.44</v>
      </c>
      <c r="J228" t="s">
        <v>333</v>
      </c>
      <c r="K228" t="s">
        <v>64</v>
      </c>
      <c r="L228" t="s">
        <v>1</v>
      </c>
      <c r="M228">
        <v>16453872</v>
      </c>
    </row>
    <row r="229" spans="1:13" x14ac:dyDescent="0.25">
      <c r="A229" t="s">
        <v>337</v>
      </c>
      <c r="B229" t="str">
        <f>"0904957953700355"</f>
        <v>0904957953700355</v>
      </c>
      <c r="C229">
        <v>953700355</v>
      </c>
      <c r="D229" t="s">
        <v>317</v>
      </c>
      <c r="E229" s="1">
        <v>42370</v>
      </c>
      <c r="G229">
        <v>555.55999999999995</v>
      </c>
      <c r="H229">
        <v>480</v>
      </c>
      <c r="I229">
        <v>75.56</v>
      </c>
      <c r="J229" t="s">
        <v>318</v>
      </c>
      <c r="K229" t="s">
        <v>64</v>
      </c>
      <c r="L229" t="s">
        <v>1</v>
      </c>
      <c r="M229">
        <v>16453872</v>
      </c>
    </row>
    <row r="230" spans="1:13" x14ac:dyDescent="0.25">
      <c r="A230" t="s">
        <v>338</v>
      </c>
      <c r="B230" t="str">
        <f>"0904957955528135"</f>
        <v>0904957955528135</v>
      </c>
      <c r="C230">
        <v>955528135</v>
      </c>
      <c r="D230" t="s">
        <v>317</v>
      </c>
      <c r="E230" s="1">
        <v>42370</v>
      </c>
      <c r="G230">
        <v>573.77</v>
      </c>
      <c r="H230">
        <v>567</v>
      </c>
      <c r="I230">
        <v>6.77</v>
      </c>
      <c r="J230" t="s">
        <v>333</v>
      </c>
      <c r="K230" t="s">
        <v>64</v>
      </c>
      <c r="L230" t="s">
        <v>1</v>
      </c>
      <c r="M230">
        <v>16453872</v>
      </c>
    </row>
    <row r="231" spans="1:13" x14ac:dyDescent="0.25">
      <c r="A231" t="s">
        <v>339</v>
      </c>
      <c r="B231" t="str">
        <f>"0904957955781431"</f>
        <v>0904957955781431</v>
      </c>
      <c r="C231">
        <v>955781431</v>
      </c>
      <c r="D231" t="s">
        <v>317</v>
      </c>
      <c r="E231" s="1">
        <v>42370</v>
      </c>
      <c r="G231">
        <v>286.88</v>
      </c>
      <c r="H231">
        <v>271</v>
      </c>
      <c r="I231">
        <v>15.88</v>
      </c>
      <c r="J231" t="s">
        <v>333</v>
      </c>
      <c r="K231" t="s">
        <v>64</v>
      </c>
      <c r="L231" t="s">
        <v>1</v>
      </c>
      <c r="M231">
        <v>16453872</v>
      </c>
    </row>
    <row r="232" spans="1:13" x14ac:dyDescent="0.25">
      <c r="A232" t="s">
        <v>340</v>
      </c>
      <c r="B232" t="str">
        <f>"0904957931479424"</f>
        <v>0904957931479424</v>
      </c>
      <c r="C232">
        <v>931479424</v>
      </c>
      <c r="D232" t="s">
        <v>317</v>
      </c>
      <c r="E232" s="1">
        <v>42370</v>
      </c>
      <c r="G232">
        <v>607.38</v>
      </c>
      <c r="H232">
        <v>544</v>
      </c>
      <c r="I232">
        <v>63.38</v>
      </c>
      <c r="J232" t="s">
        <v>318</v>
      </c>
      <c r="K232" t="s">
        <v>64</v>
      </c>
      <c r="L232" t="s">
        <v>1</v>
      </c>
      <c r="M232">
        <v>16453872</v>
      </c>
    </row>
    <row r="233" spans="1:13" x14ac:dyDescent="0.25">
      <c r="A233" t="s">
        <v>341</v>
      </c>
      <c r="B233" t="str">
        <f>"0904957933058642"</f>
        <v>0904957933058642</v>
      </c>
      <c r="C233">
        <v>933058642</v>
      </c>
      <c r="D233" t="s">
        <v>317</v>
      </c>
      <c r="E233" s="1">
        <v>42370</v>
      </c>
      <c r="G233">
        <v>248.4</v>
      </c>
      <c r="H233">
        <v>224</v>
      </c>
      <c r="I233">
        <v>24.4</v>
      </c>
      <c r="J233" t="s">
        <v>333</v>
      </c>
      <c r="K233" t="s">
        <v>64</v>
      </c>
      <c r="L233" t="s">
        <v>1</v>
      </c>
      <c r="M233">
        <v>16453872</v>
      </c>
    </row>
    <row r="234" spans="1:13" x14ac:dyDescent="0.25">
      <c r="A234" t="s">
        <v>342</v>
      </c>
      <c r="B234" t="str">
        <f>"0904957936418405"</f>
        <v>0904957936418405</v>
      </c>
      <c r="C234">
        <v>936418405</v>
      </c>
      <c r="D234" t="s">
        <v>317</v>
      </c>
      <c r="E234" s="1">
        <v>42370</v>
      </c>
      <c r="G234">
        <v>538.66999999999996</v>
      </c>
      <c r="H234">
        <v>487</v>
      </c>
      <c r="I234">
        <v>51.67</v>
      </c>
      <c r="J234" t="s">
        <v>333</v>
      </c>
      <c r="K234" t="s">
        <v>64</v>
      </c>
      <c r="L234" t="s">
        <v>1</v>
      </c>
      <c r="M234">
        <v>16453872</v>
      </c>
    </row>
    <row r="235" spans="1:13" x14ac:dyDescent="0.25">
      <c r="A235" t="s">
        <v>343</v>
      </c>
      <c r="B235" t="str">
        <f>"0904957936547063"</f>
        <v>0904957936547063</v>
      </c>
      <c r="C235">
        <v>936547063</v>
      </c>
      <c r="D235" t="s">
        <v>317</v>
      </c>
      <c r="E235" s="1">
        <v>42370</v>
      </c>
      <c r="G235">
        <v>365.74</v>
      </c>
      <c r="H235">
        <v>358</v>
      </c>
      <c r="I235">
        <v>7.74</v>
      </c>
      <c r="J235" t="s">
        <v>333</v>
      </c>
      <c r="K235" t="s">
        <v>64</v>
      </c>
      <c r="L235" t="s">
        <v>1</v>
      </c>
      <c r="M235">
        <v>16453872</v>
      </c>
    </row>
    <row r="236" spans="1:13" x14ac:dyDescent="0.25">
      <c r="A236" t="s">
        <v>344</v>
      </c>
      <c r="B236" t="str">
        <f>"0904957938389671"</f>
        <v>0904957938389671</v>
      </c>
      <c r="C236">
        <v>938389671</v>
      </c>
      <c r="D236" t="s">
        <v>317</v>
      </c>
      <c r="E236" s="1">
        <v>42370</v>
      </c>
      <c r="G236">
        <v>1219.8399999999999</v>
      </c>
      <c r="H236">
        <v>1188</v>
      </c>
      <c r="I236">
        <v>31.84</v>
      </c>
      <c r="J236" t="s">
        <v>333</v>
      </c>
      <c r="K236" t="s">
        <v>64</v>
      </c>
      <c r="L236" t="s">
        <v>1</v>
      </c>
      <c r="M236">
        <v>16453872</v>
      </c>
    </row>
    <row r="237" spans="1:13" x14ac:dyDescent="0.25">
      <c r="A237" t="s">
        <v>345</v>
      </c>
      <c r="B237" t="str">
        <f>"0904957938479382"</f>
        <v>0904957938479382</v>
      </c>
      <c r="C237">
        <v>938479382</v>
      </c>
      <c r="D237" t="s">
        <v>317</v>
      </c>
      <c r="E237" s="1">
        <v>42370</v>
      </c>
      <c r="G237">
        <v>550.44000000000005</v>
      </c>
      <c r="H237">
        <v>474</v>
      </c>
      <c r="I237">
        <v>76.44</v>
      </c>
      <c r="J237" t="s">
        <v>318</v>
      </c>
      <c r="K237" t="s">
        <v>64</v>
      </c>
      <c r="L237" t="s">
        <v>1</v>
      </c>
      <c r="M237">
        <v>16453872</v>
      </c>
    </row>
    <row r="238" spans="1:13" x14ac:dyDescent="0.25">
      <c r="A238" t="s">
        <v>346</v>
      </c>
      <c r="B238" t="str">
        <f>"0904957941852207"</f>
        <v>0904957941852207</v>
      </c>
      <c r="C238">
        <v>941852207</v>
      </c>
      <c r="D238" t="s">
        <v>317</v>
      </c>
      <c r="E238" s="1">
        <v>42370</v>
      </c>
      <c r="G238">
        <v>1133.6400000000001</v>
      </c>
      <c r="H238">
        <v>992</v>
      </c>
      <c r="I238">
        <v>141.63999999999999</v>
      </c>
      <c r="J238" t="s">
        <v>333</v>
      </c>
      <c r="K238" t="s">
        <v>64</v>
      </c>
      <c r="L238" t="s">
        <v>1</v>
      </c>
      <c r="M238">
        <v>16453872</v>
      </c>
    </row>
    <row r="239" spans="1:13" x14ac:dyDescent="0.25">
      <c r="A239" t="s">
        <v>347</v>
      </c>
      <c r="B239" t="str">
        <f>"0904957922146184"</f>
        <v>0904957922146184</v>
      </c>
      <c r="C239">
        <v>922146184</v>
      </c>
      <c r="D239" t="s">
        <v>317</v>
      </c>
      <c r="E239" s="1">
        <v>42370</v>
      </c>
      <c r="G239">
        <v>341.61</v>
      </c>
      <c r="H239">
        <v>328</v>
      </c>
      <c r="I239">
        <v>13.61</v>
      </c>
      <c r="J239" t="s">
        <v>333</v>
      </c>
      <c r="K239" t="s">
        <v>64</v>
      </c>
      <c r="L239" t="s">
        <v>1</v>
      </c>
      <c r="M239">
        <v>16453872</v>
      </c>
    </row>
    <row r="240" spans="1:13" x14ac:dyDescent="0.25">
      <c r="A240" t="s">
        <v>348</v>
      </c>
      <c r="B240" t="str">
        <f>"0904957922986027"</f>
        <v>0904957922986027</v>
      </c>
      <c r="C240">
        <v>922986027</v>
      </c>
      <c r="D240" t="s">
        <v>317</v>
      </c>
      <c r="E240" s="1">
        <v>42370</v>
      </c>
      <c r="G240">
        <v>765.18</v>
      </c>
      <c r="H240">
        <v>760.9</v>
      </c>
      <c r="I240">
        <v>4.28</v>
      </c>
      <c r="J240" t="s">
        <v>333</v>
      </c>
      <c r="K240" t="s">
        <v>64</v>
      </c>
      <c r="L240" t="s">
        <v>1</v>
      </c>
      <c r="M240">
        <v>16453872</v>
      </c>
    </row>
    <row r="241" spans="1:13" x14ac:dyDescent="0.25">
      <c r="A241" t="s">
        <v>349</v>
      </c>
      <c r="B241" t="str">
        <f>"0904957918744642"</f>
        <v>0904957918744642</v>
      </c>
      <c r="C241">
        <v>918744642</v>
      </c>
      <c r="D241" t="s">
        <v>317</v>
      </c>
      <c r="E241" s="1">
        <v>42370</v>
      </c>
      <c r="G241">
        <v>567.55999999999995</v>
      </c>
      <c r="H241">
        <v>566</v>
      </c>
      <c r="I241">
        <v>1.56</v>
      </c>
      <c r="J241" t="s">
        <v>333</v>
      </c>
      <c r="K241" t="s">
        <v>64</v>
      </c>
      <c r="L241" t="s">
        <v>1</v>
      </c>
      <c r="M241">
        <v>16453872</v>
      </c>
    </row>
    <row r="242" spans="1:13" x14ac:dyDescent="0.25">
      <c r="A242" t="s">
        <v>350</v>
      </c>
      <c r="B242" t="str">
        <f>"0904957913678092"</f>
        <v>0904957913678092</v>
      </c>
      <c r="C242">
        <v>913678092</v>
      </c>
      <c r="D242" t="s">
        <v>317</v>
      </c>
      <c r="E242" s="1">
        <v>42370</v>
      </c>
      <c r="G242">
        <v>1088.97</v>
      </c>
      <c r="H242">
        <v>852</v>
      </c>
      <c r="I242">
        <v>236.97</v>
      </c>
      <c r="J242" t="s">
        <v>351</v>
      </c>
      <c r="K242" t="s">
        <v>64</v>
      </c>
      <c r="L242" t="s">
        <v>1</v>
      </c>
      <c r="M242">
        <v>16453872</v>
      </c>
    </row>
    <row r="243" spans="1:13" x14ac:dyDescent="0.25">
      <c r="A243" t="s">
        <v>352</v>
      </c>
      <c r="B243" t="str">
        <f>"0904957914451193"</f>
        <v>0904957914451193</v>
      </c>
      <c r="C243">
        <v>914451193</v>
      </c>
      <c r="D243" t="s">
        <v>317</v>
      </c>
      <c r="E243" s="1">
        <v>42370</v>
      </c>
      <c r="G243">
        <v>237.01</v>
      </c>
      <c r="H243">
        <v>220</v>
      </c>
      <c r="I243">
        <v>17.010000000000002</v>
      </c>
      <c r="J243" t="s">
        <v>333</v>
      </c>
      <c r="K243" t="s">
        <v>64</v>
      </c>
      <c r="L243" t="s">
        <v>1</v>
      </c>
      <c r="M243">
        <v>16453872</v>
      </c>
    </row>
    <row r="244" spans="1:13" x14ac:dyDescent="0.25">
      <c r="A244" t="s">
        <v>353</v>
      </c>
      <c r="B244" t="str">
        <f>"0904957916773026"</f>
        <v>0904957916773026</v>
      </c>
      <c r="C244">
        <v>916773026</v>
      </c>
      <c r="D244" t="s">
        <v>317</v>
      </c>
      <c r="E244" s="1">
        <v>42370</v>
      </c>
      <c r="G244">
        <v>1051.23</v>
      </c>
      <c r="H244">
        <v>969</v>
      </c>
      <c r="I244">
        <v>82.23</v>
      </c>
      <c r="J244" t="s">
        <v>333</v>
      </c>
      <c r="K244" t="s">
        <v>64</v>
      </c>
      <c r="L244" t="s">
        <v>1</v>
      </c>
      <c r="M244">
        <v>16453872</v>
      </c>
    </row>
    <row r="245" spans="1:13" x14ac:dyDescent="0.25">
      <c r="A245" t="s">
        <v>354</v>
      </c>
      <c r="B245" t="str">
        <f>"0902732979352508"</f>
        <v>0902732979352508</v>
      </c>
      <c r="C245">
        <v>979352508</v>
      </c>
      <c r="D245" t="s">
        <v>2</v>
      </c>
      <c r="E245" s="1">
        <v>42370</v>
      </c>
      <c r="G245">
        <v>708.11</v>
      </c>
      <c r="H245">
        <v>651</v>
      </c>
      <c r="I245">
        <v>57.11</v>
      </c>
      <c r="J245" t="s">
        <v>36</v>
      </c>
      <c r="K245" t="s">
        <v>64</v>
      </c>
      <c r="L245" t="s">
        <v>1</v>
      </c>
      <c r="M245">
        <v>16453872</v>
      </c>
    </row>
    <row r="246" spans="1:13" x14ac:dyDescent="0.25">
      <c r="A246" t="s">
        <v>355</v>
      </c>
      <c r="B246" t="str">
        <f>"0904955965684213"</f>
        <v>0904955965684213</v>
      </c>
      <c r="C246">
        <v>965684213</v>
      </c>
      <c r="D246" t="s">
        <v>356</v>
      </c>
      <c r="E246" s="1">
        <v>42370</v>
      </c>
      <c r="G246">
        <v>213.39</v>
      </c>
      <c r="H246">
        <v>182</v>
      </c>
      <c r="I246">
        <v>31.39</v>
      </c>
      <c r="J246" t="s">
        <v>21</v>
      </c>
      <c r="K246" t="s">
        <v>64</v>
      </c>
      <c r="L246" t="s">
        <v>1</v>
      </c>
      <c r="M246">
        <v>16453872</v>
      </c>
    </row>
    <row r="247" spans="1:13" x14ac:dyDescent="0.25">
      <c r="A247" t="s">
        <v>357</v>
      </c>
      <c r="B247" t="str">
        <f>"0904956955655703"</f>
        <v>0904956955655703</v>
      </c>
      <c r="C247">
        <v>955655703</v>
      </c>
      <c r="D247" t="s">
        <v>358</v>
      </c>
      <c r="E247" s="1">
        <v>42370</v>
      </c>
      <c r="G247">
        <v>1026.9000000000001</v>
      </c>
      <c r="H247">
        <v>493</v>
      </c>
      <c r="I247">
        <v>533.9</v>
      </c>
      <c r="J247" t="s">
        <v>26</v>
      </c>
      <c r="K247" t="s">
        <v>64</v>
      </c>
      <c r="L247" t="s">
        <v>1</v>
      </c>
      <c r="M247">
        <v>16453872</v>
      </c>
    </row>
    <row r="248" spans="1:13" x14ac:dyDescent="0.25">
      <c r="A248" t="s">
        <v>359</v>
      </c>
      <c r="B248" t="str">
        <f>"0904957901980149"</f>
        <v>0904957901980149</v>
      </c>
      <c r="C248">
        <v>901980149</v>
      </c>
      <c r="D248" t="s">
        <v>317</v>
      </c>
      <c r="E248" s="1">
        <v>42370</v>
      </c>
      <c r="G248">
        <v>550.44000000000005</v>
      </c>
      <c r="H248">
        <v>483</v>
      </c>
      <c r="I248">
        <v>67.44</v>
      </c>
      <c r="J248" t="s">
        <v>318</v>
      </c>
      <c r="K248" t="s">
        <v>64</v>
      </c>
      <c r="L248" t="s">
        <v>1</v>
      </c>
      <c r="M248">
        <v>16453872</v>
      </c>
    </row>
    <row r="249" spans="1:13" x14ac:dyDescent="0.25">
      <c r="A249" t="s">
        <v>360</v>
      </c>
      <c r="B249" t="str">
        <f>"0904957902864973"</f>
        <v>0904957902864973</v>
      </c>
      <c r="C249">
        <v>902864973</v>
      </c>
      <c r="D249" t="s">
        <v>317</v>
      </c>
      <c r="E249" s="1">
        <v>42370</v>
      </c>
      <c r="G249">
        <v>525.95000000000005</v>
      </c>
      <c r="H249">
        <v>435</v>
      </c>
      <c r="I249">
        <v>90.95</v>
      </c>
      <c r="J249" t="s">
        <v>318</v>
      </c>
      <c r="K249" t="s">
        <v>64</v>
      </c>
      <c r="L249" t="s">
        <v>1</v>
      </c>
      <c r="M249">
        <v>16453872</v>
      </c>
    </row>
    <row r="250" spans="1:13" x14ac:dyDescent="0.25">
      <c r="A250" t="s">
        <v>361</v>
      </c>
      <c r="B250" t="str">
        <f>"0904957904604774"</f>
        <v>0904957904604774</v>
      </c>
      <c r="C250">
        <v>904604774</v>
      </c>
      <c r="D250" t="s">
        <v>317</v>
      </c>
      <c r="E250" s="1">
        <v>42370</v>
      </c>
      <c r="G250">
        <v>417.92</v>
      </c>
      <c r="H250">
        <v>412</v>
      </c>
      <c r="I250">
        <v>5.92</v>
      </c>
      <c r="J250" t="s">
        <v>333</v>
      </c>
      <c r="K250" t="s">
        <v>64</v>
      </c>
      <c r="L250" t="s">
        <v>1</v>
      </c>
      <c r="M250">
        <v>16453872</v>
      </c>
    </row>
    <row r="251" spans="1:13" x14ac:dyDescent="0.25">
      <c r="A251" t="s">
        <v>362</v>
      </c>
      <c r="B251" t="str">
        <f>"0904957905318847"</f>
        <v>0904957905318847</v>
      </c>
      <c r="C251">
        <v>905318847</v>
      </c>
      <c r="D251" t="s">
        <v>317</v>
      </c>
      <c r="E251" s="1">
        <v>42370</v>
      </c>
      <c r="G251">
        <v>515.21</v>
      </c>
      <c r="H251">
        <v>512</v>
      </c>
      <c r="I251">
        <v>3.21</v>
      </c>
      <c r="J251" t="s">
        <v>333</v>
      </c>
      <c r="K251" t="s">
        <v>64</v>
      </c>
      <c r="L251" t="s">
        <v>1</v>
      </c>
      <c r="M251">
        <v>16453872</v>
      </c>
    </row>
    <row r="252" spans="1:13" x14ac:dyDescent="0.25">
      <c r="A252" t="s">
        <v>363</v>
      </c>
      <c r="B252" t="str">
        <f>"0904957906566221"</f>
        <v>0904957906566221</v>
      </c>
      <c r="C252">
        <v>906566221</v>
      </c>
      <c r="D252" t="s">
        <v>317</v>
      </c>
      <c r="E252" s="1">
        <v>42370</v>
      </c>
      <c r="G252">
        <v>264</v>
      </c>
      <c r="H252">
        <v>251</v>
      </c>
      <c r="I252">
        <v>13</v>
      </c>
      <c r="J252" t="s">
        <v>333</v>
      </c>
      <c r="K252" t="s">
        <v>64</v>
      </c>
      <c r="L252" t="s">
        <v>1</v>
      </c>
      <c r="M252">
        <v>16453872</v>
      </c>
    </row>
    <row r="253" spans="1:13" x14ac:dyDescent="0.25">
      <c r="A253" t="s">
        <v>364</v>
      </c>
      <c r="B253" t="str">
        <f>"0904957909564577"</f>
        <v>0904957909564577</v>
      </c>
      <c r="C253">
        <v>909564577</v>
      </c>
      <c r="D253" t="s">
        <v>317</v>
      </c>
      <c r="E253" s="1">
        <v>42370</v>
      </c>
      <c r="G253">
        <v>647.42999999999995</v>
      </c>
      <c r="H253">
        <v>627</v>
      </c>
      <c r="I253">
        <v>20.43</v>
      </c>
      <c r="J253" t="s">
        <v>365</v>
      </c>
      <c r="K253" t="s">
        <v>64</v>
      </c>
      <c r="L253" t="s">
        <v>1</v>
      </c>
      <c r="M253">
        <v>16453872</v>
      </c>
    </row>
    <row r="254" spans="1:13" x14ac:dyDescent="0.25">
      <c r="A254" t="s">
        <v>366</v>
      </c>
      <c r="B254" t="str">
        <f>"0904962965112372"</f>
        <v>0904962965112372</v>
      </c>
      <c r="C254">
        <v>965112372</v>
      </c>
      <c r="D254" t="s">
        <v>367</v>
      </c>
      <c r="E254" s="1">
        <v>42370</v>
      </c>
      <c r="G254">
        <v>427.7</v>
      </c>
      <c r="H254">
        <v>368</v>
      </c>
      <c r="I254">
        <v>59.7</v>
      </c>
      <c r="J254" t="s">
        <v>21</v>
      </c>
      <c r="K254" t="s">
        <v>64</v>
      </c>
      <c r="L254" t="s">
        <v>1</v>
      </c>
      <c r="M254">
        <v>16453872</v>
      </c>
    </row>
    <row r="255" spans="1:13" x14ac:dyDescent="0.25">
      <c r="A255" t="s">
        <v>368</v>
      </c>
      <c r="B255" t="str">
        <f>"0904960971530142"</f>
        <v>0904960971530142</v>
      </c>
      <c r="C255">
        <v>971530142</v>
      </c>
      <c r="D255" t="s">
        <v>369</v>
      </c>
      <c r="E255" s="1">
        <v>42370</v>
      </c>
      <c r="G255">
        <v>437.92</v>
      </c>
      <c r="H255">
        <v>277</v>
      </c>
      <c r="I255">
        <v>160.91999999999999</v>
      </c>
      <c r="J255" t="s">
        <v>50</v>
      </c>
      <c r="K255" t="s">
        <v>64</v>
      </c>
      <c r="L255" t="s">
        <v>1</v>
      </c>
      <c r="M255">
        <v>16453872</v>
      </c>
    </row>
    <row r="256" spans="1:13" x14ac:dyDescent="0.25">
      <c r="A256" t="s">
        <v>370</v>
      </c>
      <c r="B256" t="str">
        <f>"0904960975352136"</f>
        <v>0904960975352136</v>
      </c>
      <c r="C256">
        <v>975352136</v>
      </c>
      <c r="D256" t="s">
        <v>369</v>
      </c>
      <c r="E256" s="1">
        <v>42370</v>
      </c>
      <c r="G256">
        <v>229.38</v>
      </c>
      <c r="H256">
        <v>193</v>
      </c>
      <c r="I256">
        <v>36.380000000000003</v>
      </c>
      <c r="J256" t="s">
        <v>21</v>
      </c>
      <c r="K256" t="s">
        <v>64</v>
      </c>
      <c r="L256" t="s">
        <v>1</v>
      </c>
      <c r="M256">
        <v>16453872</v>
      </c>
    </row>
    <row r="257" spans="1:14" x14ac:dyDescent="0.25">
      <c r="A257" t="s">
        <v>371</v>
      </c>
      <c r="B257" t="str">
        <f>"0904961961653161"</f>
        <v>0904961961653161</v>
      </c>
      <c r="C257">
        <v>961653161</v>
      </c>
      <c r="D257" t="s">
        <v>372</v>
      </c>
      <c r="E257" s="1">
        <v>42370</v>
      </c>
      <c r="G257">
        <v>478.04</v>
      </c>
      <c r="H257">
        <v>439</v>
      </c>
      <c r="I257">
        <v>39.04</v>
      </c>
      <c r="J257" t="s">
        <v>20</v>
      </c>
      <c r="K257" t="s">
        <v>64</v>
      </c>
      <c r="L257" t="s">
        <v>1</v>
      </c>
      <c r="M257">
        <v>16453872</v>
      </c>
    </row>
    <row r="258" spans="1:14" x14ac:dyDescent="0.25">
      <c r="A258" t="s">
        <v>373</v>
      </c>
      <c r="B258" t="str">
        <f>"0904960917730167"</f>
        <v>0904960917730167</v>
      </c>
      <c r="C258">
        <v>917730167</v>
      </c>
      <c r="D258" t="s">
        <v>369</v>
      </c>
      <c r="E258" s="1">
        <v>42370</v>
      </c>
      <c r="G258">
        <v>282.94</v>
      </c>
      <c r="H258">
        <v>259</v>
      </c>
      <c r="I258">
        <v>23.94</v>
      </c>
      <c r="J258" t="s">
        <v>59</v>
      </c>
      <c r="K258" t="s">
        <v>64</v>
      </c>
      <c r="L258" t="s">
        <v>1</v>
      </c>
      <c r="M258">
        <v>16453872</v>
      </c>
    </row>
    <row r="259" spans="1:14" x14ac:dyDescent="0.25">
      <c r="A259" t="s">
        <v>374</v>
      </c>
      <c r="B259" t="str">
        <f>"0904960920249386"</f>
        <v>0904960920249386</v>
      </c>
      <c r="C259">
        <v>920249386</v>
      </c>
      <c r="D259" t="s">
        <v>369</v>
      </c>
      <c r="E259" s="1">
        <v>42370</v>
      </c>
      <c r="G259">
        <v>471.24</v>
      </c>
      <c r="H259">
        <v>463</v>
      </c>
      <c r="I259">
        <v>8.24</v>
      </c>
      <c r="J259" t="s">
        <v>20</v>
      </c>
      <c r="K259" t="s">
        <v>64</v>
      </c>
      <c r="L259" t="s">
        <v>1</v>
      </c>
      <c r="M259">
        <v>16453872</v>
      </c>
    </row>
    <row r="260" spans="1:14" x14ac:dyDescent="0.25">
      <c r="A260" t="s">
        <v>375</v>
      </c>
      <c r="B260" t="str">
        <f>"0904960905169004"</f>
        <v>0904960905169004</v>
      </c>
      <c r="C260">
        <v>905169004</v>
      </c>
      <c r="D260" t="s">
        <v>369</v>
      </c>
      <c r="E260" s="1">
        <v>42370</v>
      </c>
      <c r="G260">
        <v>535.34</v>
      </c>
      <c r="H260">
        <v>376</v>
      </c>
      <c r="I260">
        <v>159.34</v>
      </c>
      <c r="J260" t="s">
        <v>21</v>
      </c>
      <c r="K260" t="s">
        <v>64</v>
      </c>
      <c r="L260" t="s">
        <v>1</v>
      </c>
      <c r="M260">
        <v>16453872</v>
      </c>
    </row>
    <row r="261" spans="1:14" x14ac:dyDescent="0.25">
      <c r="A261" t="s">
        <v>376</v>
      </c>
      <c r="B261" t="str">
        <f>"0904957969993701"</f>
        <v>0904957969993701</v>
      </c>
      <c r="C261">
        <v>969993701</v>
      </c>
      <c r="D261" t="s">
        <v>317</v>
      </c>
      <c r="E261" s="1">
        <v>42370</v>
      </c>
      <c r="G261">
        <v>550.29999999999995</v>
      </c>
      <c r="H261">
        <v>527</v>
      </c>
      <c r="I261">
        <v>23.3</v>
      </c>
      <c r="J261" t="s">
        <v>333</v>
      </c>
      <c r="K261" t="s">
        <v>64</v>
      </c>
      <c r="L261" t="s">
        <v>1</v>
      </c>
      <c r="M261">
        <v>16453872</v>
      </c>
    </row>
    <row r="262" spans="1:14" x14ac:dyDescent="0.25">
      <c r="A262" t="s">
        <v>377</v>
      </c>
      <c r="B262" t="str">
        <f>"0904957967598454"</f>
        <v>0904957967598454</v>
      </c>
      <c r="C262">
        <v>967598454</v>
      </c>
      <c r="D262" t="s">
        <v>317</v>
      </c>
      <c r="E262" s="1">
        <v>42370</v>
      </c>
      <c r="G262">
        <v>465.51</v>
      </c>
      <c r="H262">
        <v>450</v>
      </c>
      <c r="I262">
        <v>15.51</v>
      </c>
      <c r="J262" t="s">
        <v>333</v>
      </c>
      <c r="K262" t="s">
        <v>64</v>
      </c>
      <c r="L262" t="s">
        <v>1</v>
      </c>
      <c r="M262">
        <v>16453872</v>
      </c>
    </row>
    <row r="263" spans="1:14" x14ac:dyDescent="0.25">
      <c r="A263" t="s">
        <v>378</v>
      </c>
      <c r="B263" t="str">
        <f>"0904957946259516"</f>
        <v>0904957946259516</v>
      </c>
      <c r="C263">
        <v>946259516</v>
      </c>
      <c r="D263" t="s">
        <v>317</v>
      </c>
      <c r="E263" s="1">
        <v>42370</v>
      </c>
      <c r="G263">
        <v>234.94</v>
      </c>
      <c r="H263">
        <v>220</v>
      </c>
      <c r="I263">
        <v>14.94</v>
      </c>
      <c r="J263" t="s">
        <v>333</v>
      </c>
      <c r="K263" t="s">
        <v>64</v>
      </c>
      <c r="L263" t="s">
        <v>1</v>
      </c>
      <c r="M263">
        <v>16453872</v>
      </c>
    </row>
    <row r="264" spans="1:14" x14ac:dyDescent="0.25">
      <c r="A264" t="s">
        <v>379</v>
      </c>
      <c r="B264" t="str">
        <f>"0904957947172002"</f>
        <v>0904957947172002</v>
      </c>
      <c r="C264">
        <v>947172002</v>
      </c>
      <c r="D264" t="s">
        <v>317</v>
      </c>
      <c r="E264" s="1">
        <v>42370</v>
      </c>
      <c r="G264">
        <v>535.77</v>
      </c>
      <c r="H264">
        <v>222</v>
      </c>
      <c r="I264">
        <v>313.77</v>
      </c>
      <c r="J264" t="s">
        <v>380</v>
      </c>
      <c r="K264" t="s">
        <v>64</v>
      </c>
      <c r="L264" t="s">
        <v>1</v>
      </c>
      <c r="M264">
        <v>16453872</v>
      </c>
      <c r="N264" t="s">
        <v>381</v>
      </c>
    </row>
    <row r="265" spans="1:14" x14ac:dyDescent="0.25">
      <c r="A265" t="s">
        <v>344</v>
      </c>
      <c r="B265" t="str">
        <f>"0904957959059965"</f>
        <v>0904957959059965</v>
      </c>
      <c r="C265">
        <v>959059965</v>
      </c>
      <c r="D265" t="s">
        <v>317</v>
      </c>
      <c r="E265" s="1">
        <v>42370</v>
      </c>
      <c r="G265">
        <v>1219.8399999999999</v>
      </c>
      <c r="H265">
        <v>1188</v>
      </c>
      <c r="I265">
        <v>31.84</v>
      </c>
      <c r="J265" t="s">
        <v>333</v>
      </c>
      <c r="K265" t="s">
        <v>64</v>
      </c>
      <c r="L265" t="s">
        <v>1</v>
      </c>
      <c r="M265">
        <v>16453872</v>
      </c>
    </row>
    <row r="266" spans="1:14" x14ac:dyDescent="0.25">
      <c r="A266" t="s">
        <v>382</v>
      </c>
      <c r="B266" t="str">
        <f>"0904957960436705"</f>
        <v>0904957960436705</v>
      </c>
      <c r="C266">
        <v>960436705</v>
      </c>
      <c r="D266" t="s">
        <v>317</v>
      </c>
      <c r="E266" s="1">
        <v>42370</v>
      </c>
      <c r="G266">
        <v>228.51</v>
      </c>
      <c r="H266">
        <v>216</v>
      </c>
      <c r="I266">
        <v>12.51</v>
      </c>
      <c r="J266" t="s">
        <v>333</v>
      </c>
      <c r="K266" t="s">
        <v>64</v>
      </c>
      <c r="L266" t="s">
        <v>1</v>
      </c>
      <c r="M266">
        <v>16453872</v>
      </c>
    </row>
    <row r="267" spans="1:14" x14ac:dyDescent="0.25">
      <c r="A267" t="s">
        <v>383</v>
      </c>
      <c r="B267" t="str">
        <f>"0904957963669669"</f>
        <v>0904957963669669</v>
      </c>
      <c r="C267">
        <v>963669669</v>
      </c>
      <c r="D267" t="s">
        <v>317</v>
      </c>
      <c r="E267" s="1">
        <v>42370</v>
      </c>
      <c r="G267">
        <v>465.51</v>
      </c>
      <c r="H267">
        <v>461</v>
      </c>
      <c r="I267">
        <v>4.51</v>
      </c>
      <c r="J267" t="s">
        <v>333</v>
      </c>
      <c r="K267" t="s">
        <v>64</v>
      </c>
      <c r="L267" t="s">
        <v>1</v>
      </c>
      <c r="M267">
        <v>16453872</v>
      </c>
    </row>
    <row r="268" spans="1:14" x14ac:dyDescent="0.25">
      <c r="A268" t="s">
        <v>384</v>
      </c>
      <c r="B268" t="str">
        <f>"0904957964187691"</f>
        <v>0904957964187691</v>
      </c>
      <c r="C268">
        <v>964187691</v>
      </c>
      <c r="D268" t="s">
        <v>317</v>
      </c>
      <c r="E268" s="1">
        <v>42370</v>
      </c>
      <c r="G268">
        <v>451.41</v>
      </c>
      <c r="H268">
        <v>402</v>
      </c>
      <c r="I268">
        <v>49.41</v>
      </c>
      <c r="J268" t="s">
        <v>333</v>
      </c>
      <c r="K268" t="s">
        <v>64</v>
      </c>
      <c r="L268" t="s">
        <v>1</v>
      </c>
      <c r="M268">
        <v>16453872</v>
      </c>
    </row>
    <row r="269" spans="1:14" x14ac:dyDescent="0.25">
      <c r="A269" t="s">
        <v>385</v>
      </c>
      <c r="B269" t="str">
        <f>"0902732978918143"</f>
        <v>0902732978918143</v>
      </c>
      <c r="C269">
        <v>978918143</v>
      </c>
      <c r="D269" t="s">
        <v>2</v>
      </c>
      <c r="E269" s="1">
        <v>42370</v>
      </c>
      <c r="G269">
        <v>248.51</v>
      </c>
      <c r="H269">
        <v>177</v>
      </c>
      <c r="I269">
        <v>71.510000000000005</v>
      </c>
      <c r="J269" t="s">
        <v>40</v>
      </c>
      <c r="K269" t="s">
        <v>64</v>
      </c>
      <c r="L269" t="s">
        <v>1</v>
      </c>
      <c r="M269">
        <v>16453872</v>
      </c>
    </row>
    <row r="270" spans="1:14" x14ac:dyDescent="0.25">
      <c r="A270" t="s">
        <v>386</v>
      </c>
      <c r="B270" t="str">
        <f>"0902732970070575"</f>
        <v>0902732970070575</v>
      </c>
      <c r="C270">
        <v>970070575</v>
      </c>
      <c r="D270" t="s">
        <v>2</v>
      </c>
      <c r="E270" s="1">
        <v>42370</v>
      </c>
      <c r="G270">
        <v>246.29</v>
      </c>
      <c r="H270">
        <v>214</v>
      </c>
      <c r="I270">
        <v>32.29</v>
      </c>
      <c r="J270" t="s">
        <v>35</v>
      </c>
      <c r="K270" t="s">
        <v>64</v>
      </c>
      <c r="L270" t="s">
        <v>1</v>
      </c>
      <c r="M270">
        <v>16453872</v>
      </c>
    </row>
    <row r="271" spans="1:14" x14ac:dyDescent="0.25">
      <c r="A271" t="s">
        <v>387</v>
      </c>
      <c r="B271" t="str">
        <f>"0902732967270081"</f>
        <v>0902732967270081</v>
      </c>
      <c r="C271">
        <v>967270081</v>
      </c>
      <c r="D271" t="s">
        <v>2</v>
      </c>
      <c r="E271" s="1">
        <v>42370</v>
      </c>
      <c r="G271">
        <v>302.39</v>
      </c>
      <c r="H271">
        <v>279</v>
      </c>
      <c r="I271">
        <v>23.39</v>
      </c>
      <c r="J271" t="s">
        <v>36</v>
      </c>
      <c r="K271" t="s">
        <v>64</v>
      </c>
      <c r="L271" t="s">
        <v>1</v>
      </c>
      <c r="M271">
        <v>16453872</v>
      </c>
    </row>
    <row r="272" spans="1:14" x14ac:dyDescent="0.25">
      <c r="A272" t="s">
        <v>388</v>
      </c>
      <c r="B272" t="str">
        <f>"0902732971435614"</f>
        <v>0902732971435614</v>
      </c>
      <c r="C272">
        <v>971435614</v>
      </c>
      <c r="D272" t="s">
        <v>2</v>
      </c>
      <c r="E272" s="1">
        <v>42370</v>
      </c>
      <c r="G272">
        <v>358.12</v>
      </c>
      <c r="H272">
        <v>345</v>
      </c>
      <c r="I272">
        <v>13.12</v>
      </c>
      <c r="J272" t="s">
        <v>40</v>
      </c>
      <c r="K272" t="s">
        <v>64</v>
      </c>
      <c r="L272" t="s">
        <v>1</v>
      </c>
      <c r="M272">
        <v>16453872</v>
      </c>
    </row>
    <row r="273" spans="1:14" x14ac:dyDescent="0.25">
      <c r="A273" t="s">
        <v>389</v>
      </c>
      <c r="B273" t="str">
        <f>"0902732961950226"</f>
        <v>0902732961950226</v>
      </c>
      <c r="C273">
        <v>961950226</v>
      </c>
      <c r="D273" t="s">
        <v>2</v>
      </c>
      <c r="E273" s="1">
        <v>42370</v>
      </c>
      <c r="G273">
        <v>416.65</v>
      </c>
      <c r="H273">
        <v>326</v>
      </c>
      <c r="I273">
        <v>90.65</v>
      </c>
      <c r="J273" t="s">
        <v>36</v>
      </c>
      <c r="K273" t="s">
        <v>64</v>
      </c>
      <c r="L273" t="s">
        <v>1</v>
      </c>
      <c r="M273">
        <v>16453872</v>
      </c>
    </row>
    <row r="274" spans="1:14" x14ac:dyDescent="0.25">
      <c r="A274" t="s">
        <v>390</v>
      </c>
      <c r="B274" t="str">
        <f>"0902732958587656"</f>
        <v>0902732958587656</v>
      </c>
      <c r="C274">
        <v>958587656</v>
      </c>
      <c r="D274" t="s">
        <v>2</v>
      </c>
      <c r="E274" s="1">
        <v>42370</v>
      </c>
      <c r="G274">
        <v>924.88</v>
      </c>
      <c r="H274">
        <v>298</v>
      </c>
      <c r="I274">
        <v>626.88</v>
      </c>
      <c r="J274" t="s">
        <v>56</v>
      </c>
      <c r="K274" t="s">
        <v>64</v>
      </c>
      <c r="L274" t="s">
        <v>1</v>
      </c>
      <c r="M274">
        <v>16453872</v>
      </c>
    </row>
    <row r="275" spans="1:14" x14ac:dyDescent="0.25">
      <c r="A275" t="s">
        <v>391</v>
      </c>
      <c r="B275" t="str">
        <f>"0902732951434194"</f>
        <v>0902732951434194</v>
      </c>
      <c r="C275">
        <v>951434194</v>
      </c>
      <c r="D275" t="s">
        <v>2</v>
      </c>
      <c r="E275" s="1">
        <v>42370</v>
      </c>
      <c r="G275">
        <v>273.64</v>
      </c>
      <c r="H275">
        <v>177</v>
      </c>
      <c r="I275">
        <v>96.64</v>
      </c>
      <c r="J275" t="s">
        <v>37</v>
      </c>
      <c r="K275" t="s">
        <v>64</v>
      </c>
      <c r="L275" t="s">
        <v>1</v>
      </c>
      <c r="M275">
        <v>16453872</v>
      </c>
    </row>
    <row r="276" spans="1:14" x14ac:dyDescent="0.25">
      <c r="A276" t="s">
        <v>61</v>
      </c>
      <c r="B276" t="str">
        <f>"0902683937503269"</f>
        <v>0902683937503269</v>
      </c>
      <c r="C276">
        <v>937503269</v>
      </c>
      <c r="D276" t="s">
        <v>5</v>
      </c>
      <c r="E276" s="1">
        <v>42156</v>
      </c>
      <c r="G276">
        <v>677.77</v>
      </c>
      <c r="H276">
        <v>646</v>
      </c>
      <c r="I276">
        <v>31.77</v>
      </c>
      <c r="J276" t="s">
        <v>392</v>
      </c>
      <c r="K276" t="s">
        <v>64</v>
      </c>
      <c r="L276" t="s">
        <v>1</v>
      </c>
      <c r="M276">
        <v>16453872</v>
      </c>
    </row>
    <row r="277" spans="1:14" x14ac:dyDescent="0.25">
      <c r="A277" t="s">
        <v>393</v>
      </c>
      <c r="B277" t="str">
        <f>"0902683942624751"</f>
        <v>0902683942624751</v>
      </c>
      <c r="C277">
        <v>942624751</v>
      </c>
      <c r="D277" t="s">
        <v>5</v>
      </c>
      <c r="E277" s="1">
        <v>42156</v>
      </c>
      <c r="F277" s="1">
        <v>42185</v>
      </c>
      <c r="G277">
        <v>251.18</v>
      </c>
      <c r="H277">
        <v>222</v>
      </c>
      <c r="I277">
        <v>29.18</v>
      </c>
      <c r="J277" t="s">
        <v>0</v>
      </c>
      <c r="K277" t="s">
        <v>64</v>
      </c>
      <c r="L277" t="s">
        <v>1</v>
      </c>
      <c r="M277">
        <v>16453872</v>
      </c>
    </row>
    <row r="278" spans="1:14" x14ac:dyDescent="0.25">
      <c r="A278" t="s">
        <v>394</v>
      </c>
      <c r="B278" t="str">
        <f>"0902683945675907"</f>
        <v>0902683945675907</v>
      </c>
      <c r="C278">
        <v>945675907</v>
      </c>
      <c r="D278" t="s">
        <v>5</v>
      </c>
      <c r="E278" s="1">
        <v>42156</v>
      </c>
      <c r="F278" s="1">
        <v>42308</v>
      </c>
      <c r="G278">
        <v>267.3</v>
      </c>
      <c r="H278">
        <v>211</v>
      </c>
      <c r="I278">
        <v>33.1</v>
      </c>
      <c r="J278" t="s">
        <v>6</v>
      </c>
      <c r="K278" t="s">
        <v>64</v>
      </c>
      <c r="L278" t="s">
        <v>1</v>
      </c>
      <c r="M278">
        <v>16453872</v>
      </c>
    </row>
    <row r="279" spans="1:14" x14ac:dyDescent="0.25">
      <c r="A279" t="s">
        <v>395</v>
      </c>
      <c r="B279" t="str">
        <f>"0902715900952410"</f>
        <v>0902715900952410</v>
      </c>
      <c r="C279">
        <v>900952410</v>
      </c>
      <c r="D279" t="s">
        <v>22</v>
      </c>
      <c r="E279" s="1">
        <v>42156</v>
      </c>
      <c r="F279" s="1">
        <v>42185</v>
      </c>
      <c r="G279">
        <v>156.79</v>
      </c>
      <c r="H279">
        <v>77</v>
      </c>
      <c r="I279" t="str">
        <f>"0.01"</f>
        <v>0.01</v>
      </c>
      <c r="J279" t="s">
        <v>208</v>
      </c>
      <c r="K279" t="s">
        <v>64</v>
      </c>
      <c r="L279" t="s">
        <v>1</v>
      </c>
      <c r="M279">
        <v>16453872</v>
      </c>
      <c r="N279" t="s">
        <v>396</v>
      </c>
    </row>
    <row r="280" spans="1:14" x14ac:dyDescent="0.25">
      <c r="A280" t="s">
        <v>397</v>
      </c>
      <c r="B280" t="str">
        <f>"0902719906666313"</f>
        <v>0902719906666313</v>
      </c>
      <c r="C280">
        <v>906666313</v>
      </c>
      <c r="D280" t="s">
        <v>7</v>
      </c>
      <c r="E280" s="1">
        <v>42156</v>
      </c>
      <c r="F280" s="1">
        <v>42185</v>
      </c>
      <c r="G280">
        <v>328.47</v>
      </c>
      <c r="H280">
        <v>264</v>
      </c>
      <c r="I280">
        <v>64.47</v>
      </c>
      <c r="J280" t="s">
        <v>29</v>
      </c>
      <c r="K280" t="s">
        <v>64</v>
      </c>
      <c r="L280" t="s">
        <v>1</v>
      </c>
      <c r="M280">
        <v>16453872</v>
      </c>
      <c r="N280" t="s">
        <v>398</v>
      </c>
    </row>
    <row r="281" spans="1:14" x14ac:dyDescent="0.25">
      <c r="A281" t="s">
        <v>399</v>
      </c>
      <c r="B281" t="str">
        <f>"0902719905580839"</f>
        <v>0902719905580839</v>
      </c>
      <c r="C281">
        <v>905580839</v>
      </c>
      <c r="D281" t="s">
        <v>7</v>
      </c>
      <c r="E281" s="1">
        <v>42156</v>
      </c>
      <c r="G281">
        <v>341.84</v>
      </c>
      <c r="H281">
        <v>286</v>
      </c>
      <c r="I281">
        <v>55.84</v>
      </c>
      <c r="J281" t="s">
        <v>30</v>
      </c>
      <c r="K281" t="s">
        <v>64</v>
      </c>
      <c r="L281" t="s">
        <v>1</v>
      </c>
      <c r="M281">
        <v>16453872</v>
      </c>
      <c r="N281" t="s">
        <v>400</v>
      </c>
    </row>
    <row r="282" spans="1:14" x14ac:dyDescent="0.25">
      <c r="A282" t="s">
        <v>401</v>
      </c>
      <c r="B282" t="str">
        <f>"0902683979130229"</f>
        <v>0902683979130229</v>
      </c>
      <c r="C282">
        <v>979130229</v>
      </c>
      <c r="D282" t="s">
        <v>5</v>
      </c>
      <c r="E282" s="1">
        <v>42156</v>
      </c>
      <c r="F282" s="1">
        <v>42247</v>
      </c>
      <c r="G282">
        <v>567.29999999999995</v>
      </c>
      <c r="H282">
        <v>487</v>
      </c>
      <c r="I282">
        <v>80.3</v>
      </c>
      <c r="J282" t="s">
        <v>6</v>
      </c>
      <c r="K282" t="s">
        <v>64</v>
      </c>
      <c r="L282" t="s">
        <v>1</v>
      </c>
      <c r="M282">
        <v>16453872</v>
      </c>
    </row>
    <row r="283" spans="1:14" x14ac:dyDescent="0.25">
      <c r="A283" t="s">
        <v>402</v>
      </c>
      <c r="B283" t="str">
        <f>"0902719973927354"</f>
        <v>0902719973927354</v>
      </c>
      <c r="C283">
        <v>973927354</v>
      </c>
      <c r="D283" t="s">
        <v>7</v>
      </c>
      <c r="E283" s="1">
        <v>42125</v>
      </c>
      <c r="F283" s="1">
        <v>42155</v>
      </c>
      <c r="G283">
        <v>315.42</v>
      </c>
      <c r="H283">
        <v>62</v>
      </c>
      <c r="I283">
        <v>283.73</v>
      </c>
      <c r="J283" t="s">
        <v>0</v>
      </c>
      <c r="K283" t="s">
        <v>64</v>
      </c>
      <c r="L283" t="s">
        <v>1</v>
      </c>
      <c r="M283">
        <v>16453872</v>
      </c>
    </row>
    <row r="284" spans="1:14" x14ac:dyDescent="0.25">
      <c r="A284" t="s">
        <v>403</v>
      </c>
      <c r="B284" t="str">
        <f>"0902719957257206"</f>
        <v>0902719957257206</v>
      </c>
      <c r="C284">
        <v>957257206</v>
      </c>
      <c r="D284" t="s">
        <v>7</v>
      </c>
      <c r="E284" s="1">
        <v>42125</v>
      </c>
      <c r="F284" s="1">
        <v>42247</v>
      </c>
      <c r="G284">
        <v>710.13</v>
      </c>
      <c r="H284" t="str">
        <f>"0.00"</f>
        <v>0.00</v>
      </c>
      <c r="I284">
        <v>793.36</v>
      </c>
      <c r="J284" t="s">
        <v>0</v>
      </c>
      <c r="K284" t="s">
        <v>64</v>
      </c>
      <c r="L284" t="s">
        <v>1</v>
      </c>
      <c r="M284">
        <v>16453872</v>
      </c>
    </row>
    <row r="285" spans="1:14" x14ac:dyDescent="0.25">
      <c r="A285" t="s">
        <v>404</v>
      </c>
      <c r="B285" t="str">
        <f>"0902720915050409"</f>
        <v>0902720915050409</v>
      </c>
      <c r="C285">
        <v>915050409</v>
      </c>
      <c r="D285" t="s">
        <v>3</v>
      </c>
      <c r="E285" s="1">
        <v>42125</v>
      </c>
      <c r="F285" s="1">
        <v>42216</v>
      </c>
      <c r="G285">
        <v>305.33999999999997</v>
      </c>
      <c r="H285">
        <v>284</v>
      </c>
      <c r="I285" t="str">
        <f>"0.01"</f>
        <v>0.01</v>
      </c>
      <c r="J285" t="s">
        <v>31</v>
      </c>
      <c r="K285" t="s">
        <v>64</v>
      </c>
      <c r="L285" t="s">
        <v>1</v>
      </c>
      <c r="M285">
        <v>16453872</v>
      </c>
      <c r="N285" t="s">
        <v>405</v>
      </c>
    </row>
    <row r="286" spans="1:14" x14ac:dyDescent="0.25">
      <c r="A286" t="s">
        <v>406</v>
      </c>
      <c r="B286" t="str">
        <f>"0902719933573368"</f>
        <v>0902719933573368</v>
      </c>
      <c r="C286">
        <v>933573368</v>
      </c>
      <c r="D286" t="s">
        <v>7</v>
      </c>
      <c r="E286" s="1">
        <v>42125</v>
      </c>
      <c r="F286" s="1">
        <v>42185</v>
      </c>
      <c r="G286">
        <v>308.02999999999997</v>
      </c>
      <c r="H286" t="str">
        <f>"0.00"</f>
        <v>0.00</v>
      </c>
      <c r="I286">
        <v>337.21</v>
      </c>
      <c r="J286" t="s">
        <v>30</v>
      </c>
      <c r="K286" t="s">
        <v>64</v>
      </c>
      <c r="L286" t="s">
        <v>1</v>
      </c>
      <c r="M286">
        <v>16453872</v>
      </c>
      <c r="N286" t="s">
        <v>407</v>
      </c>
    </row>
    <row r="287" spans="1:14" x14ac:dyDescent="0.25">
      <c r="A287" t="s">
        <v>408</v>
      </c>
      <c r="B287" t="str">
        <f>"0902719934929542"</f>
        <v>0902719934929542</v>
      </c>
      <c r="C287">
        <v>934929542</v>
      </c>
      <c r="D287" t="s">
        <v>7</v>
      </c>
      <c r="E287" s="1">
        <v>42125</v>
      </c>
      <c r="G287">
        <v>839.35</v>
      </c>
      <c r="H287">
        <v>620</v>
      </c>
      <c r="I287">
        <v>219.35</v>
      </c>
      <c r="J287" t="s">
        <v>58</v>
      </c>
      <c r="K287" t="s">
        <v>64</v>
      </c>
      <c r="L287" t="s">
        <v>1</v>
      </c>
      <c r="M287">
        <v>16453872</v>
      </c>
    </row>
    <row r="288" spans="1:14" x14ac:dyDescent="0.25">
      <c r="A288" t="s">
        <v>409</v>
      </c>
      <c r="B288" t="str">
        <f>"0902720946202865"</f>
        <v>0902720946202865</v>
      </c>
      <c r="C288">
        <v>946202865</v>
      </c>
      <c r="D288" t="s">
        <v>3</v>
      </c>
      <c r="E288" s="1">
        <v>42125</v>
      </c>
      <c r="F288" s="1">
        <v>42155</v>
      </c>
      <c r="G288">
        <v>1478.77</v>
      </c>
      <c r="H288">
        <v>1389</v>
      </c>
      <c r="I288">
        <v>89.77</v>
      </c>
      <c r="J288" t="s">
        <v>31</v>
      </c>
      <c r="K288" t="s">
        <v>64</v>
      </c>
      <c r="L288" t="s">
        <v>1</v>
      </c>
      <c r="M288">
        <v>16453872</v>
      </c>
      <c r="N288" t="s">
        <v>410</v>
      </c>
    </row>
    <row r="289" spans="1:14" x14ac:dyDescent="0.25">
      <c r="A289" t="s">
        <v>411</v>
      </c>
      <c r="B289" t="str">
        <f>"0902724936474293"</f>
        <v>0902724936474293</v>
      </c>
      <c r="C289">
        <v>936474293</v>
      </c>
      <c r="D289" t="s">
        <v>28</v>
      </c>
      <c r="E289" s="1">
        <v>42125</v>
      </c>
      <c r="F289" s="1">
        <v>42155</v>
      </c>
      <c r="G289">
        <v>218.49</v>
      </c>
      <c r="H289">
        <v>86</v>
      </c>
      <c r="I289">
        <v>173.57</v>
      </c>
      <c r="J289" t="s">
        <v>50</v>
      </c>
      <c r="K289" t="s">
        <v>64</v>
      </c>
      <c r="L289" t="s">
        <v>1</v>
      </c>
      <c r="M289">
        <v>16453872</v>
      </c>
    </row>
    <row r="290" spans="1:14" x14ac:dyDescent="0.25">
      <c r="A290" t="s">
        <v>412</v>
      </c>
      <c r="B290" t="str">
        <f>"0902726914471413"</f>
        <v>0902726914471413</v>
      </c>
      <c r="C290">
        <v>914471413</v>
      </c>
      <c r="D290" t="s">
        <v>16</v>
      </c>
      <c r="E290" s="1">
        <v>42125</v>
      </c>
      <c r="F290" s="1">
        <v>42155</v>
      </c>
      <c r="G290">
        <v>249.16</v>
      </c>
      <c r="H290">
        <v>215</v>
      </c>
      <c r="I290">
        <v>286.77</v>
      </c>
      <c r="J290" t="s">
        <v>59</v>
      </c>
      <c r="K290" t="s">
        <v>64</v>
      </c>
      <c r="L290" t="s">
        <v>1</v>
      </c>
      <c r="M290">
        <v>16453872</v>
      </c>
    </row>
    <row r="291" spans="1:14" x14ac:dyDescent="0.25">
      <c r="A291" t="s">
        <v>413</v>
      </c>
      <c r="B291" t="str">
        <f>"0902726967781061"</f>
        <v>0902726967781061</v>
      </c>
      <c r="C291">
        <v>967781061</v>
      </c>
      <c r="D291" t="s">
        <v>16</v>
      </c>
      <c r="E291" s="1">
        <v>42125</v>
      </c>
      <c r="F291" s="1">
        <v>42216</v>
      </c>
      <c r="G291">
        <v>693.33</v>
      </c>
      <c r="H291">
        <v>533</v>
      </c>
      <c r="I291">
        <v>160.33000000000001</v>
      </c>
      <c r="J291" t="s">
        <v>59</v>
      </c>
      <c r="K291" t="s">
        <v>64</v>
      </c>
      <c r="L291" t="s">
        <v>1</v>
      </c>
      <c r="M291">
        <v>16453872</v>
      </c>
      <c r="N291" t="s">
        <v>414</v>
      </c>
    </row>
    <row r="292" spans="1:14" x14ac:dyDescent="0.25">
      <c r="A292" t="s">
        <v>415</v>
      </c>
      <c r="B292" t="str">
        <f>"0902726947604695"</f>
        <v>0902726947604695</v>
      </c>
      <c r="C292">
        <v>947604695</v>
      </c>
      <c r="D292" t="s">
        <v>16</v>
      </c>
      <c r="E292" s="1">
        <v>42125</v>
      </c>
      <c r="F292" s="1">
        <v>42155</v>
      </c>
      <c r="G292">
        <v>218.65</v>
      </c>
      <c r="H292">
        <v>209.4</v>
      </c>
      <c r="I292" t="str">
        <f>"0.01"</f>
        <v>0.01</v>
      </c>
      <c r="J292" t="s">
        <v>49</v>
      </c>
      <c r="K292" t="s">
        <v>64</v>
      </c>
      <c r="L292" t="s">
        <v>1</v>
      </c>
      <c r="M292">
        <v>16453872</v>
      </c>
    </row>
    <row r="293" spans="1:14" x14ac:dyDescent="0.25">
      <c r="A293" t="s">
        <v>416</v>
      </c>
      <c r="B293" t="str">
        <f>"0902726932655373"</f>
        <v>0902726932655373</v>
      </c>
      <c r="C293">
        <v>932655373</v>
      </c>
      <c r="D293" t="s">
        <v>16</v>
      </c>
      <c r="E293" s="1">
        <v>42125</v>
      </c>
      <c r="F293" s="1">
        <v>42247</v>
      </c>
      <c r="G293">
        <v>991.19</v>
      </c>
      <c r="H293">
        <v>990.2</v>
      </c>
      <c r="I293" t="str">
        <f>"0.99"</f>
        <v>0.99</v>
      </c>
      <c r="J293" t="s">
        <v>49</v>
      </c>
      <c r="K293" t="s">
        <v>64</v>
      </c>
      <c r="L293" t="s">
        <v>1</v>
      </c>
      <c r="M293">
        <v>16453872</v>
      </c>
    </row>
    <row r="294" spans="1:14" x14ac:dyDescent="0.25">
      <c r="A294" t="s">
        <v>417</v>
      </c>
      <c r="B294" t="str">
        <f>"0902683975945340"</f>
        <v>0902683975945340</v>
      </c>
      <c r="C294">
        <v>975945340</v>
      </c>
      <c r="D294" t="s">
        <v>5</v>
      </c>
      <c r="E294" s="1">
        <v>42125</v>
      </c>
      <c r="F294" s="1">
        <v>42216</v>
      </c>
      <c r="G294">
        <v>358.46</v>
      </c>
      <c r="H294" t="str">
        <f>"0.00"</f>
        <v>0.00</v>
      </c>
      <c r="I294">
        <v>398.85</v>
      </c>
      <c r="J294" t="s">
        <v>6</v>
      </c>
      <c r="K294" t="s">
        <v>64</v>
      </c>
      <c r="L294" t="s">
        <v>1</v>
      </c>
      <c r="M294">
        <v>16453872</v>
      </c>
    </row>
    <row r="295" spans="1:14" x14ac:dyDescent="0.25">
      <c r="A295" t="s">
        <v>418</v>
      </c>
      <c r="B295" t="str">
        <f>"0902683976099046"</f>
        <v>0902683976099046</v>
      </c>
      <c r="C295">
        <v>976099046</v>
      </c>
      <c r="D295" t="s">
        <v>5</v>
      </c>
      <c r="E295" s="1">
        <v>42125</v>
      </c>
      <c r="F295" s="1">
        <v>42216</v>
      </c>
      <c r="G295">
        <v>233.48</v>
      </c>
      <c r="H295">
        <v>219</v>
      </c>
      <c r="I295">
        <v>14.48</v>
      </c>
      <c r="J295" t="s">
        <v>6</v>
      </c>
      <c r="K295" t="s">
        <v>64</v>
      </c>
      <c r="L295" t="s">
        <v>1</v>
      </c>
      <c r="M295">
        <v>16453872</v>
      </c>
    </row>
    <row r="296" spans="1:14" x14ac:dyDescent="0.25">
      <c r="A296" t="s">
        <v>419</v>
      </c>
      <c r="B296" t="str">
        <f>"0902715908684927"</f>
        <v>0902715908684927</v>
      </c>
      <c r="C296">
        <v>908684927</v>
      </c>
      <c r="D296" t="s">
        <v>22</v>
      </c>
      <c r="E296" s="1">
        <v>42125</v>
      </c>
      <c r="F296" s="1">
        <v>42185</v>
      </c>
      <c r="G296">
        <v>650.46</v>
      </c>
      <c r="H296">
        <v>375</v>
      </c>
      <c r="I296">
        <v>275.45999999999998</v>
      </c>
      <c r="J296" t="s">
        <v>208</v>
      </c>
      <c r="K296" t="s">
        <v>64</v>
      </c>
      <c r="L296" t="s">
        <v>1</v>
      </c>
      <c r="M296">
        <v>16453872</v>
      </c>
    </row>
    <row r="297" spans="1:14" x14ac:dyDescent="0.25">
      <c r="A297" t="s">
        <v>420</v>
      </c>
      <c r="B297" t="str">
        <f>"0902715938262199"</f>
        <v>0902715938262199</v>
      </c>
      <c r="C297">
        <v>938262199</v>
      </c>
      <c r="D297" t="s">
        <v>22</v>
      </c>
      <c r="E297" s="1">
        <v>42125</v>
      </c>
      <c r="F297" s="1">
        <v>42155</v>
      </c>
      <c r="G297">
        <v>391.54</v>
      </c>
      <c r="H297">
        <v>274</v>
      </c>
      <c r="I297">
        <v>117.54</v>
      </c>
      <c r="J297" t="s">
        <v>421</v>
      </c>
      <c r="K297" t="s">
        <v>64</v>
      </c>
      <c r="L297" t="s">
        <v>1</v>
      </c>
      <c r="M297">
        <v>16453872</v>
      </c>
    </row>
    <row r="298" spans="1:14" x14ac:dyDescent="0.25">
      <c r="A298" t="s">
        <v>422</v>
      </c>
      <c r="B298" t="str">
        <f>"0902715941664359"</f>
        <v>0902715941664359</v>
      </c>
      <c r="C298">
        <v>941664359</v>
      </c>
      <c r="D298" t="s">
        <v>22</v>
      </c>
      <c r="E298" s="1">
        <v>42125</v>
      </c>
      <c r="F298" s="1">
        <v>42185</v>
      </c>
      <c r="G298">
        <v>274.36</v>
      </c>
      <c r="H298" t="str">
        <f>"0.00"</f>
        <v>0.00</v>
      </c>
      <c r="I298" t="str">
        <f>"0.01"</f>
        <v>0.01</v>
      </c>
      <c r="J298" t="s">
        <v>25</v>
      </c>
      <c r="K298" t="s">
        <v>64</v>
      </c>
      <c r="L298" t="s">
        <v>1</v>
      </c>
      <c r="M298">
        <v>16453872</v>
      </c>
    </row>
    <row r="299" spans="1:14" x14ac:dyDescent="0.25">
      <c r="A299" t="s">
        <v>423</v>
      </c>
      <c r="B299" t="str">
        <f>"0902715952181770"</f>
        <v>0902715952181770</v>
      </c>
      <c r="C299">
        <v>952181770</v>
      </c>
      <c r="D299" t="s">
        <v>22</v>
      </c>
      <c r="E299" s="1">
        <v>42125</v>
      </c>
      <c r="F299" s="1">
        <v>42185</v>
      </c>
      <c r="G299">
        <v>268.93</v>
      </c>
      <c r="H299" t="str">
        <f>"0.00"</f>
        <v>0.00</v>
      </c>
      <c r="I299">
        <v>268.93</v>
      </c>
      <c r="J299" t="s">
        <v>424</v>
      </c>
      <c r="K299" t="s">
        <v>64</v>
      </c>
      <c r="L299" t="s">
        <v>1</v>
      </c>
      <c r="M299">
        <v>16453872</v>
      </c>
    </row>
    <row r="300" spans="1:14" x14ac:dyDescent="0.25">
      <c r="A300" t="s">
        <v>425</v>
      </c>
      <c r="B300" t="str">
        <f>"0902683904474311"</f>
        <v>0902683904474311</v>
      </c>
      <c r="C300">
        <v>904474311</v>
      </c>
      <c r="D300" t="s">
        <v>5</v>
      </c>
      <c r="E300" s="1">
        <v>42125</v>
      </c>
      <c r="F300" s="1">
        <v>42247</v>
      </c>
      <c r="G300">
        <v>219.68</v>
      </c>
      <c r="H300" t="str">
        <f>"0.00"</f>
        <v>0.00</v>
      </c>
      <c r="I300">
        <v>233.48</v>
      </c>
      <c r="J300" t="s">
        <v>6</v>
      </c>
      <c r="K300" t="s">
        <v>64</v>
      </c>
      <c r="L300" t="s">
        <v>1</v>
      </c>
      <c r="M300">
        <v>16453872</v>
      </c>
    </row>
    <row r="301" spans="1:14" x14ac:dyDescent="0.25">
      <c r="A301" t="s">
        <v>426</v>
      </c>
      <c r="B301" t="str">
        <f>"0902682957199877"</f>
        <v>0902682957199877</v>
      </c>
      <c r="C301">
        <v>957199877</v>
      </c>
      <c r="D301" t="s">
        <v>9</v>
      </c>
      <c r="E301" s="1">
        <v>42125</v>
      </c>
      <c r="F301" s="1">
        <v>42216</v>
      </c>
      <c r="G301">
        <v>520.9</v>
      </c>
      <c r="H301">
        <v>469</v>
      </c>
      <c r="I301">
        <v>39.47</v>
      </c>
      <c r="J301" t="s">
        <v>6</v>
      </c>
      <c r="K301" t="s">
        <v>64</v>
      </c>
      <c r="L301" t="s">
        <v>1</v>
      </c>
      <c r="M301">
        <v>16453872</v>
      </c>
    </row>
    <row r="302" spans="1:14" x14ac:dyDescent="0.25">
      <c r="A302" t="s">
        <v>427</v>
      </c>
      <c r="B302" t="str">
        <f>"0902682901367983"</f>
        <v>0902682901367983</v>
      </c>
      <c r="C302">
        <v>901367983</v>
      </c>
      <c r="D302" t="s">
        <v>9</v>
      </c>
      <c r="E302" s="1">
        <v>42125</v>
      </c>
      <c r="F302" s="1">
        <v>42216</v>
      </c>
      <c r="G302">
        <v>381.34</v>
      </c>
      <c r="H302" t="str">
        <f>"0.00"</f>
        <v>0.00</v>
      </c>
      <c r="I302">
        <v>433.65</v>
      </c>
      <c r="J302" t="s">
        <v>6</v>
      </c>
      <c r="K302" t="s">
        <v>64</v>
      </c>
      <c r="L302" t="s">
        <v>1</v>
      </c>
      <c r="M302">
        <v>16453872</v>
      </c>
      <c r="N302" t="s">
        <v>428</v>
      </c>
    </row>
    <row r="303" spans="1:14" x14ac:dyDescent="0.25">
      <c r="A303" t="s">
        <v>429</v>
      </c>
      <c r="B303" t="str">
        <f>"0902682905916444"</f>
        <v>0902682905916444</v>
      </c>
      <c r="C303">
        <v>905916444</v>
      </c>
      <c r="D303" t="s">
        <v>9</v>
      </c>
      <c r="E303" s="1">
        <v>42125</v>
      </c>
      <c r="F303" s="1">
        <v>42216</v>
      </c>
      <c r="G303">
        <v>708.63</v>
      </c>
      <c r="H303">
        <v>705</v>
      </c>
      <c r="I303">
        <v>69.55</v>
      </c>
      <c r="J303" t="s">
        <v>0</v>
      </c>
      <c r="K303" t="s">
        <v>64</v>
      </c>
      <c r="L303" t="s">
        <v>1</v>
      </c>
      <c r="M303">
        <v>16453872</v>
      </c>
    </row>
    <row r="304" spans="1:14" x14ac:dyDescent="0.25">
      <c r="A304" t="s">
        <v>430</v>
      </c>
      <c r="B304" t="str">
        <f>"0902682908293008"</f>
        <v>0902682908293008</v>
      </c>
      <c r="C304">
        <v>908293008</v>
      </c>
      <c r="D304" t="s">
        <v>9</v>
      </c>
      <c r="E304" s="1">
        <v>42125</v>
      </c>
      <c r="F304" s="1">
        <v>42216</v>
      </c>
      <c r="G304">
        <v>368.01</v>
      </c>
      <c r="H304">
        <v>366.35</v>
      </c>
      <c r="I304">
        <v>1.66</v>
      </c>
      <c r="J304" t="s">
        <v>8</v>
      </c>
      <c r="K304" t="s">
        <v>64</v>
      </c>
      <c r="L304" t="s">
        <v>1</v>
      </c>
      <c r="M304">
        <v>16453872</v>
      </c>
    </row>
    <row r="305" spans="1:14" x14ac:dyDescent="0.25">
      <c r="A305" t="s">
        <v>431</v>
      </c>
      <c r="B305" t="str">
        <f>"0902682947488931"</f>
        <v>0902682947488931</v>
      </c>
      <c r="C305">
        <v>947488931</v>
      </c>
      <c r="D305" t="s">
        <v>9</v>
      </c>
      <c r="E305" s="1">
        <v>42125</v>
      </c>
      <c r="F305" s="1">
        <v>42247</v>
      </c>
      <c r="G305">
        <v>765.48</v>
      </c>
      <c r="H305" t="str">
        <f>"0.00"</f>
        <v>0.00</v>
      </c>
      <c r="I305">
        <v>832.82</v>
      </c>
      <c r="J305" t="s">
        <v>30</v>
      </c>
      <c r="K305" t="s">
        <v>64</v>
      </c>
      <c r="L305" t="s">
        <v>1</v>
      </c>
      <c r="M305">
        <v>16453872</v>
      </c>
    </row>
    <row r="306" spans="1:14" x14ac:dyDescent="0.25">
      <c r="A306" t="s">
        <v>432</v>
      </c>
      <c r="B306" t="str">
        <f>"0902682943860215"</f>
        <v>0902682943860215</v>
      </c>
      <c r="C306">
        <v>943860215</v>
      </c>
      <c r="D306" t="s">
        <v>9</v>
      </c>
      <c r="E306" s="1">
        <v>42125</v>
      </c>
      <c r="F306" s="1">
        <v>42216</v>
      </c>
      <c r="G306">
        <v>160.69999999999999</v>
      </c>
      <c r="H306" t="str">
        <f>"0.00"</f>
        <v>0.00</v>
      </c>
      <c r="I306">
        <v>174.3</v>
      </c>
      <c r="J306" t="s">
        <v>6</v>
      </c>
      <c r="K306" t="s">
        <v>64</v>
      </c>
      <c r="L306" t="s">
        <v>1</v>
      </c>
      <c r="M306">
        <v>16453872</v>
      </c>
    </row>
    <row r="307" spans="1:14" x14ac:dyDescent="0.25">
      <c r="A307" t="s">
        <v>433</v>
      </c>
      <c r="B307" t="str">
        <f>"0902732904975904"</f>
        <v>0902732904975904</v>
      </c>
      <c r="C307">
        <v>904975904</v>
      </c>
      <c r="D307" t="s">
        <v>2</v>
      </c>
      <c r="E307" s="1">
        <v>42125</v>
      </c>
      <c r="F307" s="1">
        <v>42155</v>
      </c>
      <c r="G307">
        <v>248.89</v>
      </c>
      <c r="H307">
        <v>47</v>
      </c>
      <c r="I307">
        <v>226.66</v>
      </c>
      <c r="J307" t="s">
        <v>37</v>
      </c>
      <c r="K307" t="s">
        <v>64</v>
      </c>
      <c r="L307" t="s">
        <v>1</v>
      </c>
      <c r="M307">
        <v>16453872</v>
      </c>
    </row>
    <row r="308" spans="1:14" x14ac:dyDescent="0.25">
      <c r="A308" t="s">
        <v>434</v>
      </c>
      <c r="B308" t="str">
        <f>"0902732901935362"</f>
        <v>0902732901935362</v>
      </c>
      <c r="C308">
        <v>901935362</v>
      </c>
      <c r="D308" t="s">
        <v>2</v>
      </c>
      <c r="E308" s="1">
        <v>42125</v>
      </c>
      <c r="G308">
        <v>419.22</v>
      </c>
      <c r="H308" t="str">
        <f>"0.00"</f>
        <v>0.00</v>
      </c>
      <c r="I308">
        <v>436.35</v>
      </c>
      <c r="J308" t="s">
        <v>40</v>
      </c>
      <c r="K308" t="s">
        <v>64</v>
      </c>
      <c r="L308" t="s">
        <v>1</v>
      </c>
      <c r="M308">
        <v>16453872</v>
      </c>
    </row>
    <row r="309" spans="1:14" x14ac:dyDescent="0.25">
      <c r="A309" t="s">
        <v>435</v>
      </c>
      <c r="B309" t="str">
        <f>"0902730977400645"</f>
        <v>0902730977400645</v>
      </c>
      <c r="C309">
        <v>977400645</v>
      </c>
      <c r="D309" t="s">
        <v>38</v>
      </c>
      <c r="E309" s="1">
        <v>42125</v>
      </c>
      <c r="F309" s="1">
        <v>42216</v>
      </c>
      <c r="G309">
        <v>291.86</v>
      </c>
      <c r="H309">
        <v>239</v>
      </c>
      <c r="I309">
        <v>67.650000000000006</v>
      </c>
      <c r="J309" t="s">
        <v>51</v>
      </c>
      <c r="K309" t="s">
        <v>64</v>
      </c>
      <c r="L309" t="s">
        <v>1</v>
      </c>
      <c r="M309">
        <v>16453872</v>
      </c>
    </row>
    <row r="310" spans="1:14" x14ac:dyDescent="0.25">
      <c r="A310" t="s">
        <v>436</v>
      </c>
      <c r="B310" t="str">
        <f>"0902730979702734"</f>
        <v>0902730979702734</v>
      </c>
      <c r="C310">
        <v>979702734</v>
      </c>
      <c r="D310" t="s">
        <v>38</v>
      </c>
      <c r="E310" s="1">
        <v>42125</v>
      </c>
      <c r="F310" s="1">
        <v>42216</v>
      </c>
      <c r="G310">
        <v>1126.3599999999999</v>
      </c>
      <c r="H310" t="str">
        <f>"0.00"</f>
        <v>0.00</v>
      </c>
      <c r="I310">
        <v>1126.3599999999999</v>
      </c>
      <c r="J310" t="s">
        <v>51</v>
      </c>
      <c r="K310" t="s">
        <v>64</v>
      </c>
      <c r="L310" t="s">
        <v>1</v>
      </c>
      <c r="M310">
        <v>16453872</v>
      </c>
      <c r="N310" t="s">
        <v>437</v>
      </c>
    </row>
    <row r="311" spans="1:14" x14ac:dyDescent="0.25">
      <c r="A311" t="s">
        <v>438</v>
      </c>
      <c r="B311" t="str">
        <f>"0902732926888954"</f>
        <v>0902732926888954</v>
      </c>
      <c r="C311">
        <v>926888954</v>
      </c>
      <c r="D311" t="s">
        <v>2</v>
      </c>
      <c r="E311" s="1">
        <v>42125</v>
      </c>
      <c r="F311" s="1">
        <v>42155</v>
      </c>
      <c r="G311">
        <v>209.59</v>
      </c>
      <c r="H311" t="str">
        <f>"0.00"</f>
        <v>0.00</v>
      </c>
      <c r="I311">
        <v>209.59</v>
      </c>
      <c r="J311" t="s">
        <v>54</v>
      </c>
      <c r="K311" t="s">
        <v>64</v>
      </c>
      <c r="L311" t="s">
        <v>1</v>
      </c>
      <c r="M311">
        <v>16453872</v>
      </c>
      <c r="N311" t="s">
        <v>439</v>
      </c>
    </row>
    <row r="312" spans="1:14" x14ac:dyDescent="0.25">
      <c r="A312" t="s">
        <v>440</v>
      </c>
      <c r="B312" t="str">
        <f>"0902730901551211"</f>
        <v>0902730901551211</v>
      </c>
      <c r="C312">
        <v>901551211</v>
      </c>
      <c r="D312" t="s">
        <v>38</v>
      </c>
      <c r="E312" s="1">
        <v>42125</v>
      </c>
      <c r="F312" s="1">
        <v>42308</v>
      </c>
      <c r="G312">
        <v>493.41</v>
      </c>
      <c r="H312">
        <v>492.92</v>
      </c>
      <c r="I312" t="str">
        <f>"0.49"</f>
        <v>0.49</v>
      </c>
      <c r="J312" t="s">
        <v>45</v>
      </c>
      <c r="K312" t="s">
        <v>64</v>
      </c>
      <c r="L312" t="s">
        <v>1</v>
      </c>
      <c r="M312">
        <v>16453872</v>
      </c>
      <c r="N312" t="s">
        <v>441</v>
      </c>
    </row>
    <row r="313" spans="1:14" x14ac:dyDescent="0.25">
      <c r="A313" t="s">
        <v>442</v>
      </c>
      <c r="B313" t="str">
        <f>"0902729935236760"</f>
        <v>0902729935236760</v>
      </c>
      <c r="C313">
        <v>935236760</v>
      </c>
      <c r="D313" t="s">
        <v>46</v>
      </c>
      <c r="E313" s="1">
        <v>42125</v>
      </c>
      <c r="F313" s="1">
        <v>42216</v>
      </c>
      <c r="G313">
        <v>649.91999999999996</v>
      </c>
      <c r="H313">
        <v>374</v>
      </c>
      <c r="I313" t="str">
        <f>"0.01"</f>
        <v>0.01</v>
      </c>
      <c r="J313" t="s">
        <v>59</v>
      </c>
      <c r="K313" t="s">
        <v>64</v>
      </c>
      <c r="L313" t="s">
        <v>1</v>
      </c>
      <c r="M313">
        <v>16453872</v>
      </c>
    </row>
    <row r="314" spans="1:14" x14ac:dyDescent="0.25">
      <c r="A314" t="s">
        <v>443</v>
      </c>
      <c r="B314" t="str">
        <f>"0902730929232659"</f>
        <v>0902730929232659</v>
      </c>
      <c r="C314">
        <v>929232659</v>
      </c>
      <c r="D314" t="s">
        <v>38</v>
      </c>
      <c r="E314" s="1">
        <v>42125</v>
      </c>
      <c r="F314" s="1">
        <v>42185</v>
      </c>
      <c r="G314">
        <v>272.01</v>
      </c>
      <c r="H314" t="str">
        <f>"0.00"</f>
        <v>0.00</v>
      </c>
      <c r="I314">
        <v>299.38</v>
      </c>
      <c r="J314" t="s">
        <v>39</v>
      </c>
      <c r="K314" t="s">
        <v>64</v>
      </c>
      <c r="L314" t="s">
        <v>1</v>
      </c>
      <c r="M314">
        <v>16453872</v>
      </c>
    </row>
    <row r="315" spans="1:14" x14ac:dyDescent="0.25">
      <c r="A315" t="s">
        <v>444</v>
      </c>
      <c r="B315" t="str">
        <f>"0902730918962154"</f>
        <v>0902730918962154</v>
      </c>
      <c r="C315">
        <v>918962154</v>
      </c>
      <c r="D315" t="s">
        <v>38</v>
      </c>
      <c r="E315" s="1">
        <v>42125</v>
      </c>
      <c r="G315">
        <v>389.64</v>
      </c>
      <c r="H315" t="str">
        <f>"0.00"</f>
        <v>0.00</v>
      </c>
      <c r="I315">
        <v>441.05</v>
      </c>
      <c r="J315" t="s">
        <v>52</v>
      </c>
      <c r="K315" t="s">
        <v>64</v>
      </c>
      <c r="L315" t="s">
        <v>1</v>
      </c>
      <c r="M315">
        <v>16453872</v>
      </c>
      <c r="N315" t="s">
        <v>445</v>
      </c>
    </row>
    <row r="316" spans="1:14" x14ac:dyDescent="0.25">
      <c r="A316" t="s">
        <v>446</v>
      </c>
      <c r="B316" t="str">
        <f>"0902730912212875"</f>
        <v>0902730912212875</v>
      </c>
      <c r="C316">
        <v>912212875</v>
      </c>
      <c r="D316" t="s">
        <v>38</v>
      </c>
      <c r="E316" s="1">
        <v>42125</v>
      </c>
      <c r="F316" s="1">
        <v>42155</v>
      </c>
      <c r="G316">
        <v>421.67</v>
      </c>
      <c r="H316">
        <v>261</v>
      </c>
      <c r="I316">
        <v>150.03</v>
      </c>
      <c r="J316" t="s">
        <v>45</v>
      </c>
      <c r="K316" t="s">
        <v>64</v>
      </c>
      <c r="L316" t="s">
        <v>1</v>
      </c>
      <c r="M316">
        <v>16453872</v>
      </c>
    </row>
    <row r="317" spans="1:14" x14ac:dyDescent="0.25">
      <c r="A317" t="s">
        <v>447</v>
      </c>
      <c r="B317" t="str">
        <f>"0902728974769619"</f>
        <v>0902728974769619</v>
      </c>
      <c r="C317">
        <v>974769619</v>
      </c>
      <c r="D317" t="s">
        <v>12</v>
      </c>
      <c r="E317" s="1">
        <v>42125</v>
      </c>
      <c r="F317" s="1">
        <v>42216</v>
      </c>
      <c r="G317">
        <v>466.18</v>
      </c>
      <c r="H317">
        <v>459</v>
      </c>
      <c r="I317">
        <v>33.19</v>
      </c>
      <c r="J317" t="s">
        <v>31</v>
      </c>
      <c r="K317" t="s">
        <v>64</v>
      </c>
      <c r="L317" t="s">
        <v>1</v>
      </c>
      <c r="M317">
        <v>16453872</v>
      </c>
    </row>
    <row r="318" spans="1:14" x14ac:dyDescent="0.25">
      <c r="A318" t="s">
        <v>448</v>
      </c>
      <c r="B318" t="str">
        <f>"0902728968497389"</f>
        <v>0902728968497389</v>
      </c>
      <c r="C318">
        <v>968497389</v>
      </c>
      <c r="D318" t="s">
        <v>12</v>
      </c>
      <c r="E318" s="1">
        <v>42125</v>
      </c>
      <c r="F318" s="1">
        <v>42216</v>
      </c>
      <c r="G318">
        <v>382.79</v>
      </c>
      <c r="H318">
        <v>382.41</v>
      </c>
      <c r="I318">
        <v>20.63</v>
      </c>
      <c r="J318" t="s">
        <v>31</v>
      </c>
      <c r="K318" t="s">
        <v>64</v>
      </c>
      <c r="L318" t="s">
        <v>1</v>
      </c>
      <c r="M318">
        <v>16453872</v>
      </c>
    </row>
    <row r="319" spans="1:14" x14ac:dyDescent="0.25">
      <c r="A319" t="s">
        <v>449</v>
      </c>
      <c r="B319" t="str">
        <f>"0902728951757582"</f>
        <v>0902728951757582</v>
      </c>
      <c r="C319">
        <v>951757582</v>
      </c>
      <c r="D319" t="s">
        <v>12</v>
      </c>
      <c r="E319" s="1">
        <v>42125</v>
      </c>
      <c r="F319" s="1">
        <v>42247</v>
      </c>
      <c r="G319">
        <v>721.27</v>
      </c>
      <c r="H319" t="str">
        <f>"0.00"</f>
        <v>0.00</v>
      </c>
      <c r="I319">
        <v>895.71</v>
      </c>
      <c r="J319" t="s">
        <v>31</v>
      </c>
      <c r="K319" t="s">
        <v>64</v>
      </c>
      <c r="L319" t="s">
        <v>1</v>
      </c>
      <c r="M319">
        <v>16453872</v>
      </c>
    </row>
    <row r="320" spans="1:14" x14ac:dyDescent="0.25">
      <c r="A320" t="s">
        <v>450</v>
      </c>
      <c r="B320" t="str">
        <f>"0902728952172291"</f>
        <v>0902728952172291</v>
      </c>
      <c r="C320">
        <v>952172291</v>
      </c>
      <c r="D320" t="s">
        <v>12</v>
      </c>
      <c r="E320" s="1">
        <v>42125</v>
      </c>
      <c r="F320" s="1">
        <v>42247</v>
      </c>
      <c r="G320">
        <v>373.86</v>
      </c>
      <c r="H320" t="str">
        <f>"0.00"</f>
        <v>0.00</v>
      </c>
      <c r="I320">
        <v>373.86</v>
      </c>
      <c r="J320" t="s">
        <v>15</v>
      </c>
      <c r="K320" t="s">
        <v>64</v>
      </c>
      <c r="L320" t="s">
        <v>1</v>
      </c>
      <c r="M320">
        <v>16453872</v>
      </c>
    </row>
    <row r="321" spans="1:14" x14ac:dyDescent="0.25">
      <c r="A321" t="s">
        <v>451</v>
      </c>
      <c r="B321" t="str">
        <f>"0902728960684078"</f>
        <v>0902728960684078</v>
      </c>
      <c r="C321">
        <v>960684078</v>
      </c>
      <c r="D321" t="s">
        <v>12</v>
      </c>
      <c r="E321" s="1">
        <v>42125</v>
      </c>
      <c r="F321" s="1">
        <v>42247</v>
      </c>
      <c r="G321">
        <v>662.75</v>
      </c>
      <c r="H321">
        <v>662.42</v>
      </c>
      <c r="I321" t="str">
        <f>"0.33"</f>
        <v>0.33</v>
      </c>
      <c r="J321" t="s">
        <v>15</v>
      </c>
      <c r="K321" t="s">
        <v>64</v>
      </c>
      <c r="L321" t="s">
        <v>1</v>
      </c>
      <c r="M321">
        <v>16453872</v>
      </c>
    </row>
    <row r="322" spans="1:14" x14ac:dyDescent="0.25">
      <c r="A322" t="s">
        <v>452</v>
      </c>
      <c r="B322" t="str">
        <f>"0902728942864533"</f>
        <v>0902728942864533</v>
      </c>
      <c r="C322">
        <v>942864533</v>
      </c>
      <c r="D322" t="s">
        <v>12</v>
      </c>
      <c r="E322" s="1">
        <v>42125</v>
      </c>
      <c r="F322" s="1">
        <v>42155</v>
      </c>
      <c r="G322">
        <v>415.18</v>
      </c>
      <c r="H322">
        <v>396</v>
      </c>
      <c r="I322">
        <v>19.18</v>
      </c>
      <c r="J322" t="s">
        <v>31</v>
      </c>
      <c r="K322" t="s">
        <v>64</v>
      </c>
      <c r="L322" t="s">
        <v>1</v>
      </c>
      <c r="M322">
        <v>16453872</v>
      </c>
    </row>
    <row r="323" spans="1:14" x14ac:dyDescent="0.25">
      <c r="A323" t="s">
        <v>453</v>
      </c>
      <c r="B323" t="str">
        <f>"0902728940963347"</f>
        <v>0902728940963347</v>
      </c>
      <c r="C323">
        <v>940963347</v>
      </c>
      <c r="D323" t="s">
        <v>12</v>
      </c>
      <c r="E323" s="1">
        <v>42125</v>
      </c>
      <c r="F323" s="1">
        <v>42155</v>
      </c>
      <c r="G323">
        <v>266.85000000000002</v>
      </c>
      <c r="H323">
        <v>241</v>
      </c>
      <c r="I323" t="str">
        <f>"0.01"</f>
        <v>0.01</v>
      </c>
      <c r="J323" t="s">
        <v>31</v>
      </c>
      <c r="K323" t="s">
        <v>64</v>
      </c>
      <c r="L323" t="s">
        <v>1</v>
      </c>
      <c r="M323">
        <v>16453872</v>
      </c>
    </row>
    <row r="324" spans="1:14" x14ac:dyDescent="0.25">
      <c r="A324" t="s">
        <v>454</v>
      </c>
      <c r="B324" t="str">
        <f>"0902728906813558"</f>
        <v>0902728906813558</v>
      </c>
      <c r="C324">
        <v>906813558</v>
      </c>
      <c r="D324" t="s">
        <v>12</v>
      </c>
      <c r="E324" s="1">
        <v>42125</v>
      </c>
      <c r="F324" s="1">
        <v>42185</v>
      </c>
      <c r="G324">
        <v>335.32</v>
      </c>
      <c r="H324" t="str">
        <f>"0.00"</f>
        <v>0.00</v>
      </c>
      <c r="I324">
        <v>413.14</v>
      </c>
      <c r="J324" t="s">
        <v>13</v>
      </c>
      <c r="K324" t="s">
        <v>64</v>
      </c>
      <c r="L324" t="s">
        <v>1</v>
      </c>
      <c r="M324">
        <v>16453872</v>
      </c>
    </row>
    <row r="325" spans="1:14" x14ac:dyDescent="0.25">
      <c r="A325" t="s">
        <v>455</v>
      </c>
      <c r="B325" t="str">
        <f>"0902728915347751"</f>
        <v>0902728915347751</v>
      </c>
      <c r="C325">
        <v>915347751</v>
      </c>
      <c r="D325" t="s">
        <v>12</v>
      </c>
      <c r="E325" s="1">
        <v>42125</v>
      </c>
      <c r="F325" s="1">
        <v>42155</v>
      </c>
      <c r="G325">
        <v>779.01</v>
      </c>
      <c r="H325">
        <v>711</v>
      </c>
      <c r="I325">
        <v>64.25</v>
      </c>
      <c r="J325" t="s">
        <v>62</v>
      </c>
      <c r="K325" t="s">
        <v>64</v>
      </c>
      <c r="L325" t="s">
        <v>1</v>
      </c>
      <c r="M325">
        <v>16453872</v>
      </c>
      <c r="N325" t="s">
        <v>456</v>
      </c>
    </row>
    <row r="326" spans="1:14" x14ac:dyDescent="0.25">
      <c r="A326" t="s">
        <v>457</v>
      </c>
      <c r="B326" t="str">
        <f>"0902728926702472"</f>
        <v>0902728926702472</v>
      </c>
      <c r="C326">
        <v>926702472</v>
      </c>
      <c r="D326" t="s">
        <v>12</v>
      </c>
      <c r="E326" s="1">
        <v>42125</v>
      </c>
      <c r="F326" s="1">
        <v>42155</v>
      </c>
      <c r="G326">
        <v>220.44</v>
      </c>
      <c r="H326">
        <v>180</v>
      </c>
      <c r="I326">
        <v>40.44</v>
      </c>
      <c r="J326" t="s">
        <v>15</v>
      </c>
      <c r="K326" t="s">
        <v>64</v>
      </c>
      <c r="L326" t="s">
        <v>1</v>
      </c>
      <c r="M326">
        <v>16453872</v>
      </c>
    </row>
    <row r="327" spans="1:14" x14ac:dyDescent="0.25">
      <c r="A327" t="s">
        <v>458</v>
      </c>
      <c r="B327" t="str">
        <f>"0902728919434152"</f>
        <v>0902728919434152</v>
      </c>
      <c r="C327">
        <v>919434152</v>
      </c>
      <c r="D327" t="s">
        <v>12</v>
      </c>
      <c r="E327" s="1">
        <v>42125</v>
      </c>
      <c r="F327" s="1">
        <v>42216</v>
      </c>
      <c r="G327">
        <v>283.7</v>
      </c>
      <c r="H327" t="str">
        <f>"0.00"</f>
        <v>0.00</v>
      </c>
      <c r="I327">
        <v>340.51</v>
      </c>
      <c r="J327" t="s">
        <v>8</v>
      </c>
      <c r="K327" t="s">
        <v>64</v>
      </c>
      <c r="L327" t="s">
        <v>1</v>
      </c>
      <c r="M327">
        <v>16453872</v>
      </c>
    </row>
    <row r="328" spans="1:14" x14ac:dyDescent="0.25">
      <c r="A328" t="s">
        <v>459</v>
      </c>
      <c r="B328" t="str">
        <f>"0902732952573276"</f>
        <v>0902732952573276</v>
      </c>
      <c r="C328">
        <v>952573276</v>
      </c>
      <c r="D328" t="s">
        <v>2</v>
      </c>
      <c r="E328" s="1">
        <v>42125</v>
      </c>
      <c r="F328" s="1">
        <v>42182</v>
      </c>
      <c r="G328">
        <v>377.2</v>
      </c>
      <c r="H328" t="str">
        <f>"0.00"</f>
        <v>0.00</v>
      </c>
      <c r="I328">
        <v>377.2</v>
      </c>
      <c r="J328" t="s">
        <v>32</v>
      </c>
      <c r="K328" t="s">
        <v>64</v>
      </c>
      <c r="L328" t="s">
        <v>1</v>
      </c>
      <c r="M328">
        <v>16453872</v>
      </c>
      <c r="N328" t="s">
        <v>460</v>
      </c>
    </row>
    <row r="329" spans="1:14" x14ac:dyDescent="0.25">
      <c r="A329" t="s">
        <v>461</v>
      </c>
      <c r="B329" t="str">
        <f>"0902732938597453"</f>
        <v>0902732938597453</v>
      </c>
      <c r="C329">
        <v>938597453</v>
      </c>
      <c r="D329" t="s">
        <v>2</v>
      </c>
      <c r="E329" s="1">
        <v>42125</v>
      </c>
      <c r="F329" s="1">
        <v>42185</v>
      </c>
      <c r="G329">
        <v>897.14</v>
      </c>
      <c r="H329" t="str">
        <f>"0.00"</f>
        <v>0.00</v>
      </c>
      <c r="I329">
        <v>992.26</v>
      </c>
      <c r="J329" t="s">
        <v>47</v>
      </c>
      <c r="K329" t="s">
        <v>64</v>
      </c>
      <c r="L329" t="s">
        <v>1</v>
      </c>
      <c r="M329">
        <v>16453872</v>
      </c>
      <c r="N329" t="s">
        <v>462</v>
      </c>
    </row>
    <row r="330" spans="1:14" x14ac:dyDescent="0.25">
      <c r="A330" t="s">
        <v>463</v>
      </c>
      <c r="B330" t="str">
        <f>"0902732934516840"</f>
        <v>0902732934516840</v>
      </c>
      <c r="C330">
        <v>934516840</v>
      </c>
      <c r="D330" t="s">
        <v>2</v>
      </c>
      <c r="E330" s="1">
        <v>42125</v>
      </c>
      <c r="F330" s="1">
        <v>42155</v>
      </c>
      <c r="G330">
        <v>247.39</v>
      </c>
      <c r="H330" t="str">
        <f>"0.00"</f>
        <v>0.00</v>
      </c>
      <c r="I330">
        <v>247.39</v>
      </c>
      <c r="J330" t="s">
        <v>36</v>
      </c>
      <c r="K330" t="s">
        <v>64</v>
      </c>
      <c r="L330" t="s">
        <v>1</v>
      </c>
      <c r="M330">
        <v>16453872</v>
      </c>
    </row>
    <row r="331" spans="1:14" x14ac:dyDescent="0.25">
      <c r="A331" t="s">
        <v>464</v>
      </c>
      <c r="B331" t="str">
        <f>"0902732936461985"</f>
        <v>0902732936461985</v>
      </c>
      <c r="C331">
        <v>936461985</v>
      </c>
      <c r="D331" t="s">
        <v>2</v>
      </c>
      <c r="E331" s="1">
        <v>42125</v>
      </c>
      <c r="F331" s="1">
        <v>42155</v>
      </c>
      <c r="G331">
        <v>564.87</v>
      </c>
      <c r="H331">
        <v>422</v>
      </c>
      <c r="I331">
        <v>142.87</v>
      </c>
      <c r="J331" t="s">
        <v>33</v>
      </c>
      <c r="K331" t="s">
        <v>64</v>
      </c>
      <c r="L331" t="s">
        <v>1</v>
      </c>
      <c r="M331">
        <v>16453872</v>
      </c>
    </row>
    <row r="332" spans="1:14" x14ac:dyDescent="0.25">
      <c r="A332" t="s">
        <v>465</v>
      </c>
      <c r="B332" t="str">
        <f>"0902732935302291"</f>
        <v>0902732935302291</v>
      </c>
      <c r="C332">
        <v>935302291</v>
      </c>
      <c r="D332" t="s">
        <v>2</v>
      </c>
      <c r="E332" s="1">
        <v>42125</v>
      </c>
      <c r="F332" s="1">
        <v>42185</v>
      </c>
      <c r="G332">
        <v>296.13</v>
      </c>
      <c r="H332">
        <v>231</v>
      </c>
      <c r="I332">
        <v>65.13</v>
      </c>
      <c r="J332" t="s">
        <v>36</v>
      </c>
      <c r="K332" t="s">
        <v>64</v>
      </c>
      <c r="L332" t="s">
        <v>1</v>
      </c>
      <c r="M332">
        <v>16453872</v>
      </c>
    </row>
    <row r="333" spans="1:14" x14ac:dyDescent="0.25">
      <c r="A333" t="s">
        <v>466</v>
      </c>
      <c r="B333" t="str">
        <f>"0902732961012840"</f>
        <v>0902732961012840</v>
      </c>
      <c r="C333">
        <v>961012840</v>
      </c>
      <c r="D333" t="s">
        <v>2</v>
      </c>
      <c r="E333" s="1">
        <v>42125</v>
      </c>
      <c r="F333" s="1">
        <v>42155</v>
      </c>
      <c r="G333">
        <v>544.25</v>
      </c>
      <c r="H333">
        <v>485</v>
      </c>
      <c r="I333">
        <v>635.84</v>
      </c>
      <c r="J333" t="s">
        <v>36</v>
      </c>
      <c r="K333" t="s">
        <v>64</v>
      </c>
      <c r="L333" t="s">
        <v>1</v>
      </c>
      <c r="M333">
        <v>16453872</v>
      </c>
      <c r="N333" t="s">
        <v>467</v>
      </c>
    </row>
    <row r="334" spans="1:14" x14ac:dyDescent="0.25">
      <c r="A334" t="s">
        <v>468</v>
      </c>
      <c r="B334" t="str">
        <f>"0902732974374373"</f>
        <v>0902732974374373</v>
      </c>
      <c r="C334">
        <v>974374373</v>
      </c>
      <c r="D334" t="s">
        <v>2</v>
      </c>
      <c r="E334" s="1">
        <v>42125</v>
      </c>
      <c r="G334">
        <v>200.07</v>
      </c>
      <c r="H334" t="str">
        <f>"0.00"</f>
        <v>0.00</v>
      </c>
      <c r="I334">
        <v>200.07</v>
      </c>
      <c r="J334" t="s">
        <v>36</v>
      </c>
      <c r="K334" t="s">
        <v>64</v>
      </c>
      <c r="L334" t="s">
        <v>1</v>
      </c>
      <c r="M334">
        <v>16453872</v>
      </c>
    </row>
    <row r="335" spans="1:14" x14ac:dyDescent="0.25">
      <c r="A335" t="s">
        <v>469</v>
      </c>
      <c r="B335" t="str">
        <f>"0902728923465130"</f>
        <v>0902728923465130</v>
      </c>
      <c r="C335">
        <v>923465130</v>
      </c>
      <c r="D335" t="s">
        <v>12</v>
      </c>
      <c r="E335" s="1">
        <v>42095</v>
      </c>
      <c r="F335" s="1">
        <v>42124</v>
      </c>
      <c r="G335">
        <v>673.08</v>
      </c>
      <c r="H335">
        <v>647</v>
      </c>
      <c r="I335">
        <v>26.08</v>
      </c>
      <c r="J335" t="s">
        <v>15</v>
      </c>
      <c r="K335" t="s">
        <v>64</v>
      </c>
      <c r="L335" t="s">
        <v>1</v>
      </c>
      <c r="M335">
        <v>16453872</v>
      </c>
    </row>
    <row r="336" spans="1:14" x14ac:dyDescent="0.25">
      <c r="A336" t="s">
        <v>470</v>
      </c>
      <c r="B336" t="str">
        <f>"0902728955919433"</f>
        <v>0902728955919433</v>
      </c>
      <c r="C336">
        <v>955919433</v>
      </c>
      <c r="D336" t="s">
        <v>12</v>
      </c>
      <c r="E336" s="1">
        <v>42095</v>
      </c>
      <c r="F336" s="1">
        <v>42216</v>
      </c>
      <c r="G336">
        <v>603.27</v>
      </c>
      <c r="H336" t="str">
        <f>"0.00"</f>
        <v>0.00</v>
      </c>
      <c r="I336">
        <v>724.27</v>
      </c>
      <c r="J336" t="s">
        <v>15</v>
      </c>
      <c r="K336" t="s">
        <v>64</v>
      </c>
      <c r="L336" t="s">
        <v>1</v>
      </c>
      <c r="M336">
        <v>16453872</v>
      </c>
    </row>
    <row r="337" spans="1:14" x14ac:dyDescent="0.25">
      <c r="A337" t="s">
        <v>471</v>
      </c>
      <c r="B337" t="str">
        <f>"0902730916940959"</f>
        <v>0902730916940959</v>
      </c>
      <c r="C337">
        <v>916940959</v>
      </c>
      <c r="D337" t="s">
        <v>38</v>
      </c>
      <c r="E337" s="1">
        <v>42095</v>
      </c>
      <c r="F337" s="1">
        <v>42185</v>
      </c>
      <c r="G337">
        <v>465.89</v>
      </c>
      <c r="H337">
        <v>213</v>
      </c>
      <c r="I337">
        <v>278.14</v>
      </c>
      <c r="J337" t="s">
        <v>51</v>
      </c>
      <c r="K337" t="s">
        <v>64</v>
      </c>
      <c r="L337" t="s">
        <v>1</v>
      </c>
      <c r="M337">
        <v>16453872</v>
      </c>
    </row>
    <row r="338" spans="1:14" x14ac:dyDescent="0.25">
      <c r="A338" t="s">
        <v>472</v>
      </c>
      <c r="B338" t="str">
        <f>"0902730932055217"</f>
        <v>0902730932055217</v>
      </c>
      <c r="C338">
        <v>932055217</v>
      </c>
      <c r="D338" t="s">
        <v>38</v>
      </c>
      <c r="E338" s="1">
        <v>42095</v>
      </c>
      <c r="F338" s="1">
        <v>42185</v>
      </c>
      <c r="G338">
        <v>1132.56</v>
      </c>
      <c r="H338">
        <v>706</v>
      </c>
      <c r="I338">
        <v>487.15</v>
      </c>
      <c r="J338" t="s">
        <v>52</v>
      </c>
      <c r="K338" t="s">
        <v>64</v>
      </c>
      <c r="L338" t="s">
        <v>1</v>
      </c>
      <c r="M338">
        <v>16453872</v>
      </c>
      <c r="N338" t="s">
        <v>473</v>
      </c>
    </row>
    <row r="339" spans="1:14" x14ac:dyDescent="0.25">
      <c r="A339" t="s">
        <v>474</v>
      </c>
      <c r="B339" t="str">
        <f>"0902730937247464"</f>
        <v>0902730937247464</v>
      </c>
      <c r="C339">
        <v>937247464</v>
      </c>
      <c r="D339" t="s">
        <v>38</v>
      </c>
      <c r="E339" s="1">
        <v>42095</v>
      </c>
      <c r="F339" s="1">
        <v>42277</v>
      </c>
      <c r="G339">
        <v>311.88</v>
      </c>
      <c r="H339" t="str">
        <f>"0.00"</f>
        <v>0.00</v>
      </c>
      <c r="I339">
        <v>336.95</v>
      </c>
      <c r="J339" t="s">
        <v>53</v>
      </c>
      <c r="K339" t="s">
        <v>64</v>
      </c>
      <c r="L339" t="s">
        <v>1</v>
      </c>
      <c r="M339">
        <v>16453872</v>
      </c>
      <c r="N339" t="s">
        <v>475</v>
      </c>
    </row>
    <row r="340" spans="1:14" x14ac:dyDescent="0.25">
      <c r="A340" t="s">
        <v>476</v>
      </c>
      <c r="B340" t="str">
        <f>"0902730942632444"</f>
        <v>0902730942632444</v>
      </c>
      <c r="C340">
        <v>942632444</v>
      </c>
      <c r="D340" t="s">
        <v>38</v>
      </c>
      <c r="E340" s="1">
        <v>42095</v>
      </c>
      <c r="F340" s="1">
        <v>42216</v>
      </c>
      <c r="G340">
        <v>487.41</v>
      </c>
      <c r="H340">
        <v>385</v>
      </c>
      <c r="I340">
        <v>127.64</v>
      </c>
      <c r="J340" t="s">
        <v>39</v>
      </c>
      <c r="K340" t="s">
        <v>64</v>
      </c>
      <c r="L340" t="s">
        <v>1</v>
      </c>
      <c r="M340">
        <v>16453872</v>
      </c>
    </row>
    <row r="341" spans="1:14" x14ac:dyDescent="0.25">
      <c r="A341" t="s">
        <v>477</v>
      </c>
      <c r="B341" t="str">
        <f>"0902732974185531"</f>
        <v>0902732974185531</v>
      </c>
      <c r="C341">
        <v>974185531</v>
      </c>
      <c r="D341" t="s">
        <v>2</v>
      </c>
      <c r="E341" s="1">
        <v>42095</v>
      </c>
      <c r="F341" s="1">
        <v>42124</v>
      </c>
      <c r="G341">
        <v>297.77999999999997</v>
      </c>
      <c r="H341">
        <v>104</v>
      </c>
      <c r="I341">
        <v>193.78</v>
      </c>
      <c r="J341" t="s">
        <v>37</v>
      </c>
      <c r="K341" t="s">
        <v>64</v>
      </c>
      <c r="L341" t="s">
        <v>1</v>
      </c>
      <c r="M341">
        <v>16453872</v>
      </c>
    </row>
    <row r="342" spans="1:14" x14ac:dyDescent="0.25">
      <c r="A342" t="s">
        <v>478</v>
      </c>
      <c r="B342" t="str">
        <f>"0902726922565020"</f>
        <v>0902726922565020</v>
      </c>
      <c r="C342">
        <v>922565020</v>
      </c>
      <c r="D342" t="s">
        <v>16</v>
      </c>
      <c r="E342" s="1">
        <v>42095</v>
      </c>
      <c r="F342" s="1">
        <v>42155</v>
      </c>
      <c r="G342">
        <v>581.37</v>
      </c>
      <c r="H342" t="str">
        <f>"0.00"</f>
        <v>0.00</v>
      </c>
      <c r="I342">
        <v>581.37</v>
      </c>
      <c r="J342" t="s">
        <v>20</v>
      </c>
      <c r="K342" t="s">
        <v>64</v>
      </c>
      <c r="L342" t="s">
        <v>1</v>
      </c>
      <c r="M342">
        <v>16453872</v>
      </c>
    </row>
    <row r="343" spans="1:14" x14ac:dyDescent="0.25">
      <c r="A343" t="s">
        <v>479</v>
      </c>
      <c r="B343" t="str">
        <f>"0902724957521675"</f>
        <v>0902724957521675</v>
      </c>
      <c r="C343">
        <v>957521675</v>
      </c>
      <c r="D343" t="s">
        <v>28</v>
      </c>
      <c r="E343" s="1">
        <v>42095</v>
      </c>
      <c r="G343">
        <v>906.69</v>
      </c>
      <c r="H343">
        <v>333</v>
      </c>
      <c r="I343">
        <v>573.69000000000005</v>
      </c>
      <c r="J343" t="s">
        <v>19</v>
      </c>
      <c r="K343" t="s">
        <v>64</v>
      </c>
      <c r="L343" t="s">
        <v>1</v>
      </c>
      <c r="M343">
        <v>16453872</v>
      </c>
      <c r="N343" t="s">
        <v>480</v>
      </c>
    </row>
    <row r="344" spans="1:14" x14ac:dyDescent="0.25">
      <c r="A344" t="s">
        <v>481</v>
      </c>
      <c r="B344" t="str">
        <f>"0902724921114261"</f>
        <v>0902724921114261</v>
      </c>
      <c r="C344">
        <v>921114261</v>
      </c>
      <c r="D344" t="s">
        <v>28</v>
      </c>
      <c r="E344" s="1">
        <v>42095</v>
      </c>
      <c r="F344" s="1">
        <v>42124</v>
      </c>
      <c r="G344">
        <v>240.47</v>
      </c>
      <c r="H344" t="str">
        <f>"0.00"</f>
        <v>0.00</v>
      </c>
      <c r="I344">
        <v>280.18</v>
      </c>
      <c r="J344" t="s">
        <v>60</v>
      </c>
      <c r="K344" t="s">
        <v>64</v>
      </c>
      <c r="L344" t="s">
        <v>1</v>
      </c>
      <c r="M344">
        <v>16453872</v>
      </c>
    </row>
    <row r="345" spans="1:14" x14ac:dyDescent="0.25">
      <c r="A345" t="s">
        <v>482</v>
      </c>
      <c r="B345" t="str">
        <f>"0902719926641508"</f>
        <v>0902719926641508</v>
      </c>
      <c r="C345">
        <v>926641508</v>
      </c>
      <c r="D345" t="s">
        <v>7</v>
      </c>
      <c r="E345" s="1">
        <v>42095</v>
      </c>
      <c r="F345" s="1">
        <v>42185</v>
      </c>
      <c r="G345">
        <v>620.5</v>
      </c>
      <c r="H345">
        <v>642</v>
      </c>
      <c r="I345">
        <v>102.14</v>
      </c>
      <c r="J345" t="s">
        <v>0</v>
      </c>
      <c r="K345" t="s">
        <v>64</v>
      </c>
      <c r="L345" t="s">
        <v>1</v>
      </c>
      <c r="M345">
        <v>16453872</v>
      </c>
    </row>
    <row r="346" spans="1:14" x14ac:dyDescent="0.25">
      <c r="A346" t="s">
        <v>483</v>
      </c>
      <c r="B346" t="str">
        <f>"0902719922045054"</f>
        <v>0902719922045054</v>
      </c>
      <c r="C346">
        <v>922045054</v>
      </c>
      <c r="D346" t="s">
        <v>7</v>
      </c>
      <c r="E346" s="1">
        <v>42095</v>
      </c>
      <c r="F346" s="1">
        <v>42124</v>
      </c>
      <c r="G346">
        <v>224.66</v>
      </c>
      <c r="H346">
        <v>204</v>
      </c>
      <c r="I346">
        <v>20.66</v>
      </c>
      <c r="J346" t="s">
        <v>30</v>
      </c>
      <c r="K346" t="s">
        <v>64</v>
      </c>
      <c r="L346" t="s">
        <v>1</v>
      </c>
      <c r="M346">
        <v>16453872</v>
      </c>
    </row>
    <row r="347" spans="1:14" x14ac:dyDescent="0.25">
      <c r="A347" t="s">
        <v>484</v>
      </c>
      <c r="B347" t="str">
        <f>"0902719971104564"</f>
        <v>0902719971104564</v>
      </c>
      <c r="C347">
        <v>971104564</v>
      </c>
      <c r="D347" t="s">
        <v>7</v>
      </c>
      <c r="E347" s="1">
        <v>42095</v>
      </c>
      <c r="F347" s="1">
        <v>42185</v>
      </c>
      <c r="G347">
        <v>417.31</v>
      </c>
      <c r="H347" t="str">
        <f>"0.00"</f>
        <v>0.00</v>
      </c>
      <c r="I347">
        <v>508.66</v>
      </c>
      <c r="J347" t="s">
        <v>30</v>
      </c>
      <c r="K347" t="s">
        <v>64</v>
      </c>
      <c r="L347" t="s">
        <v>1</v>
      </c>
      <c r="M347">
        <v>16453872</v>
      </c>
    </row>
    <row r="348" spans="1:14" x14ac:dyDescent="0.25">
      <c r="A348" t="s">
        <v>485</v>
      </c>
      <c r="B348" t="str">
        <f>"0902728962045701"</f>
        <v>0902728962045701</v>
      </c>
      <c r="C348">
        <v>962045701</v>
      </c>
      <c r="D348" t="s">
        <v>12</v>
      </c>
      <c r="E348" s="1">
        <v>42064</v>
      </c>
      <c r="F348" s="1">
        <v>42369</v>
      </c>
      <c r="G348">
        <v>212.76</v>
      </c>
      <c r="H348">
        <v>209</v>
      </c>
      <c r="I348" t="str">
        <f>"0.13"</f>
        <v>0.13</v>
      </c>
      <c r="J348" t="s">
        <v>26</v>
      </c>
      <c r="K348" t="s">
        <v>64</v>
      </c>
      <c r="L348" t="s">
        <v>1</v>
      </c>
      <c r="M348">
        <v>16453872</v>
      </c>
    </row>
    <row r="349" spans="1:14" x14ac:dyDescent="0.25">
      <c r="A349" t="s">
        <v>486</v>
      </c>
      <c r="B349" t="str">
        <f>"0902728962601360"</f>
        <v>0902728962601360</v>
      </c>
      <c r="C349">
        <v>962601360</v>
      </c>
      <c r="D349" t="s">
        <v>12</v>
      </c>
      <c r="E349" s="1">
        <v>42064</v>
      </c>
      <c r="F349" s="1">
        <v>42155</v>
      </c>
      <c r="G349">
        <v>428.05</v>
      </c>
      <c r="H349" t="str">
        <f>"0.00"</f>
        <v>0.00</v>
      </c>
      <c r="I349">
        <v>503.61</v>
      </c>
      <c r="J349" t="s">
        <v>8</v>
      </c>
      <c r="K349" t="s">
        <v>64</v>
      </c>
      <c r="L349" t="s">
        <v>1</v>
      </c>
      <c r="M349">
        <v>16453872</v>
      </c>
    </row>
    <row r="350" spans="1:14" x14ac:dyDescent="0.25">
      <c r="A350" t="s">
        <v>487</v>
      </c>
      <c r="B350" t="str">
        <f>"0902728960923473"</f>
        <v>0902728960923473</v>
      </c>
      <c r="C350">
        <v>960923473</v>
      </c>
      <c r="D350" t="s">
        <v>12</v>
      </c>
      <c r="E350" s="1">
        <v>42064</v>
      </c>
      <c r="G350">
        <v>367.82</v>
      </c>
      <c r="H350">
        <v>367</v>
      </c>
      <c r="I350" t="str">
        <f>"0.82"</f>
        <v>0.82</v>
      </c>
      <c r="J350" t="s">
        <v>31</v>
      </c>
      <c r="K350" t="s">
        <v>64</v>
      </c>
      <c r="L350" t="s">
        <v>1</v>
      </c>
      <c r="M350">
        <v>16453872</v>
      </c>
    </row>
    <row r="351" spans="1:14" x14ac:dyDescent="0.25">
      <c r="A351" t="s">
        <v>488</v>
      </c>
      <c r="B351" t="str">
        <f>"0902728958404468"</f>
        <v>0902728958404468</v>
      </c>
      <c r="C351">
        <v>958404468</v>
      </c>
      <c r="D351" t="s">
        <v>12</v>
      </c>
      <c r="E351" s="1">
        <v>42064</v>
      </c>
      <c r="F351" s="1">
        <v>42124</v>
      </c>
      <c r="G351">
        <v>394.41</v>
      </c>
      <c r="H351">
        <v>333</v>
      </c>
      <c r="I351">
        <v>61.41</v>
      </c>
      <c r="J351" t="s">
        <v>31</v>
      </c>
      <c r="K351" t="s">
        <v>64</v>
      </c>
      <c r="L351" t="s">
        <v>1</v>
      </c>
      <c r="M351">
        <v>16453872</v>
      </c>
    </row>
    <row r="352" spans="1:14" x14ac:dyDescent="0.25">
      <c r="A352" t="s">
        <v>489</v>
      </c>
      <c r="B352" t="str">
        <f>"0902728957773231"</f>
        <v>0902728957773231</v>
      </c>
      <c r="C352">
        <v>957773231</v>
      </c>
      <c r="D352" t="s">
        <v>12</v>
      </c>
      <c r="E352" s="1">
        <v>42064</v>
      </c>
      <c r="F352" s="1">
        <v>42094</v>
      </c>
      <c r="G352">
        <v>324.36</v>
      </c>
      <c r="H352" t="str">
        <f>"0.00"</f>
        <v>0.00</v>
      </c>
      <c r="I352">
        <v>400.8</v>
      </c>
      <c r="J352" t="s">
        <v>31</v>
      </c>
      <c r="K352" t="s">
        <v>64</v>
      </c>
      <c r="L352" t="s">
        <v>1</v>
      </c>
      <c r="M352">
        <v>16453872</v>
      </c>
    </row>
    <row r="353" spans="1:14" x14ac:dyDescent="0.25">
      <c r="A353" t="s">
        <v>490</v>
      </c>
      <c r="B353" t="str">
        <f>"0902728949678915"</f>
        <v>0902728949678915</v>
      </c>
      <c r="C353">
        <v>949678915</v>
      </c>
      <c r="D353" t="s">
        <v>12</v>
      </c>
      <c r="E353" s="1">
        <v>42064</v>
      </c>
      <c r="G353">
        <v>181.13</v>
      </c>
      <c r="H353">
        <v>150</v>
      </c>
      <c r="I353">
        <v>31.13</v>
      </c>
      <c r="J353" t="s">
        <v>15</v>
      </c>
      <c r="K353" t="s">
        <v>64</v>
      </c>
      <c r="L353" t="s">
        <v>1</v>
      </c>
      <c r="M353">
        <v>16453872</v>
      </c>
    </row>
    <row r="354" spans="1:14" x14ac:dyDescent="0.25">
      <c r="A354" t="s">
        <v>491</v>
      </c>
      <c r="B354" t="str">
        <f>"0902728942605368"</f>
        <v>0902728942605368</v>
      </c>
      <c r="C354">
        <v>942605368</v>
      </c>
      <c r="D354" t="s">
        <v>12</v>
      </c>
      <c r="E354" s="1">
        <v>42064</v>
      </c>
      <c r="F354" s="1">
        <v>42185</v>
      </c>
      <c r="G354">
        <v>293.67</v>
      </c>
      <c r="H354" t="str">
        <f>"0.00"</f>
        <v>0.00</v>
      </c>
      <c r="I354">
        <v>356.09</v>
      </c>
      <c r="J354" t="s">
        <v>43</v>
      </c>
      <c r="K354" t="s">
        <v>64</v>
      </c>
      <c r="L354" t="s">
        <v>1</v>
      </c>
      <c r="M354">
        <v>16453872</v>
      </c>
      <c r="N354" t="s">
        <v>492</v>
      </c>
    </row>
    <row r="355" spans="1:14" x14ac:dyDescent="0.25">
      <c r="A355" t="s">
        <v>493</v>
      </c>
      <c r="B355" t="str">
        <f>"0902728939659442"</f>
        <v>0902728939659442</v>
      </c>
      <c r="C355">
        <v>939659442</v>
      </c>
      <c r="D355" t="s">
        <v>12</v>
      </c>
      <c r="E355" s="1">
        <v>42064</v>
      </c>
      <c r="F355" s="1">
        <v>42155</v>
      </c>
      <c r="G355">
        <v>573.80999999999995</v>
      </c>
      <c r="H355">
        <v>505</v>
      </c>
      <c r="I355">
        <v>68.81</v>
      </c>
      <c r="J355" t="s">
        <v>13</v>
      </c>
      <c r="K355" t="s">
        <v>64</v>
      </c>
      <c r="L355" t="s">
        <v>1</v>
      </c>
      <c r="M355">
        <v>16453872</v>
      </c>
      <c r="N355" t="s">
        <v>494</v>
      </c>
    </row>
    <row r="356" spans="1:14" x14ac:dyDescent="0.25">
      <c r="A356" t="s">
        <v>495</v>
      </c>
      <c r="B356" t="str">
        <f>"0902728936395779"</f>
        <v>0902728936395779</v>
      </c>
      <c r="C356">
        <v>936395779</v>
      </c>
      <c r="D356" t="s">
        <v>12</v>
      </c>
      <c r="E356" s="1">
        <v>42064</v>
      </c>
      <c r="F356" s="1">
        <v>42124</v>
      </c>
      <c r="G356">
        <v>277.33</v>
      </c>
      <c r="H356">
        <v>162</v>
      </c>
      <c r="I356">
        <v>115.33</v>
      </c>
      <c r="J356" t="s">
        <v>57</v>
      </c>
      <c r="K356" t="s">
        <v>64</v>
      </c>
      <c r="L356" t="s">
        <v>1</v>
      </c>
      <c r="M356">
        <v>16453872</v>
      </c>
      <c r="N356" t="s">
        <v>496</v>
      </c>
    </row>
    <row r="357" spans="1:14" x14ac:dyDescent="0.25">
      <c r="A357" t="s">
        <v>497</v>
      </c>
      <c r="B357" t="str">
        <f>"0902728936494986"</f>
        <v>0902728936494986</v>
      </c>
      <c r="C357">
        <v>936494986</v>
      </c>
      <c r="D357" t="s">
        <v>12</v>
      </c>
      <c r="E357" s="1">
        <v>42064</v>
      </c>
      <c r="F357" s="1">
        <v>42155</v>
      </c>
      <c r="G357">
        <v>537.21</v>
      </c>
      <c r="H357">
        <v>514</v>
      </c>
      <c r="I357" t="str">
        <f>"0.32"</f>
        <v>0.32</v>
      </c>
      <c r="J357" t="s">
        <v>15</v>
      </c>
      <c r="K357" t="s">
        <v>64</v>
      </c>
      <c r="L357" t="s">
        <v>1</v>
      </c>
      <c r="M357">
        <v>16453872</v>
      </c>
    </row>
    <row r="358" spans="1:14" x14ac:dyDescent="0.25">
      <c r="A358" t="s">
        <v>498</v>
      </c>
      <c r="B358" t="str">
        <f>"0902728935440927"</f>
        <v>0902728935440927</v>
      </c>
      <c r="C358">
        <v>935440927</v>
      </c>
      <c r="D358" t="s">
        <v>12</v>
      </c>
      <c r="E358" s="1">
        <v>42064</v>
      </c>
      <c r="F358" s="1">
        <v>42155</v>
      </c>
      <c r="G358">
        <v>393.99</v>
      </c>
      <c r="H358">
        <v>324</v>
      </c>
      <c r="I358">
        <v>69.989999999999995</v>
      </c>
      <c r="J358" t="s">
        <v>15</v>
      </c>
      <c r="K358" t="s">
        <v>64</v>
      </c>
      <c r="L358" t="s">
        <v>1</v>
      </c>
      <c r="M358">
        <v>16453872</v>
      </c>
    </row>
    <row r="359" spans="1:14" x14ac:dyDescent="0.25">
      <c r="A359" t="s">
        <v>499</v>
      </c>
      <c r="B359" t="str">
        <f>"0902728933289185"</f>
        <v>0902728933289185</v>
      </c>
      <c r="C359">
        <v>933289185</v>
      </c>
      <c r="D359" t="s">
        <v>12</v>
      </c>
      <c r="E359" s="1">
        <v>42064</v>
      </c>
      <c r="F359" s="1">
        <v>42155</v>
      </c>
      <c r="G359">
        <v>259.3</v>
      </c>
      <c r="H359">
        <v>232</v>
      </c>
      <c r="I359">
        <v>16.100000000000001</v>
      </c>
      <c r="J359" t="s">
        <v>15</v>
      </c>
      <c r="K359" t="s">
        <v>64</v>
      </c>
      <c r="L359" t="s">
        <v>1</v>
      </c>
      <c r="M359">
        <v>16453872</v>
      </c>
      <c r="N359" t="s">
        <v>500</v>
      </c>
    </row>
    <row r="360" spans="1:14" x14ac:dyDescent="0.25">
      <c r="A360" t="s">
        <v>501</v>
      </c>
      <c r="B360" t="str">
        <f>"0902728923317184"</f>
        <v>0902728923317184</v>
      </c>
      <c r="C360">
        <v>923317184</v>
      </c>
      <c r="D360" t="s">
        <v>12</v>
      </c>
      <c r="E360" s="1">
        <v>42064</v>
      </c>
      <c r="G360">
        <v>646.44000000000005</v>
      </c>
      <c r="H360">
        <v>498</v>
      </c>
      <c r="I360">
        <v>148.44</v>
      </c>
      <c r="J360" t="s">
        <v>13</v>
      </c>
      <c r="K360" t="s">
        <v>64</v>
      </c>
      <c r="L360" t="s">
        <v>1</v>
      </c>
      <c r="M360">
        <v>16453872</v>
      </c>
      <c r="N360" t="s">
        <v>502</v>
      </c>
    </row>
    <row r="361" spans="1:14" x14ac:dyDescent="0.25">
      <c r="A361" t="s">
        <v>503</v>
      </c>
      <c r="B361" t="str">
        <f>"0902732949574818"</f>
        <v>0902732949574818</v>
      </c>
      <c r="C361">
        <v>949574818</v>
      </c>
      <c r="D361" t="s">
        <v>2</v>
      </c>
      <c r="E361" s="1">
        <v>42370</v>
      </c>
      <c r="G361">
        <v>294.29000000000002</v>
      </c>
      <c r="H361">
        <v>281</v>
      </c>
      <c r="I361">
        <v>13.29</v>
      </c>
      <c r="J361" t="s">
        <v>37</v>
      </c>
      <c r="K361" t="s">
        <v>64</v>
      </c>
      <c r="L361" t="s">
        <v>1</v>
      </c>
      <c r="M361">
        <v>16453872</v>
      </c>
    </row>
    <row r="362" spans="1:14" x14ac:dyDescent="0.25">
      <c r="A362" t="s">
        <v>504</v>
      </c>
      <c r="B362" t="str">
        <f>"0902732944639102"</f>
        <v>0902732944639102</v>
      </c>
      <c r="C362">
        <v>944639102</v>
      </c>
      <c r="D362" t="s">
        <v>2</v>
      </c>
      <c r="E362" s="1">
        <v>42370</v>
      </c>
      <c r="G362">
        <v>370.19</v>
      </c>
      <c r="H362">
        <v>296</v>
      </c>
      <c r="I362">
        <v>74.19</v>
      </c>
      <c r="J362" t="s">
        <v>35</v>
      </c>
      <c r="K362" t="s">
        <v>64</v>
      </c>
      <c r="L362" t="s">
        <v>1</v>
      </c>
      <c r="M362">
        <v>16453872</v>
      </c>
    </row>
    <row r="363" spans="1:14" x14ac:dyDescent="0.25">
      <c r="A363" t="s">
        <v>505</v>
      </c>
      <c r="B363" t="str">
        <f>"0902732944082604"</f>
        <v>0902732944082604</v>
      </c>
      <c r="C363">
        <v>944082604</v>
      </c>
      <c r="D363" t="s">
        <v>2</v>
      </c>
      <c r="E363" s="1">
        <v>42370</v>
      </c>
      <c r="G363">
        <v>319.97000000000003</v>
      </c>
      <c r="H363">
        <v>278</v>
      </c>
      <c r="I363">
        <v>15.33</v>
      </c>
      <c r="J363" t="s">
        <v>40</v>
      </c>
      <c r="K363" t="s">
        <v>64</v>
      </c>
      <c r="L363" t="s">
        <v>1</v>
      </c>
      <c r="M363">
        <v>16453872</v>
      </c>
    </row>
    <row r="364" spans="1:14" x14ac:dyDescent="0.25">
      <c r="A364" t="s">
        <v>506</v>
      </c>
      <c r="B364" t="str">
        <f>"0902732948636877"</f>
        <v>0902732948636877</v>
      </c>
      <c r="C364">
        <v>948636877</v>
      </c>
      <c r="D364" t="s">
        <v>2</v>
      </c>
      <c r="E364" s="1">
        <v>42370</v>
      </c>
      <c r="G364">
        <v>299.94</v>
      </c>
      <c r="H364">
        <v>217</v>
      </c>
      <c r="I364">
        <v>82.94</v>
      </c>
      <c r="J364" t="s">
        <v>47</v>
      </c>
      <c r="K364" t="s">
        <v>64</v>
      </c>
      <c r="L364" t="s">
        <v>1</v>
      </c>
      <c r="M364">
        <v>16453872</v>
      </c>
    </row>
    <row r="365" spans="1:14" x14ac:dyDescent="0.25">
      <c r="A365" t="s">
        <v>507</v>
      </c>
      <c r="B365" t="str">
        <f>"0902732939394753"</f>
        <v>0902732939394753</v>
      </c>
      <c r="C365">
        <v>939394753</v>
      </c>
      <c r="D365" t="s">
        <v>2</v>
      </c>
      <c r="E365" s="1">
        <v>42370</v>
      </c>
      <c r="G365">
        <v>1085.27</v>
      </c>
      <c r="H365">
        <v>1045</v>
      </c>
      <c r="I365">
        <v>40.270000000000003</v>
      </c>
      <c r="J365" t="s">
        <v>36</v>
      </c>
      <c r="K365" t="s">
        <v>64</v>
      </c>
      <c r="L365" t="s">
        <v>1</v>
      </c>
      <c r="M365">
        <v>16453872</v>
      </c>
    </row>
    <row r="366" spans="1:14" x14ac:dyDescent="0.25">
      <c r="A366" t="s">
        <v>508</v>
      </c>
      <c r="B366" t="str">
        <f>"0902732934529334"</f>
        <v>0902732934529334</v>
      </c>
      <c r="C366">
        <v>934529334</v>
      </c>
      <c r="D366" t="s">
        <v>2</v>
      </c>
      <c r="E366" s="1">
        <v>42370</v>
      </c>
      <c r="G366">
        <v>211.76</v>
      </c>
      <c r="H366">
        <v>157</v>
      </c>
      <c r="I366">
        <v>54.76</v>
      </c>
      <c r="J366" t="s">
        <v>47</v>
      </c>
      <c r="K366" t="s">
        <v>64</v>
      </c>
      <c r="L366" t="s">
        <v>1</v>
      </c>
      <c r="M366">
        <v>16453872</v>
      </c>
    </row>
    <row r="367" spans="1:14" x14ac:dyDescent="0.25">
      <c r="A367" t="s">
        <v>509</v>
      </c>
      <c r="B367" t="str">
        <f>"0902732937781065"</f>
        <v>0902732937781065</v>
      </c>
      <c r="C367">
        <v>937781065</v>
      </c>
      <c r="D367" t="s">
        <v>2</v>
      </c>
      <c r="E367" s="1">
        <v>42370</v>
      </c>
      <c r="G367">
        <v>786.35</v>
      </c>
      <c r="H367">
        <v>635</v>
      </c>
      <c r="I367">
        <v>151.35</v>
      </c>
      <c r="J367" t="s">
        <v>36</v>
      </c>
      <c r="K367" t="s">
        <v>64</v>
      </c>
      <c r="L367" t="s">
        <v>1</v>
      </c>
      <c r="M367">
        <v>16453872</v>
      </c>
    </row>
    <row r="368" spans="1:14" x14ac:dyDescent="0.25">
      <c r="A368" t="s">
        <v>510</v>
      </c>
      <c r="B368" t="str">
        <f>"0902732926072459"</f>
        <v>0902732926072459</v>
      </c>
      <c r="C368">
        <v>926072459</v>
      </c>
      <c r="D368" t="s">
        <v>2</v>
      </c>
      <c r="E368" s="1">
        <v>42370</v>
      </c>
      <c r="G368">
        <v>294.77</v>
      </c>
      <c r="H368">
        <v>246</v>
      </c>
      <c r="I368">
        <v>81.17</v>
      </c>
      <c r="J368" t="s">
        <v>36</v>
      </c>
      <c r="K368" t="s">
        <v>64</v>
      </c>
      <c r="L368" t="s">
        <v>1</v>
      </c>
      <c r="M368">
        <v>16453872</v>
      </c>
    </row>
    <row r="369" spans="1:14" x14ac:dyDescent="0.25">
      <c r="A369" t="s">
        <v>511</v>
      </c>
      <c r="B369" t="str">
        <f>"0902732926264999"</f>
        <v>0902732926264999</v>
      </c>
      <c r="C369">
        <v>926264999</v>
      </c>
      <c r="D369" t="s">
        <v>2</v>
      </c>
      <c r="E369" s="1">
        <v>42370</v>
      </c>
      <c r="G369">
        <v>557.04</v>
      </c>
      <c r="H369">
        <v>375</v>
      </c>
      <c r="I369">
        <v>182.04</v>
      </c>
      <c r="J369" t="s">
        <v>33</v>
      </c>
      <c r="K369" t="s">
        <v>64</v>
      </c>
      <c r="L369" t="s">
        <v>1</v>
      </c>
      <c r="M369">
        <v>16453872</v>
      </c>
    </row>
    <row r="370" spans="1:14" x14ac:dyDescent="0.25">
      <c r="A370" t="s">
        <v>512</v>
      </c>
      <c r="B370" t="str">
        <f>"0902732928357772"</f>
        <v>0902732928357772</v>
      </c>
      <c r="C370">
        <v>928357772</v>
      </c>
      <c r="D370" t="s">
        <v>2</v>
      </c>
      <c r="E370" s="1">
        <v>42370</v>
      </c>
      <c r="G370">
        <v>337.01</v>
      </c>
      <c r="H370">
        <v>242</v>
      </c>
      <c r="I370">
        <v>95.01</v>
      </c>
      <c r="J370" t="s">
        <v>47</v>
      </c>
      <c r="K370" t="s">
        <v>64</v>
      </c>
      <c r="L370" t="s">
        <v>1</v>
      </c>
      <c r="M370">
        <v>16453872</v>
      </c>
    </row>
    <row r="371" spans="1:14" x14ac:dyDescent="0.25">
      <c r="A371" t="s">
        <v>513</v>
      </c>
      <c r="B371" t="str">
        <f>"0902732917629715"</f>
        <v>0902732917629715</v>
      </c>
      <c r="C371">
        <v>917629715</v>
      </c>
      <c r="D371" t="s">
        <v>2</v>
      </c>
      <c r="E371" s="1">
        <v>42370</v>
      </c>
      <c r="G371">
        <v>668.97</v>
      </c>
      <c r="H371">
        <v>469</v>
      </c>
      <c r="I371">
        <v>199.97</v>
      </c>
      <c r="J371" t="s">
        <v>56</v>
      </c>
      <c r="K371" t="s">
        <v>64</v>
      </c>
      <c r="L371" t="s">
        <v>1</v>
      </c>
      <c r="M371">
        <v>16453872</v>
      </c>
    </row>
    <row r="372" spans="1:14" x14ac:dyDescent="0.25">
      <c r="A372" t="s">
        <v>514</v>
      </c>
      <c r="B372" t="str">
        <f>"0902732918566003"</f>
        <v>0902732918566003</v>
      </c>
      <c r="C372">
        <v>918566003</v>
      </c>
      <c r="D372" t="s">
        <v>2</v>
      </c>
      <c r="E372" s="1">
        <v>42370</v>
      </c>
      <c r="G372">
        <v>195.94</v>
      </c>
      <c r="H372">
        <v>139</v>
      </c>
      <c r="I372">
        <v>56.94</v>
      </c>
      <c r="J372" t="s">
        <v>36</v>
      </c>
      <c r="K372" t="s">
        <v>64</v>
      </c>
      <c r="L372" t="s">
        <v>1</v>
      </c>
      <c r="M372">
        <v>16453872</v>
      </c>
      <c r="N372" t="s">
        <v>515</v>
      </c>
    </row>
    <row r="373" spans="1:14" x14ac:dyDescent="0.25">
      <c r="A373" t="s">
        <v>516</v>
      </c>
      <c r="B373" t="str">
        <f>"0902732914822226"</f>
        <v>0902732914822226</v>
      </c>
      <c r="C373">
        <v>914822226</v>
      </c>
      <c r="D373" t="s">
        <v>2</v>
      </c>
      <c r="E373" s="1">
        <v>42370</v>
      </c>
      <c r="G373">
        <v>158.44999999999999</v>
      </c>
      <c r="H373">
        <v>149.86000000000001</v>
      </c>
      <c r="I373" t="str">
        <f>"0.18"</f>
        <v>0.18</v>
      </c>
      <c r="J373" t="s">
        <v>36</v>
      </c>
      <c r="K373" t="s">
        <v>64</v>
      </c>
      <c r="L373" t="s">
        <v>1</v>
      </c>
      <c r="M373">
        <v>16453872</v>
      </c>
    </row>
    <row r="374" spans="1:14" x14ac:dyDescent="0.25">
      <c r="A374" t="s">
        <v>517</v>
      </c>
      <c r="B374" t="str">
        <f>"0902732909095989"</f>
        <v>0902732909095989</v>
      </c>
      <c r="C374">
        <v>909095989</v>
      </c>
      <c r="D374" t="s">
        <v>2</v>
      </c>
      <c r="E374" s="1">
        <v>42370</v>
      </c>
      <c r="G374">
        <v>557.04</v>
      </c>
      <c r="H374">
        <v>495</v>
      </c>
      <c r="I374">
        <v>62.04</v>
      </c>
      <c r="J374" t="s">
        <v>36</v>
      </c>
      <c r="K374" t="s">
        <v>64</v>
      </c>
      <c r="L374" t="s">
        <v>1</v>
      </c>
      <c r="M374">
        <v>16453872</v>
      </c>
    </row>
    <row r="375" spans="1:14" x14ac:dyDescent="0.25">
      <c r="A375" t="s">
        <v>518</v>
      </c>
      <c r="B375" t="str">
        <f>"0902732909540744"</f>
        <v>0902732909540744</v>
      </c>
      <c r="C375">
        <v>909540744</v>
      </c>
      <c r="D375" t="s">
        <v>2</v>
      </c>
      <c r="E375" s="1">
        <v>42370</v>
      </c>
      <c r="G375">
        <v>821.83</v>
      </c>
      <c r="H375">
        <v>694</v>
      </c>
      <c r="I375">
        <v>127.83</v>
      </c>
      <c r="J375" t="s">
        <v>47</v>
      </c>
      <c r="K375" t="s">
        <v>64</v>
      </c>
      <c r="L375" t="s">
        <v>1</v>
      </c>
      <c r="M375">
        <v>16453872</v>
      </c>
    </row>
    <row r="376" spans="1:14" x14ac:dyDescent="0.25">
      <c r="A376" t="s">
        <v>519</v>
      </c>
      <c r="B376" t="str">
        <f>"0902730974750020"</f>
        <v>0902730974750020</v>
      </c>
      <c r="C376">
        <v>974750020</v>
      </c>
      <c r="D376" t="s">
        <v>38</v>
      </c>
      <c r="E376" s="1">
        <v>42370</v>
      </c>
      <c r="G376">
        <v>830.59</v>
      </c>
      <c r="H376">
        <v>667</v>
      </c>
      <c r="I376">
        <v>163.59</v>
      </c>
      <c r="J376" t="s">
        <v>520</v>
      </c>
      <c r="K376" t="s">
        <v>64</v>
      </c>
      <c r="L376" t="s">
        <v>1</v>
      </c>
      <c r="M376">
        <v>16453872</v>
      </c>
    </row>
    <row r="377" spans="1:14" x14ac:dyDescent="0.25">
      <c r="A377" t="s">
        <v>521</v>
      </c>
      <c r="B377" t="str">
        <f>"0902730978778928"</f>
        <v>0902730978778928</v>
      </c>
      <c r="C377">
        <v>978778928</v>
      </c>
      <c r="D377" t="s">
        <v>38</v>
      </c>
      <c r="E377" s="1">
        <v>42370</v>
      </c>
      <c r="G377">
        <v>413.98</v>
      </c>
      <c r="H377">
        <v>169</v>
      </c>
      <c r="I377">
        <v>244.98</v>
      </c>
      <c r="J377" t="s">
        <v>21</v>
      </c>
      <c r="K377" t="s">
        <v>64</v>
      </c>
      <c r="L377" t="s">
        <v>1</v>
      </c>
      <c r="M377">
        <v>16453872</v>
      </c>
    </row>
    <row r="378" spans="1:14" x14ac:dyDescent="0.25">
      <c r="A378" t="s">
        <v>522</v>
      </c>
      <c r="B378" t="str">
        <f>"0902732901385573"</f>
        <v>0902732901385573</v>
      </c>
      <c r="C378">
        <v>901385573</v>
      </c>
      <c r="D378" t="s">
        <v>2</v>
      </c>
      <c r="E378" s="1">
        <v>42370</v>
      </c>
      <c r="G378">
        <v>152.12</v>
      </c>
      <c r="H378" t="str">
        <f>"0.00"</f>
        <v>0.00</v>
      </c>
      <c r="I378">
        <v>152.12</v>
      </c>
      <c r="J378" t="s">
        <v>56</v>
      </c>
      <c r="K378" t="s">
        <v>64</v>
      </c>
      <c r="L378" t="s">
        <v>1</v>
      </c>
      <c r="M378">
        <v>16453872</v>
      </c>
    </row>
    <row r="379" spans="1:14" x14ac:dyDescent="0.25">
      <c r="A379" t="s">
        <v>523</v>
      </c>
      <c r="B379" t="str">
        <f>"0902732902651568"</f>
        <v>0902732902651568</v>
      </c>
      <c r="C379">
        <v>902651568</v>
      </c>
      <c r="D379" t="s">
        <v>2</v>
      </c>
      <c r="E379" s="1">
        <v>42370</v>
      </c>
      <c r="G379">
        <v>260.91000000000003</v>
      </c>
      <c r="H379">
        <v>230</v>
      </c>
      <c r="I379">
        <v>30.91</v>
      </c>
      <c r="J379" t="s">
        <v>36</v>
      </c>
      <c r="K379" t="s">
        <v>64</v>
      </c>
      <c r="L379" t="s">
        <v>1</v>
      </c>
      <c r="M379">
        <v>16453872</v>
      </c>
    </row>
    <row r="380" spans="1:14" x14ac:dyDescent="0.25">
      <c r="A380" t="s">
        <v>524</v>
      </c>
      <c r="B380" t="str">
        <f>"0902730957833524"</f>
        <v>0902730957833524</v>
      </c>
      <c r="C380">
        <v>957833524</v>
      </c>
      <c r="D380" t="s">
        <v>38</v>
      </c>
      <c r="E380" s="1">
        <v>42370</v>
      </c>
      <c r="G380">
        <v>440.92</v>
      </c>
      <c r="H380">
        <v>167</v>
      </c>
      <c r="I380">
        <v>273.92</v>
      </c>
      <c r="J380" t="s">
        <v>525</v>
      </c>
      <c r="K380" t="s">
        <v>64</v>
      </c>
      <c r="L380" t="s">
        <v>1</v>
      </c>
      <c r="M380">
        <v>16453872</v>
      </c>
    </row>
    <row r="381" spans="1:14" x14ac:dyDescent="0.25">
      <c r="A381" t="s">
        <v>526</v>
      </c>
      <c r="B381" t="str">
        <f>"0902730957091731"</f>
        <v>0902730957091731</v>
      </c>
      <c r="C381">
        <v>957091731</v>
      </c>
      <c r="D381" t="s">
        <v>38</v>
      </c>
      <c r="E381" s="1">
        <v>42370</v>
      </c>
      <c r="G381">
        <v>620.97</v>
      </c>
      <c r="H381">
        <v>154</v>
      </c>
      <c r="I381">
        <v>466.97</v>
      </c>
      <c r="J381" t="s">
        <v>525</v>
      </c>
      <c r="K381" t="s">
        <v>64</v>
      </c>
      <c r="L381" t="s">
        <v>1</v>
      </c>
      <c r="M381">
        <v>16453872</v>
      </c>
    </row>
    <row r="382" spans="1:14" x14ac:dyDescent="0.25">
      <c r="A382" t="s">
        <v>527</v>
      </c>
      <c r="B382" t="str">
        <f>"0902730932642930"</f>
        <v>0902730932642930</v>
      </c>
      <c r="C382">
        <v>932642930</v>
      </c>
      <c r="D382" t="s">
        <v>38</v>
      </c>
      <c r="E382" s="1">
        <v>42370</v>
      </c>
      <c r="G382">
        <v>216.15</v>
      </c>
      <c r="H382">
        <v>163</v>
      </c>
      <c r="I382">
        <v>53.15</v>
      </c>
      <c r="J382" t="s">
        <v>528</v>
      </c>
      <c r="K382" t="s">
        <v>64</v>
      </c>
      <c r="L382" t="s">
        <v>1</v>
      </c>
      <c r="M382">
        <v>16453872</v>
      </c>
    </row>
    <row r="383" spans="1:14" x14ac:dyDescent="0.25">
      <c r="A383" t="s">
        <v>529</v>
      </c>
      <c r="B383" t="str">
        <f>"0902730902494247"</f>
        <v>0902730902494247</v>
      </c>
      <c r="C383">
        <v>902494247</v>
      </c>
      <c r="D383" t="s">
        <v>38</v>
      </c>
      <c r="E383" s="1">
        <v>42370</v>
      </c>
      <c r="G383">
        <v>347.76</v>
      </c>
      <c r="H383" t="str">
        <f>"0.00"</f>
        <v>0.00</v>
      </c>
      <c r="I383">
        <v>347.76</v>
      </c>
      <c r="J383" t="s">
        <v>49</v>
      </c>
      <c r="K383" t="s">
        <v>64</v>
      </c>
      <c r="L383" t="s">
        <v>1</v>
      </c>
      <c r="M383">
        <v>16453872</v>
      </c>
    </row>
    <row r="384" spans="1:14" x14ac:dyDescent="0.25">
      <c r="A384" t="s">
        <v>530</v>
      </c>
      <c r="B384" t="str">
        <f>"0902729921606400"</f>
        <v>0902729921606400</v>
      </c>
      <c r="C384">
        <v>921606400</v>
      </c>
      <c r="D384" t="s">
        <v>46</v>
      </c>
      <c r="E384" s="1">
        <v>42370</v>
      </c>
      <c r="G384">
        <v>1656.92</v>
      </c>
      <c r="H384">
        <v>1185</v>
      </c>
      <c r="I384">
        <v>471.92</v>
      </c>
      <c r="J384" t="s">
        <v>531</v>
      </c>
      <c r="K384" t="s">
        <v>64</v>
      </c>
      <c r="L384" t="s">
        <v>1</v>
      </c>
      <c r="M384">
        <v>16453872</v>
      </c>
    </row>
    <row r="385" spans="1:13" x14ac:dyDescent="0.25">
      <c r="A385" t="s">
        <v>532</v>
      </c>
      <c r="B385" t="str">
        <f>"0902729950179512"</f>
        <v>0902729950179512</v>
      </c>
      <c r="C385">
        <v>950179512</v>
      </c>
      <c r="D385" t="s">
        <v>46</v>
      </c>
      <c r="E385" s="1">
        <v>42370</v>
      </c>
      <c r="G385">
        <v>1125.8800000000001</v>
      </c>
      <c r="H385">
        <v>858</v>
      </c>
      <c r="I385">
        <v>267.88</v>
      </c>
      <c r="J385" t="s">
        <v>49</v>
      </c>
      <c r="K385" t="s">
        <v>64</v>
      </c>
      <c r="L385" t="s">
        <v>1</v>
      </c>
      <c r="M385">
        <v>16453872</v>
      </c>
    </row>
    <row r="386" spans="1:13" x14ac:dyDescent="0.25">
      <c r="A386" t="s">
        <v>533</v>
      </c>
      <c r="B386" t="str">
        <f>"0902728975795682"</f>
        <v>0902728975795682</v>
      </c>
      <c r="C386">
        <v>975795682</v>
      </c>
      <c r="D386" t="s">
        <v>12</v>
      </c>
      <c r="E386" s="1">
        <v>42370</v>
      </c>
      <c r="G386">
        <v>777.77</v>
      </c>
      <c r="H386">
        <v>632</v>
      </c>
      <c r="I386">
        <v>145.77000000000001</v>
      </c>
      <c r="J386" t="s">
        <v>534</v>
      </c>
      <c r="K386" t="s">
        <v>64</v>
      </c>
      <c r="L386" t="s">
        <v>1</v>
      </c>
      <c r="M386">
        <v>16453872</v>
      </c>
    </row>
    <row r="387" spans="1:13" x14ac:dyDescent="0.25">
      <c r="A387" t="s">
        <v>535</v>
      </c>
      <c r="B387" t="str">
        <f>"0902728973223583"</f>
        <v>0902728973223583</v>
      </c>
      <c r="C387">
        <v>973223583</v>
      </c>
      <c r="D387" t="s">
        <v>12</v>
      </c>
      <c r="E387" s="1">
        <v>42370</v>
      </c>
      <c r="G387">
        <v>461.72</v>
      </c>
      <c r="H387">
        <v>383</v>
      </c>
      <c r="I387">
        <v>78.72</v>
      </c>
      <c r="J387" t="s">
        <v>13</v>
      </c>
      <c r="K387" t="s">
        <v>64</v>
      </c>
      <c r="L387" t="s">
        <v>1</v>
      </c>
      <c r="M387">
        <v>16453872</v>
      </c>
    </row>
    <row r="388" spans="1:13" x14ac:dyDescent="0.25">
      <c r="A388" t="s">
        <v>536</v>
      </c>
      <c r="B388" t="str">
        <f>"0902728977269018"</f>
        <v>0902728977269018</v>
      </c>
      <c r="C388">
        <v>977269018</v>
      </c>
      <c r="D388" t="s">
        <v>12</v>
      </c>
      <c r="E388" s="1">
        <v>42370</v>
      </c>
      <c r="G388">
        <v>806.73</v>
      </c>
      <c r="H388">
        <v>806.33</v>
      </c>
      <c r="I388" t="str">
        <f>"0.40"</f>
        <v>0.40</v>
      </c>
      <c r="J388" t="s">
        <v>15</v>
      </c>
      <c r="K388" t="s">
        <v>64</v>
      </c>
      <c r="L388" t="s">
        <v>1</v>
      </c>
      <c r="M388">
        <v>16453872</v>
      </c>
    </row>
    <row r="389" spans="1:13" x14ac:dyDescent="0.25">
      <c r="A389" t="s">
        <v>537</v>
      </c>
      <c r="B389" t="str">
        <f>"0902728977512453"</f>
        <v>0902728977512453</v>
      </c>
      <c r="C389">
        <v>977512453</v>
      </c>
      <c r="D389" t="s">
        <v>12</v>
      </c>
      <c r="E389" s="1">
        <v>42370</v>
      </c>
      <c r="G389">
        <v>693.36</v>
      </c>
      <c r="H389">
        <v>636</v>
      </c>
      <c r="I389">
        <v>57.36</v>
      </c>
      <c r="J389" t="s">
        <v>13</v>
      </c>
      <c r="K389" t="s">
        <v>64</v>
      </c>
      <c r="L389" t="s">
        <v>1</v>
      </c>
      <c r="M389">
        <v>16453872</v>
      </c>
    </row>
    <row r="390" spans="1:13" x14ac:dyDescent="0.25">
      <c r="A390" t="s">
        <v>538</v>
      </c>
      <c r="B390" t="str">
        <f>"0902728979431161"</f>
        <v>0902728979431161</v>
      </c>
      <c r="C390">
        <v>979431161</v>
      </c>
      <c r="D390" t="s">
        <v>12</v>
      </c>
      <c r="E390" s="1">
        <v>42370</v>
      </c>
      <c r="G390">
        <v>524.91</v>
      </c>
      <c r="H390" t="str">
        <f>"0.00"</f>
        <v>0.00</v>
      </c>
      <c r="I390">
        <v>524.91</v>
      </c>
      <c r="J390" t="s">
        <v>52</v>
      </c>
      <c r="K390" t="s">
        <v>64</v>
      </c>
      <c r="L390" t="s">
        <v>1</v>
      </c>
      <c r="M390">
        <v>16453872</v>
      </c>
    </row>
    <row r="391" spans="1:13" x14ac:dyDescent="0.25">
      <c r="A391" t="s">
        <v>539</v>
      </c>
      <c r="B391" t="str">
        <f>"0902728978903383"</f>
        <v>0902728978903383</v>
      </c>
      <c r="C391">
        <v>978903383</v>
      </c>
      <c r="D391" t="s">
        <v>12</v>
      </c>
      <c r="E391" s="1">
        <v>42370</v>
      </c>
      <c r="G391">
        <v>682.67</v>
      </c>
      <c r="H391">
        <v>216</v>
      </c>
      <c r="I391">
        <v>466.67</v>
      </c>
      <c r="J391" t="s">
        <v>52</v>
      </c>
      <c r="K391" t="s">
        <v>64</v>
      </c>
      <c r="L391" t="s">
        <v>1</v>
      </c>
      <c r="M391">
        <v>16453872</v>
      </c>
    </row>
    <row r="392" spans="1:13" x14ac:dyDescent="0.25">
      <c r="A392" t="s">
        <v>540</v>
      </c>
      <c r="B392" t="str">
        <f>"0902728972602728"</f>
        <v>0902728972602728</v>
      </c>
      <c r="C392">
        <v>972602728</v>
      </c>
      <c r="D392" t="s">
        <v>12</v>
      </c>
      <c r="E392" s="1">
        <v>42370</v>
      </c>
      <c r="G392">
        <v>649.16999999999996</v>
      </c>
      <c r="H392">
        <v>648.85</v>
      </c>
      <c r="I392" t="str">
        <f>"0.32"</f>
        <v>0.32</v>
      </c>
      <c r="J392" t="s">
        <v>15</v>
      </c>
      <c r="K392" t="s">
        <v>64</v>
      </c>
      <c r="L392" t="s">
        <v>1</v>
      </c>
      <c r="M392">
        <v>16453872</v>
      </c>
    </row>
    <row r="393" spans="1:13" x14ac:dyDescent="0.25">
      <c r="A393" t="s">
        <v>541</v>
      </c>
      <c r="B393" t="str">
        <f>"0902728970111340"</f>
        <v>0902728970111340</v>
      </c>
      <c r="C393">
        <v>970111340</v>
      </c>
      <c r="D393" t="s">
        <v>12</v>
      </c>
      <c r="E393" s="1">
        <v>42370</v>
      </c>
      <c r="G393">
        <v>493.36</v>
      </c>
      <c r="H393">
        <v>466</v>
      </c>
      <c r="I393">
        <v>27.36</v>
      </c>
      <c r="J393" t="s">
        <v>42</v>
      </c>
      <c r="K393" t="s">
        <v>64</v>
      </c>
      <c r="L393" t="s">
        <v>1</v>
      </c>
      <c r="M393">
        <v>16453872</v>
      </c>
    </row>
    <row r="394" spans="1:13" x14ac:dyDescent="0.25">
      <c r="A394" t="s">
        <v>542</v>
      </c>
      <c r="B394" t="str">
        <f>"0902728970955039"</f>
        <v>0902728970955039</v>
      </c>
      <c r="C394">
        <v>970955039</v>
      </c>
      <c r="D394" t="s">
        <v>12</v>
      </c>
      <c r="E394" s="1">
        <v>42370</v>
      </c>
      <c r="G394">
        <v>340.8</v>
      </c>
      <c r="H394">
        <v>340.63</v>
      </c>
      <c r="I394" t="str">
        <f>"0.17"</f>
        <v>0.17</v>
      </c>
      <c r="J394" t="s">
        <v>26</v>
      </c>
      <c r="K394" t="s">
        <v>64</v>
      </c>
      <c r="L394" t="s">
        <v>1</v>
      </c>
      <c r="M394">
        <v>16453872</v>
      </c>
    </row>
    <row r="395" spans="1:13" x14ac:dyDescent="0.25">
      <c r="A395" t="s">
        <v>543</v>
      </c>
      <c r="B395" t="str">
        <f>"0902728968872163"</f>
        <v>0902728968872163</v>
      </c>
      <c r="C395">
        <v>968872163</v>
      </c>
      <c r="D395" t="s">
        <v>12</v>
      </c>
      <c r="E395" s="1">
        <v>42370</v>
      </c>
      <c r="G395">
        <v>891.59</v>
      </c>
      <c r="H395">
        <v>891.14</v>
      </c>
      <c r="I395" t="str">
        <f>"0.45"</f>
        <v>0.45</v>
      </c>
      <c r="J395" t="s">
        <v>15</v>
      </c>
      <c r="K395" t="s">
        <v>64</v>
      </c>
      <c r="L395" t="s">
        <v>1</v>
      </c>
      <c r="M395">
        <v>16453872</v>
      </c>
    </row>
    <row r="396" spans="1:13" x14ac:dyDescent="0.25">
      <c r="A396" t="s">
        <v>544</v>
      </c>
      <c r="B396" t="str">
        <f>"0902728970551602"</f>
        <v>0902728970551602</v>
      </c>
      <c r="C396">
        <v>970551602</v>
      </c>
      <c r="D396" t="s">
        <v>12</v>
      </c>
      <c r="E396" s="1">
        <v>42370</v>
      </c>
      <c r="G396">
        <v>348.79</v>
      </c>
      <c r="H396">
        <v>249</v>
      </c>
      <c r="I396">
        <v>99.79</v>
      </c>
      <c r="J396" t="s">
        <v>41</v>
      </c>
      <c r="K396" t="s">
        <v>64</v>
      </c>
      <c r="L396" t="s">
        <v>1</v>
      </c>
      <c r="M396">
        <v>16453872</v>
      </c>
    </row>
    <row r="397" spans="1:13" x14ac:dyDescent="0.25">
      <c r="A397" t="s">
        <v>545</v>
      </c>
      <c r="B397" t="str">
        <f>"0902728964967096"</f>
        <v>0902728964967096</v>
      </c>
      <c r="C397">
        <v>964967096</v>
      </c>
      <c r="D397" t="s">
        <v>12</v>
      </c>
      <c r="E397" s="1">
        <v>42370</v>
      </c>
      <c r="G397">
        <v>280.5</v>
      </c>
      <c r="H397">
        <v>280.36</v>
      </c>
      <c r="I397" t="str">
        <f>"0.14"</f>
        <v>0.14</v>
      </c>
      <c r="J397" t="s">
        <v>8</v>
      </c>
      <c r="K397" t="s">
        <v>64</v>
      </c>
      <c r="L397" t="s">
        <v>1</v>
      </c>
      <c r="M397">
        <v>16453872</v>
      </c>
    </row>
    <row r="398" spans="1:13" x14ac:dyDescent="0.25">
      <c r="A398" t="s">
        <v>546</v>
      </c>
      <c r="B398" t="str">
        <f>"0902728964986617"</f>
        <v>0902728964986617</v>
      </c>
      <c r="C398">
        <v>964986617</v>
      </c>
      <c r="D398" t="s">
        <v>12</v>
      </c>
      <c r="E398" s="1">
        <v>42370</v>
      </c>
      <c r="G398">
        <v>810.64</v>
      </c>
      <c r="H398">
        <v>795</v>
      </c>
      <c r="I398">
        <v>15.64</v>
      </c>
      <c r="J398" t="s">
        <v>15</v>
      </c>
      <c r="K398" t="s">
        <v>64</v>
      </c>
      <c r="L398" t="s">
        <v>1</v>
      </c>
      <c r="M398">
        <v>16453872</v>
      </c>
    </row>
    <row r="399" spans="1:13" x14ac:dyDescent="0.25">
      <c r="A399" t="s">
        <v>547</v>
      </c>
      <c r="B399" t="str">
        <f>"0902728966545868"</f>
        <v>0902728966545868</v>
      </c>
      <c r="C399">
        <v>966545868</v>
      </c>
      <c r="D399" t="s">
        <v>12</v>
      </c>
      <c r="E399" s="1">
        <v>42370</v>
      </c>
      <c r="G399">
        <v>253.16</v>
      </c>
      <c r="H399">
        <v>242</v>
      </c>
      <c r="I399">
        <v>11.16</v>
      </c>
      <c r="J399" t="s">
        <v>15</v>
      </c>
      <c r="K399" t="s">
        <v>64</v>
      </c>
      <c r="L399" t="s">
        <v>1</v>
      </c>
      <c r="M399">
        <v>16453872</v>
      </c>
    </row>
    <row r="400" spans="1:13" x14ac:dyDescent="0.25">
      <c r="A400" t="s">
        <v>548</v>
      </c>
      <c r="B400" t="str">
        <f>"0902728964181724"</f>
        <v>0902728964181724</v>
      </c>
      <c r="C400">
        <v>964181724</v>
      </c>
      <c r="D400" t="s">
        <v>12</v>
      </c>
      <c r="E400" s="1">
        <v>42370</v>
      </c>
      <c r="G400">
        <v>333.1</v>
      </c>
      <c r="H400">
        <v>332.93</v>
      </c>
      <c r="I400" t="str">
        <f>"0.17"</f>
        <v>0.17</v>
      </c>
      <c r="J400" t="s">
        <v>8</v>
      </c>
      <c r="K400" t="s">
        <v>64</v>
      </c>
      <c r="L400" t="s">
        <v>1</v>
      </c>
      <c r="M400">
        <v>16453872</v>
      </c>
    </row>
    <row r="401" spans="1:13" x14ac:dyDescent="0.25">
      <c r="A401" t="s">
        <v>549</v>
      </c>
      <c r="B401" t="str">
        <f>"0902728962664938"</f>
        <v>0902728962664938</v>
      </c>
      <c r="C401">
        <v>962664938</v>
      </c>
      <c r="D401" t="s">
        <v>12</v>
      </c>
      <c r="E401" s="1">
        <v>42370</v>
      </c>
      <c r="G401">
        <v>429.15</v>
      </c>
      <c r="H401">
        <v>424</v>
      </c>
      <c r="I401">
        <v>5.15</v>
      </c>
      <c r="J401" t="s">
        <v>15</v>
      </c>
      <c r="K401" t="s">
        <v>64</v>
      </c>
      <c r="L401" t="s">
        <v>1</v>
      </c>
      <c r="M401">
        <v>16453872</v>
      </c>
    </row>
    <row r="402" spans="1:13" x14ac:dyDescent="0.25">
      <c r="A402" t="s">
        <v>550</v>
      </c>
      <c r="B402" t="str">
        <f>"0902728961347424"</f>
        <v>0902728961347424</v>
      </c>
      <c r="C402">
        <v>961347424</v>
      </c>
      <c r="D402" t="s">
        <v>12</v>
      </c>
      <c r="E402" s="1">
        <v>42370</v>
      </c>
      <c r="F402" s="1">
        <v>42400</v>
      </c>
      <c r="G402">
        <v>518.25</v>
      </c>
      <c r="H402">
        <v>269</v>
      </c>
      <c r="I402">
        <v>249.25</v>
      </c>
      <c r="J402" t="s">
        <v>8</v>
      </c>
      <c r="K402" t="s">
        <v>64</v>
      </c>
      <c r="L402" t="s">
        <v>1</v>
      </c>
      <c r="M402">
        <v>16453872</v>
      </c>
    </row>
    <row r="403" spans="1:13" x14ac:dyDescent="0.25">
      <c r="A403" t="s">
        <v>551</v>
      </c>
      <c r="B403" t="str">
        <f>"0902728961457435"</f>
        <v>0902728961457435</v>
      </c>
      <c r="C403">
        <v>961457435</v>
      </c>
      <c r="D403" t="s">
        <v>12</v>
      </c>
      <c r="E403" s="1">
        <v>42370</v>
      </c>
      <c r="G403">
        <v>453.31</v>
      </c>
      <c r="H403">
        <v>439</v>
      </c>
      <c r="I403">
        <v>14.31</v>
      </c>
      <c r="J403" t="s">
        <v>15</v>
      </c>
      <c r="K403" t="s">
        <v>64</v>
      </c>
      <c r="L403" t="s">
        <v>1</v>
      </c>
      <c r="M403">
        <v>16453872</v>
      </c>
    </row>
    <row r="404" spans="1:13" x14ac:dyDescent="0.25">
      <c r="A404" t="s">
        <v>552</v>
      </c>
      <c r="B404" t="str">
        <f>"0902728959441323"</f>
        <v>0902728959441323</v>
      </c>
      <c r="C404">
        <v>959441323</v>
      </c>
      <c r="D404" t="s">
        <v>12</v>
      </c>
      <c r="E404" s="1">
        <v>42370</v>
      </c>
      <c r="G404">
        <v>429.15</v>
      </c>
      <c r="H404">
        <v>361</v>
      </c>
      <c r="I404">
        <v>68.150000000000006</v>
      </c>
      <c r="J404" t="s">
        <v>13</v>
      </c>
      <c r="K404" t="s">
        <v>64</v>
      </c>
      <c r="L404" t="s">
        <v>1</v>
      </c>
      <c r="M404">
        <v>16453872</v>
      </c>
    </row>
    <row r="405" spans="1:13" x14ac:dyDescent="0.25">
      <c r="A405" t="s">
        <v>553</v>
      </c>
      <c r="B405" t="str">
        <f>"0902728960219007"</f>
        <v>0902728960219007</v>
      </c>
      <c r="C405">
        <v>960219007</v>
      </c>
      <c r="D405" t="s">
        <v>12</v>
      </c>
      <c r="E405" s="1">
        <v>42370</v>
      </c>
      <c r="G405">
        <v>518.08000000000004</v>
      </c>
      <c r="H405">
        <v>517.82000000000005</v>
      </c>
      <c r="I405" t="str">
        <f>"0.26"</f>
        <v>0.26</v>
      </c>
      <c r="J405" t="s">
        <v>8</v>
      </c>
      <c r="K405" t="s">
        <v>64</v>
      </c>
      <c r="L405" t="s">
        <v>1</v>
      </c>
      <c r="M405">
        <v>16453872</v>
      </c>
    </row>
    <row r="406" spans="1:13" x14ac:dyDescent="0.25">
      <c r="A406" t="s">
        <v>554</v>
      </c>
      <c r="B406" t="str">
        <f>"0902728954719695"</f>
        <v>0902728954719695</v>
      </c>
      <c r="C406">
        <v>954719695</v>
      </c>
      <c r="D406" t="s">
        <v>12</v>
      </c>
      <c r="E406" s="1">
        <v>42370</v>
      </c>
      <c r="G406">
        <v>1123.93</v>
      </c>
      <c r="H406">
        <v>1046</v>
      </c>
      <c r="I406">
        <v>77.930000000000007</v>
      </c>
      <c r="J406" t="s">
        <v>15</v>
      </c>
      <c r="K406" t="s">
        <v>64</v>
      </c>
      <c r="L406" t="s">
        <v>1</v>
      </c>
      <c r="M406">
        <v>16453872</v>
      </c>
    </row>
    <row r="407" spans="1:13" x14ac:dyDescent="0.25">
      <c r="A407" t="s">
        <v>555</v>
      </c>
      <c r="B407" t="str">
        <f>"0902728953911028"</f>
        <v>0902728953911028</v>
      </c>
      <c r="C407">
        <v>953911028</v>
      </c>
      <c r="D407" t="s">
        <v>12</v>
      </c>
      <c r="E407" s="1">
        <v>42370</v>
      </c>
      <c r="G407">
        <v>320.66000000000003</v>
      </c>
      <c r="H407">
        <v>114</v>
      </c>
      <c r="I407">
        <v>206.66</v>
      </c>
      <c r="J407" t="s">
        <v>8</v>
      </c>
      <c r="K407" t="s">
        <v>64</v>
      </c>
      <c r="L407" t="s">
        <v>1</v>
      </c>
      <c r="M407">
        <v>16453872</v>
      </c>
    </row>
    <row r="408" spans="1:13" x14ac:dyDescent="0.25">
      <c r="A408" t="s">
        <v>556</v>
      </c>
      <c r="B408" t="str">
        <f>"0902728953915070"</f>
        <v>0902728953915070</v>
      </c>
      <c r="C408">
        <v>953915070</v>
      </c>
      <c r="D408" t="s">
        <v>12</v>
      </c>
      <c r="E408" s="1">
        <v>42370</v>
      </c>
      <c r="G408">
        <v>853.84</v>
      </c>
      <c r="H408">
        <v>825</v>
      </c>
      <c r="I408">
        <v>28.84</v>
      </c>
      <c r="J408" t="s">
        <v>15</v>
      </c>
      <c r="K408" t="s">
        <v>64</v>
      </c>
      <c r="L408" t="s">
        <v>1</v>
      </c>
      <c r="M408">
        <v>16453872</v>
      </c>
    </row>
    <row r="409" spans="1:13" x14ac:dyDescent="0.25">
      <c r="A409" t="s">
        <v>557</v>
      </c>
      <c r="B409" t="str">
        <f>"0902728949152576"</f>
        <v>0902728949152576</v>
      </c>
      <c r="C409">
        <v>949152576</v>
      </c>
      <c r="D409" t="s">
        <v>12</v>
      </c>
      <c r="E409" s="1">
        <v>42370</v>
      </c>
      <c r="G409">
        <v>336.83</v>
      </c>
      <c r="H409">
        <v>304</v>
      </c>
      <c r="I409">
        <v>32.83</v>
      </c>
      <c r="J409" t="s">
        <v>15</v>
      </c>
      <c r="K409" t="s">
        <v>64</v>
      </c>
      <c r="L409" t="s">
        <v>1</v>
      </c>
      <c r="M409">
        <v>16453872</v>
      </c>
    </row>
    <row r="410" spans="1:13" x14ac:dyDescent="0.25">
      <c r="A410" t="s">
        <v>558</v>
      </c>
      <c r="B410" t="str">
        <f>"0902728942841283"</f>
        <v>0902728942841283</v>
      </c>
      <c r="C410">
        <v>942841283</v>
      </c>
      <c r="D410" t="s">
        <v>12</v>
      </c>
      <c r="E410" s="1">
        <v>42370</v>
      </c>
      <c r="G410">
        <v>669.93</v>
      </c>
      <c r="H410">
        <v>651.6</v>
      </c>
      <c r="I410">
        <v>18.329999999999998</v>
      </c>
      <c r="J410" t="s">
        <v>15</v>
      </c>
      <c r="K410" t="s">
        <v>64</v>
      </c>
      <c r="L410" t="s">
        <v>1</v>
      </c>
      <c r="M410">
        <v>16453872</v>
      </c>
    </row>
    <row r="411" spans="1:13" x14ac:dyDescent="0.25">
      <c r="A411" t="s">
        <v>559</v>
      </c>
      <c r="B411" t="str">
        <f>"0902728946085336"</f>
        <v>0902728946085336</v>
      </c>
      <c r="C411">
        <v>946085336</v>
      </c>
      <c r="D411" t="s">
        <v>12</v>
      </c>
      <c r="E411" s="1">
        <v>42370</v>
      </c>
      <c r="G411">
        <v>369.33</v>
      </c>
      <c r="H411" t="str">
        <f>"0.00"</f>
        <v>0.00</v>
      </c>
      <c r="I411">
        <v>369.33</v>
      </c>
      <c r="J411" t="s">
        <v>62</v>
      </c>
      <c r="K411" t="s">
        <v>64</v>
      </c>
      <c r="L411" t="s">
        <v>1</v>
      </c>
      <c r="M411">
        <v>16453872</v>
      </c>
    </row>
    <row r="412" spans="1:13" x14ac:dyDescent="0.25">
      <c r="A412" t="s">
        <v>560</v>
      </c>
      <c r="B412" t="str">
        <f>"0902728942040428"</f>
        <v>0902728942040428</v>
      </c>
      <c r="C412">
        <v>942040428</v>
      </c>
      <c r="D412" t="s">
        <v>12</v>
      </c>
      <c r="E412" s="1">
        <v>42370</v>
      </c>
      <c r="G412">
        <v>773.6</v>
      </c>
      <c r="H412">
        <v>773.21</v>
      </c>
      <c r="I412" t="str">
        <f>"0.39"</f>
        <v>0.39</v>
      </c>
      <c r="J412" t="s">
        <v>15</v>
      </c>
      <c r="K412" t="s">
        <v>64</v>
      </c>
      <c r="L412" t="s">
        <v>1</v>
      </c>
      <c r="M412">
        <v>16453872</v>
      </c>
    </row>
    <row r="413" spans="1:13" x14ac:dyDescent="0.25">
      <c r="A413" t="s">
        <v>561</v>
      </c>
      <c r="B413" t="str">
        <f>"0902728940545100"</f>
        <v>0902728940545100</v>
      </c>
      <c r="C413">
        <v>940545100</v>
      </c>
      <c r="D413" t="s">
        <v>12</v>
      </c>
      <c r="E413" s="1">
        <v>42370</v>
      </c>
      <c r="G413">
        <v>331.59</v>
      </c>
      <c r="H413">
        <v>315</v>
      </c>
      <c r="I413">
        <v>16.59</v>
      </c>
      <c r="J413" t="s">
        <v>15</v>
      </c>
      <c r="K413" t="s">
        <v>64</v>
      </c>
      <c r="L413" t="s">
        <v>1</v>
      </c>
      <c r="M413">
        <v>16453872</v>
      </c>
    </row>
    <row r="414" spans="1:13" x14ac:dyDescent="0.25">
      <c r="A414" t="s">
        <v>562</v>
      </c>
      <c r="B414" t="str">
        <f>"0902728937511756"</f>
        <v>0902728937511756</v>
      </c>
      <c r="C414">
        <v>937511756</v>
      </c>
      <c r="D414" t="s">
        <v>12</v>
      </c>
      <c r="E414" s="1">
        <v>42370</v>
      </c>
      <c r="G414">
        <v>300.43</v>
      </c>
      <c r="H414">
        <v>292.2</v>
      </c>
      <c r="I414">
        <v>8.23</v>
      </c>
      <c r="J414" t="s">
        <v>15</v>
      </c>
      <c r="K414" t="s">
        <v>64</v>
      </c>
      <c r="L414" t="s">
        <v>1</v>
      </c>
      <c r="M414">
        <v>16453872</v>
      </c>
    </row>
    <row r="415" spans="1:13" x14ac:dyDescent="0.25">
      <c r="A415" t="s">
        <v>563</v>
      </c>
      <c r="B415" t="str">
        <f>"0902728940160251"</f>
        <v>0902728940160251</v>
      </c>
      <c r="C415">
        <v>940160251</v>
      </c>
      <c r="D415" t="s">
        <v>12</v>
      </c>
      <c r="E415" s="1">
        <v>42370</v>
      </c>
      <c r="G415">
        <v>311.41000000000003</v>
      </c>
      <c r="H415" t="str">
        <f>"0.00"</f>
        <v>0.00</v>
      </c>
      <c r="I415">
        <v>311.41000000000003</v>
      </c>
      <c r="J415" t="s">
        <v>62</v>
      </c>
      <c r="K415" t="s">
        <v>64</v>
      </c>
      <c r="L415" t="s">
        <v>1</v>
      </c>
      <c r="M415">
        <v>16453872</v>
      </c>
    </row>
    <row r="416" spans="1:13" x14ac:dyDescent="0.25">
      <c r="A416" t="s">
        <v>564</v>
      </c>
      <c r="B416" t="str">
        <f>"0902728936807641"</f>
        <v>0902728936807641</v>
      </c>
      <c r="C416">
        <v>936807641</v>
      </c>
      <c r="D416" t="s">
        <v>12</v>
      </c>
      <c r="E416" s="1">
        <v>42370</v>
      </c>
      <c r="G416">
        <v>568.62</v>
      </c>
      <c r="H416">
        <v>568.04999999999995</v>
      </c>
      <c r="I416">
        <v>3.21</v>
      </c>
      <c r="J416" t="s">
        <v>41</v>
      </c>
      <c r="K416" t="s">
        <v>64</v>
      </c>
      <c r="L416" t="s">
        <v>1</v>
      </c>
      <c r="M416">
        <v>16453872</v>
      </c>
    </row>
    <row r="417" spans="1:13" x14ac:dyDescent="0.25">
      <c r="A417" t="s">
        <v>565</v>
      </c>
      <c r="B417" t="str">
        <f>"0902728935321249"</f>
        <v>0902728935321249</v>
      </c>
      <c r="C417">
        <v>935321249</v>
      </c>
      <c r="D417" t="s">
        <v>12</v>
      </c>
      <c r="E417" s="1">
        <v>42370</v>
      </c>
      <c r="G417">
        <v>374.07</v>
      </c>
      <c r="H417">
        <v>373.7</v>
      </c>
      <c r="I417">
        <v>12.72</v>
      </c>
      <c r="J417" t="s">
        <v>41</v>
      </c>
      <c r="K417" t="s">
        <v>64</v>
      </c>
      <c r="L417" t="s">
        <v>1</v>
      </c>
      <c r="M417">
        <v>16453872</v>
      </c>
    </row>
    <row r="418" spans="1:13" x14ac:dyDescent="0.25">
      <c r="A418" t="s">
        <v>566</v>
      </c>
      <c r="B418" t="str">
        <f>"0902728929523734"</f>
        <v>0902728929523734</v>
      </c>
      <c r="C418">
        <v>929523734</v>
      </c>
      <c r="D418" t="s">
        <v>12</v>
      </c>
      <c r="E418" s="1">
        <v>42370</v>
      </c>
      <c r="G418">
        <v>596.34</v>
      </c>
      <c r="H418">
        <v>518</v>
      </c>
      <c r="I418">
        <v>78.34</v>
      </c>
      <c r="J418" t="s">
        <v>13</v>
      </c>
      <c r="K418" t="s">
        <v>64</v>
      </c>
      <c r="L418" t="s">
        <v>1</v>
      </c>
      <c r="M418">
        <v>16453872</v>
      </c>
    </row>
    <row r="419" spans="1:13" x14ac:dyDescent="0.25">
      <c r="A419" t="s">
        <v>567</v>
      </c>
      <c r="B419" t="str">
        <f>"0902728932327269"</f>
        <v>0902728932327269</v>
      </c>
      <c r="C419">
        <v>932327269</v>
      </c>
      <c r="D419" t="s">
        <v>12</v>
      </c>
      <c r="E419" s="1">
        <v>42370</v>
      </c>
      <c r="G419">
        <v>790.07</v>
      </c>
      <c r="H419">
        <v>730</v>
      </c>
      <c r="I419">
        <v>60.07</v>
      </c>
      <c r="J419" t="s">
        <v>13</v>
      </c>
      <c r="K419" t="s">
        <v>64</v>
      </c>
      <c r="L419" t="s">
        <v>1</v>
      </c>
      <c r="M419">
        <v>16453872</v>
      </c>
    </row>
    <row r="420" spans="1:13" x14ac:dyDescent="0.25">
      <c r="A420" t="s">
        <v>568</v>
      </c>
      <c r="B420" t="str">
        <f>"0902728932400799"</f>
        <v>0902728932400799</v>
      </c>
      <c r="C420">
        <v>932400799</v>
      </c>
      <c r="D420" t="s">
        <v>12</v>
      </c>
      <c r="E420" s="1">
        <v>42370</v>
      </c>
      <c r="G420">
        <v>524.91</v>
      </c>
      <c r="H420">
        <v>524</v>
      </c>
      <c r="I420" t="str">
        <f>"0.91"</f>
        <v>0.91</v>
      </c>
      <c r="J420" t="s">
        <v>15</v>
      </c>
      <c r="K420" t="s">
        <v>64</v>
      </c>
      <c r="L420" t="s">
        <v>1</v>
      </c>
      <c r="M420">
        <v>16453872</v>
      </c>
    </row>
    <row r="421" spans="1:13" x14ac:dyDescent="0.25">
      <c r="A421" t="s">
        <v>569</v>
      </c>
      <c r="B421" t="str">
        <f>"0902728931100012"</f>
        <v>0902728931100012</v>
      </c>
      <c r="C421">
        <v>931100012</v>
      </c>
      <c r="D421" t="s">
        <v>12</v>
      </c>
      <c r="E421" s="1">
        <v>42370</v>
      </c>
      <c r="G421">
        <v>655.27</v>
      </c>
      <c r="H421">
        <v>614</v>
      </c>
      <c r="I421">
        <v>41.27</v>
      </c>
      <c r="J421" t="s">
        <v>15</v>
      </c>
      <c r="K421" t="s">
        <v>64</v>
      </c>
      <c r="L421" t="s">
        <v>1</v>
      </c>
      <c r="M421">
        <v>16453872</v>
      </c>
    </row>
    <row r="422" spans="1:13" x14ac:dyDescent="0.25">
      <c r="A422" t="s">
        <v>570</v>
      </c>
      <c r="B422" t="str">
        <f>"0902728924861983"</f>
        <v>0902728924861983</v>
      </c>
      <c r="C422">
        <v>924861983</v>
      </c>
      <c r="D422" t="s">
        <v>12</v>
      </c>
      <c r="E422" s="1">
        <v>42370</v>
      </c>
      <c r="G422">
        <v>352.73</v>
      </c>
      <c r="H422">
        <v>61</v>
      </c>
      <c r="I422">
        <v>291.73</v>
      </c>
      <c r="J422" t="s">
        <v>8</v>
      </c>
      <c r="K422" t="s">
        <v>64</v>
      </c>
      <c r="L422" t="s">
        <v>1</v>
      </c>
      <c r="M422">
        <v>16453872</v>
      </c>
    </row>
    <row r="423" spans="1:13" x14ac:dyDescent="0.25">
      <c r="A423" t="s">
        <v>571</v>
      </c>
      <c r="B423" t="str">
        <f>"0902728928188173"</f>
        <v>0902728928188173</v>
      </c>
      <c r="C423">
        <v>928188173</v>
      </c>
      <c r="D423" t="s">
        <v>12</v>
      </c>
      <c r="E423" s="1">
        <v>42370</v>
      </c>
      <c r="G423">
        <v>658.96</v>
      </c>
      <c r="H423">
        <v>538</v>
      </c>
      <c r="I423">
        <v>120.96</v>
      </c>
      <c r="J423" t="s">
        <v>534</v>
      </c>
      <c r="K423" t="s">
        <v>64</v>
      </c>
      <c r="L423" t="s">
        <v>1</v>
      </c>
      <c r="M423">
        <v>16453872</v>
      </c>
    </row>
    <row r="424" spans="1:13" x14ac:dyDescent="0.25">
      <c r="A424" t="s">
        <v>572</v>
      </c>
      <c r="B424" t="str">
        <f>"0902728928441275"</f>
        <v>0902728928441275</v>
      </c>
      <c r="C424">
        <v>928441275</v>
      </c>
      <c r="D424" t="s">
        <v>12</v>
      </c>
      <c r="E424" s="1">
        <v>42370</v>
      </c>
      <c r="G424">
        <v>702.76</v>
      </c>
      <c r="H424">
        <v>572</v>
      </c>
      <c r="I424">
        <v>130.76</v>
      </c>
      <c r="J424" t="s">
        <v>13</v>
      </c>
      <c r="K424" t="s">
        <v>64</v>
      </c>
      <c r="L424" t="s">
        <v>1</v>
      </c>
      <c r="M424">
        <v>16453872</v>
      </c>
    </row>
    <row r="425" spans="1:13" x14ac:dyDescent="0.25">
      <c r="A425" t="s">
        <v>573</v>
      </c>
      <c r="B425" t="str">
        <f>"0902728916489161"</f>
        <v>0902728916489161</v>
      </c>
      <c r="C425">
        <v>916489161</v>
      </c>
      <c r="D425" t="s">
        <v>12</v>
      </c>
      <c r="E425" s="1">
        <v>42370</v>
      </c>
      <c r="G425">
        <v>515.57000000000005</v>
      </c>
      <c r="H425">
        <v>509</v>
      </c>
      <c r="I425">
        <v>6.57</v>
      </c>
      <c r="J425" t="s">
        <v>15</v>
      </c>
      <c r="K425" t="s">
        <v>64</v>
      </c>
      <c r="L425" t="s">
        <v>1</v>
      </c>
      <c r="M425">
        <v>16453872</v>
      </c>
    </row>
    <row r="426" spans="1:13" x14ac:dyDescent="0.25">
      <c r="A426" t="s">
        <v>574</v>
      </c>
      <c r="B426" t="str">
        <f>"0902728911949131"</f>
        <v>0902728911949131</v>
      </c>
      <c r="C426">
        <v>911949131</v>
      </c>
      <c r="D426" t="s">
        <v>12</v>
      </c>
      <c r="E426" s="1">
        <v>42370</v>
      </c>
      <c r="G426">
        <v>300.43</v>
      </c>
      <c r="H426">
        <v>292.2</v>
      </c>
      <c r="I426">
        <v>8.23</v>
      </c>
      <c r="J426" t="s">
        <v>15</v>
      </c>
      <c r="K426" t="s">
        <v>64</v>
      </c>
      <c r="L426" t="s">
        <v>1</v>
      </c>
      <c r="M426">
        <v>16453872</v>
      </c>
    </row>
    <row r="427" spans="1:13" x14ac:dyDescent="0.25">
      <c r="A427" t="s">
        <v>575</v>
      </c>
      <c r="B427" t="str">
        <f>"0902728912682983"</f>
        <v>0902728912682983</v>
      </c>
      <c r="C427">
        <v>912682983</v>
      </c>
      <c r="D427" t="s">
        <v>12</v>
      </c>
      <c r="E427" s="1">
        <v>42370</v>
      </c>
      <c r="G427">
        <v>501.51</v>
      </c>
      <c r="H427">
        <v>413</v>
      </c>
      <c r="I427">
        <v>88.51</v>
      </c>
      <c r="J427" t="s">
        <v>13</v>
      </c>
      <c r="K427" t="s">
        <v>64</v>
      </c>
      <c r="L427" t="s">
        <v>1</v>
      </c>
      <c r="M427">
        <v>16453872</v>
      </c>
    </row>
    <row r="428" spans="1:13" x14ac:dyDescent="0.25">
      <c r="A428" t="s">
        <v>576</v>
      </c>
      <c r="B428" t="str">
        <f>"0902728910065364"</f>
        <v>0902728910065364</v>
      </c>
      <c r="C428">
        <v>910065364</v>
      </c>
      <c r="D428" t="s">
        <v>12</v>
      </c>
      <c r="E428" s="1">
        <v>42370</v>
      </c>
      <c r="G428">
        <v>312.05</v>
      </c>
      <c r="H428">
        <v>250</v>
      </c>
      <c r="I428">
        <v>62.05</v>
      </c>
      <c r="J428" t="s">
        <v>26</v>
      </c>
      <c r="K428" t="s">
        <v>64</v>
      </c>
      <c r="L428" t="s">
        <v>1</v>
      </c>
      <c r="M428">
        <v>16453872</v>
      </c>
    </row>
    <row r="429" spans="1:13" x14ac:dyDescent="0.25">
      <c r="A429" t="s">
        <v>577</v>
      </c>
      <c r="B429" t="str">
        <f>"0902728910251939"</f>
        <v>0902728910251939</v>
      </c>
      <c r="C429">
        <v>910251939</v>
      </c>
      <c r="D429" t="s">
        <v>12</v>
      </c>
      <c r="E429" s="1">
        <v>42370</v>
      </c>
      <c r="G429">
        <v>433.8</v>
      </c>
      <c r="H429">
        <v>421</v>
      </c>
      <c r="I429">
        <v>12.8</v>
      </c>
      <c r="J429" t="s">
        <v>15</v>
      </c>
      <c r="K429" t="s">
        <v>64</v>
      </c>
      <c r="L429" t="s">
        <v>1</v>
      </c>
      <c r="M429">
        <v>16453872</v>
      </c>
    </row>
    <row r="430" spans="1:13" x14ac:dyDescent="0.25">
      <c r="A430" t="s">
        <v>578</v>
      </c>
      <c r="B430" t="str">
        <f>"0902728908899072"</f>
        <v>0902728908899072</v>
      </c>
      <c r="C430">
        <v>908899072</v>
      </c>
      <c r="D430" t="s">
        <v>12</v>
      </c>
      <c r="E430" s="1">
        <v>42370</v>
      </c>
      <c r="G430">
        <v>567.54999999999995</v>
      </c>
      <c r="H430">
        <v>567.27</v>
      </c>
      <c r="I430" t="str">
        <f>"0.28"</f>
        <v>0.28</v>
      </c>
      <c r="J430" t="s">
        <v>15</v>
      </c>
      <c r="K430" t="s">
        <v>64</v>
      </c>
      <c r="L430" t="s">
        <v>1</v>
      </c>
      <c r="M430">
        <v>16453872</v>
      </c>
    </row>
    <row r="431" spans="1:13" x14ac:dyDescent="0.25">
      <c r="A431" t="s">
        <v>579</v>
      </c>
      <c r="B431" t="str">
        <f>"0902728907303498"</f>
        <v>0902728907303498</v>
      </c>
      <c r="C431">
        <v>907303498</v>
      </c>
      <c r="D431" t="s">
        <v>12</v>
      </c>
      <c r="E431" s="1">
        <v>42370</v>
      </c>
      <c r="G431">
        <v>494.34</v>
      </c>
      <c r="H431">
        <v>492</v>
      </c>
      <c r="I431">
        <v>2.34</v>
      </c>
      <c r="J431" t="s">
        <v>15</v>
      </c>
      <c r="K431" t="s">
        <v>64</v>
      </c>
      <c r="L431" t="s">
        <v>1</v>
      </c>
      <c r="M431">
        <v>16453872</v>
      </c>
    </row>
    <row r="432" spans="1:13" x14ac:dyDescent="0.25">
      <c r="A432" t="s">
        <v>580</v>
      </c>
      <c r="B432" t="str">
        <f>"0902728907358131"</f>
        <v>0902728907358131</v>
      </c>
      <c r="C432">
        <v>907358131</v>
      </c>
      <c r="D432" t="s">
        <v>12</v>
      </c>
      <c r="E432" s="1">
        <v>42370</v>
      </c>
      <c r="G432">
        <v>378.27</v>
      </c>
      <c r="H432">
        <v>368</v>
      </c>
      <c r="I432">
        <v>10.27</v>
      </c>
      <c r="J432" t="s">
        <v>15</v>
      </c>
      <c r="K432" t="s">
        <v>64</v>
      </c>
      <c r="L432" t="s">
        <v>1</v>
      </c>
      <c r="M432">
        <v>16453872</v>
      </c>
    </row>
    <row r="433" spans="1:13" x14ac:dyDescent="0.25">
      <c r="A433" t="s">
        <v>581</v>
      </c>
      <c r="B433" t="str">
        <f>"0902728905532595"</f>
        <v>0902728905532595</v>
      </c>
      <c r="C433">
        <v>905532595</v>
      </c>
      <c r="D433" t="s">
        <v>12</v>
      </c>
      <c r="E433" s="1">
        <v>42370</v>
      </c>
      <c r="G433">
        <v>786.65</v>
      </c>
      <c r="H433">
        <v>767</v>
      </c>
      <c r="I433">
        <v>19.649999999999999</v>
      </c>
      <c r="J433" t="s">
        <v>15</v>
      </c>
      <c r="K433" t="s">
        <v>64</v>
      </c>
      <c r="L433" t="s">
        <v>1</v>
      </c>
      <c r="M433">
        <v>16453872</v>
      </c>
    </row>
    <row r="434" spans="1:13" x14ac:dyDescent="0.25">
      <c r="A434" t="s">
        <v>582</v>
      </c>
      <c r="B434" t="str">
        <f>"0902728906102117"</f>
        <v>0902728906102117</v>
      </c>
      <c r="C434">
        <v>906102117</v>
      </c>
      <c r="D434" t="s">
        <v>12</v>
      </c>
      <c r="E434" s="1">
        <v>42370</v>
      </c>
      <c r="G434">
        <v>383.65</v>
      </c>
      <c r="H434">
        <v>364</v>
      </c>
      <c r="I434">
        <v>19.649999999999999</v>
      </c>
      <c r="J434" t="s">
        <v>15</v>
      </c>
      <c r="K434" t="s">
        <v>64</v>
      </c>
      <c r="L434" t="s">
        <v>1</v>
      </c>
      <c r="M434">
        <v>16453872</v>
      </c>
    </row>
    <row r="435" spans="1:13" x14ac:dyDescent="0.25">
      <c r="A435" t="s">
        <v>583</v>
      </c>
      <c r="B435" t="str">
        <f>"0902728906399264"</f>
        <v>0902728906399264</v>
      </c>
      <c r="C435">
        <v>906399264</v>
      </c>
      <c r="D435" t="s">
        <v>12</v>
      </c>
      <c r="E435" s="1">
        <v>42370</v>
      </c>
      <c r="G435">
        <v>311.38</v>
      </c>
      <c r="H435">
        <v>302</v>
      </c>
      <c r="I435">
        <v>9.3800000000000008</v>
      </c>
      <c r="J435" t="s">
        <v>15</v>
      </c>
      <c r="K435" t="s">
        <v>64</v>
      </c>
      <c r="L435" t="s">
        <v>1</v>
      </c>
      <c r="M435">
        <v>16453872</v>
      </c>
    </row>
    <row r="436" spans="1:13" x14ac:dyDescent="0.25">
      <c r="A436" t="s">
        <v>584</v>
      </c>
      <c r="B436" t="str">
        <f>"0902728906709463"</f>
        <v>0902728906709463</v>
      </c>
      <c r="C436">
        <v>906709463</v>
      </c>
      <c r="D436" t="s">
        <v>12</v>
      </c>
      <c r="E436" s="1">
        <v>42370</v>
      </c>
      <c r="G436">
        <v>290.76</v>
      </c>
      <c r="H436">
        <v>258</v>
      </c>
      <c r="I436">
        <v>32.76</v>
      </c>
      <c r="J436" t="s">
        <v>15</v>
      </c>
      <c r="K436" t="s">
        <v>64</v>
      </c>
      <c r="L436" t="s">
        <v>1</v>
      </c>
      <c r="M436">
        <v>16453872</v>
      </c>
    </row>
    <row r="437" spans="1:13" x14ac:dyDescent="0.25">
      <c r="A437" t="s">
        <v>585</v>
      </c>
      <c r="B437" t="str">
        <f>"0902728901673754"</f>
        <v>0902728901673754</v>
      </c>
      <c r="C437">
        <v>901673754</v>
      </c>
      <c r="D437" t="s">
        <v>12</v>
      </c>
      <c r="E437" s="1">
        <v>42370</v>
      </c>
      <c r="G437">
        <v>820.19</v>
      </c>
      <c r="H437">
        <v>787</v>
      </c>
      <c r="I437">
        <v>33.19</v>
      </c>
      <c r="J437" t="s">
        <v>15</v>
      </c>
      <c r="K437" t="s">
        <v>64</v>
      </c>
      <c r="L437" t="s">
        <v>1</v>
      </c>
      <c r="M437">
        <v>16453872</v>
      </c>
    </row>
    <row r="438" spans="1:13" x14ac:dyDescent="0.25">
      <c r="A438" t="s">
        <v>586</v>
      </c>
      <c r="B438" t="str">
        <f>"0902728902136313"</f>
        <v>0902728902136313</v>
      </c>
      <c r="C438">
        <v>902136313</v>
      </c>
      <c r="D438" t="s">
        <v>12</v>
      </c>
      <c r="E438" s="1">
        <v>42370</v>
      </c>
      <c r="G438">
        <v>793.82</v>
      </c>
      <c r="H438">
        <v>739</v>
      </c>
      <c r="I438">
        <v>54.82</v>
      </c>
      <c r="J438" t="s">
        <v>13</v>
      </c>
      <c r="K438" t="s">
        <v>64</v>
      </c>
      <c r="L438" t="s">
        <v>1</v>
      </c>
      <c r="M438">
        <v>16453872</v>
      </c>
    </row>
    <row r="439" spans="1:13" x14ac:dyDescent="0.25">
      <c r="A439" t="s">
        <v>587</v>
      </c>
      <c r="B439" t="str">
        <f>"0902728903095053"</f>
        <v>0902728903095053</v>
      </c>
      <c r="C439">
        <v>903095053</v>
      </c>
      <c r="D439" t="s">
        <v>12</v>
      </c>
      <c r="E439" s="1">
        <v>42370</v>
      </c>
      <c r="G439">
        <v>986.54</v>
      </c>
      <c r="H439">
        <v>968</v>
      </c>
      <c r="I439">
        <v>18.54</v>
      </c>
      <c r="J439" t="s">
        <v>15</v>
      </c>
      <c r="K439" t="s">
        <v>64</v>
      </c>
      <c r="L439" t="s">
        <v>1</v>
      </c>
      <c r="M439">
        <v>16453872</v>
      </c>
    </row>
    <row r="440" spans="1:13" x14ac:dyDescent="0.25">
      <c r="A440" t="s">
        <v>588</v>
      </c>
      <c r="B440" t="str">
        <f>"0902728903318161"</f>
        <v>0902728903318161</v>
      </c>
      <c r="C440">
        <v>903318161</v>
      </c>
      <c r="D440" t="s">
        <v>12</v>
      </c>
      <c r="E440" s="1">
        <v>42370</v>
      </c>
      <c r="G440">
        <v>364.19</v>
      </c>
      <c r="H440">
        <v>312</v>
      </c>
      <c r="I440">
        <v>52.19</v>
      </c>
      <c r="J440" t="s">
        <v>15</v>
      </c>
      <c r="K440" t="s">
        <v>64</v>
      </c>
      <c r="L440" t="s">
        <v>1</v>
      </c>
      <c r="M440">
        <v>16453872</v>
      </c>
    </row>
    <row r="441" spans="1:13" x14ac:dyDescent="0.25">
      <c r="A441" t="s">
        <v>589</v>
      </c>
      <c r="B441" t="str">
        <f>"0902728903735990"</f>
        <v>0902728903735990</v>
      </c>
      <c r="C441">
        <v>903735990</v>
      </c>
      <c r="D441" t="s">
        <v>12</v>
      </c>
      <c r="E441" s="1">
        <v>42370</v>
      </c>
      <c r="G441">
        <v>333.79</v>
      </c>
      <c r="H441">
        <v>303</v>
      </c>
      <c r="I441">
        <v>30.79</v>
      </c>
      <c r="J441" t="s">
        <v>15</v>
      </c>
      <c r="K441" t="s">
        <v>64</v>
      </c>
      <c r="L441" t="s">
        <v>1</v>
      </c>
      <c r="M441">
        <v>16453872</v>
      </c>
    </row>
    <row r="442" spans="1:13" x14ac:dyDescent="0.25">
      <c r="A442" t="s">
        <v>590</v>
      </c>
      <c r="B442" t="str">
        <f>"0902728903882977"</f>
        <v>0902728903882977</v>
      </c>
      <c r="C442">
        <v>903882977</v>
      </c>
      <c r="D442" t="s">
        <v>12</v>
      </c>
      <c r="E442" s="1">
        <v>42370</v>
      </c>
      <c r="G442">
        <v>326.45</v>
      </c>
      <c r="H442">
        <v>315</v>
      </c>
      <c r="I442">
        <v>11.45</v>
      </c>
      <c r="J442" t="s">
        <v>15</v>
      </c>
      <c r="K442" t="s">
        <v>64</v>
      </c>
      <c r="L442" t="s">
        <v>1</v>
      </c>
      <c r="M442">
        <v>16453872</v>
      </c>
    </row>
    <row r="443" spans="1:13" x14ac:dyDescent="0.25">
      <c r="A443" t="s">
        <v>591</v>
      </c>
      <c r="B443" t="str">
        <f>"0902726975042453"</f>
        <v>0902726975042453</v>
      </c>
      <c r="C443">
        <v>975042453</v>
      </c>
      <c r="D443" t="s">
        <v>16</v>
      </c>
      <c r="E443" s="1">
        <v>42370</v>
      </c>
      <c r="G443">
        <v>721.76</v>
      </c>
      <c r="H443">
        <v>705</v>
      </c>
      <c r="I443">
        <v>16.760000000000002</v>
      </c>
      <c r="J443" t="s">
        <v>49</v>
      </c>
      <c r="K443" t="s">
        <v>64</v>
      </c>
      <c r="L443" t="s">
        <v>1</v>
      </c>
      <c r="M443">
        <v>16453872</v>
      </c>
    </row>
    <row r="444" spans="1:13" x14ac:dyDescent="0.25">
      <c r="A444" t="s">
        <v>592</v>
      </c>
      <c r="B444" t="str">
        <f>"0902715962209242"</f>
        <v>0902715962209242</v>
      </c>
      <c r="C444">
        <v>962209242</v>
      </c>
      <c r="D444" t="s">
        <v>22</v>
      </c>
      <c r="E444" s="1">
        <v>42370</v>
      </c>
      <c r="G444">
        <v>242.82</v>
      </c>
      <c r="H444">
        <v>172.1</v>
      </c>
      <c r="I444">
        <v>70.72</v>
      </c>
      <c r="J444" t="s">
        <v>593</v>
      </c>
      <c r="K444" t="s">
        <v>64</v>
      </c>
      <c r="L444" t="s">
        <v>1</v>
      </c>
      <c r="M444">
        <v>16453872</v>
      </c>
    </row>
    <row r="445" spans="1:13" x14ac:dyDescent="0.25">
      <c r="A445" t="s">
        <v>594</v>
      </c>
      <c r="B445" t="str">
        <f>"0902715908224268"</f>
        <v>0902715908224268</v>
      </c>
      <c r="C445">
        <v>908224268</v>
      </c>
      <c r="D445" t="s">
        <v>22</v>
      </c>
      <c r="E445" s="1">
        <v>42370</v>
      </c>
      <c r="G445">
        <v>546.51</v>
      </c>
      <c r="H445">
        <v>423.9</v>
      </c>
      <c r="I445">
        <v>122.61</v>
      </c>
      <c r="J445" t="s">
        <v>23</v>
      </c>
      <c r="K445" t="s">
        <v>64</v>
      </c>
      <c r="L445" t="s">
        <v>1</v>
      </c>
      <c r="M445">
        <v>16453872</v>
      </c>
    </row>
    <row r="446" spans="1:13" x14ac:dyDescent="0.25">
      <c r="A446" t="s">
        <v>595</v>
      </c>
      <c r="B446" t="str">
        <f>"0902715976598690"</f>
        <v>0902715976598690</v>
      </c>
      <c r="C446">
        <v>976598690</v>
      </c>
      <c r="D446" t="s">
        <v>22</v>
      </c>
      <c r="E446" s="1">
        <v>42370</v>
      </c>
      <c r="G446">
        <v>346.67</v>
      </c>
      <c r="H446">
        <v>297</v>
      </c>
      <c r="I446">
        <v>49.67</v>
      </c>
      <c r="J446" t="s">
        <v>208</v>
      </c>
      <c r="K446" t="s">
        <v>64</v>
      </c>
      <c r="L446" t="s">
        <v>1</v>
      </c>
      <c r="M446">
        <v>16453872</v>
      </c>
    </row>
    <row r="447" spans="1:13" x14ac:dyDescent="0.25">
      <c r="A447" t="s">
        <v>596</v>
      </c>
      <c r="B447" t="str">
        <f>"0902715971804276"</f>
        <v>0902715971804276</v>
      </c>
      <c r="C447">
        <v>971804276</v>
      </c>
      <c r="D447" t="s">
        <v>22</v>
      </c>
      <c r="E447" s="1">
        <v>42370</v>
      </c>
      <c r="G447">
        <v>488.23</v>
      </c>
      <c r="H447">
        <v>322</v>
      </c>
      <c r="I447">
        <v>166.23</v>
      </c>
      <c r="J447" t="s">
        <v>23</v>
      </c>
      <c r="K447" t="s">
        <v>64</v>
      </c>
      <c r="L447" t="s">
        <v>1</v>
      </c>
      <c r="M447">
        <v>16453872</v>
      </c>
    </row>
    <row r="448" spans="1:13" x14ac:dyDescent="0.25">
      <c r="A448" t="s">
        <v>597</v>
      </c>
      <c r="B448" t="str">
        <f>"0902683969817041"</f>
        <v>0902683969817041</v>
      </c>
      <c r="C448">
        <v>969817041</v>
      </c>
      <c r="D448" t="s">
        <v>5</v>
      </c>
      <c r="E448" s="1">
        <v>42370</v>
      </c>
      <c r="G448">
        <v>282.64999999999998</v>
      </c>
      <c r="H448">
        <v>279</v>
      </c>
      <c r="I448">
        <v>3.65</v>
      </c>
      <c r="J448" t="s">
        <v>4</v>
      </c>
      <c r="K448" t="s">
        <v>64</v>
      </c>
      <c r="L448" t="s">
        <v>1</v>
      </c>
      <c r="M448">
        <v>16453872</v>
      </c>
    </row>
    <row r="449" spans="1:13" x14ac:dyDescent="0.25">
      <c r="A449" t="s">
        <v>598</v>
      </c>
      <c r="B449" t="str">
        <f>"0902683972648137"</f>
        <v>0902683972648137</v>
      </c>
      <c r="C449">
        <v>972648137</v>
      </c>
      <c r="D449" t="s">
        <v>5</v>
      </c>
      <c r="E449" s="1">
        <v>42370</v>
      </c>
      <c r="G449">
        <v>555.65</v>
      </c>
      <c r="H449">
        <v>438</v>
      </c>
      <c r="I449">
        <v>117.65</v>
      </c>
      <c r="J449" t="s">
        <v>80</v>
      </c>
      <c r="K449" t="s">
        <v>64</v>
      </c>
      <c r="L449" t="s">
        <v>1</v>
      </c>
      <c r="M449">
        <v>16453872</v>
      </c>
    </row>
    <row r="450" spans="1:13" x14ac:dyDescent="0.25">
      <c r="A450" t="s">
        <v>599</v>
      </c>
      <c r="B450" t="str">
        <f>"0902683964807652"</f>
        <v>0902683964807652</v>
      </c>
      <c r="C450">
        <v>964807652</v>
      </c>
      <c r="D450" t="s">
        <v>5</v>
      </c>
      <c r="E450" s="1">
        <v>42370</v>
      </c>
      <c r="G450">
        <v>269.87</v>
      </c>
      <c r="H450">
        <v>226</v>
      </c>
      <c r="I450">
        <v>43.87</v>
      </c>
      <c r="J450" t="s">
        <v>4</v>
      </c>
      <c r="K450" t="s">
        <v>64</v>
      </c>
      <c r="L450" t="s">
        <v>1</v>
      </c>
      <c r="M450">
        <v>16453872</v>
      </c>
    </row>
    <row r="451" spans="1:13" x14ac:dyDescent="0.25">
      <c r="A451" t="s">
        <v>600</v>
      </c>
      <c r="B451" t="str">
        <f>"0902683967651506"</f>
        <v>0902683967651506</v>
      </c>
      <c r="C451">
        <v>967651506</v>
      </c>
      <c r="D451" t="s">
        <v>5</v>
      </c>
      <c r="E451" s="1">
        <v>42370</v>
      </c>
      <c r="G451">
        <v>284.10000000000002</v>
      </c>
      <c r="H451">
        <v>248</v>
      </c>
      <c r="I451">
        <v>36.1</v>
      </c>
      <c r="J451" t="s">
        <v>6</v>
      </c>
      <c r="K451" t="s">
        <v>64</v>
      </c>
      <c r="L451" t="s">
        <v>1</v>
      </c>
      <c r="M451">
        <v>16453872</v>
      </c>
    </row>
    <row r="452" spans="1:13" x14ac:dyDescent="0.25">
      <c r="A452" t="s">
        <v>601</v>
      </c>
      <c r="B452" t="str">
        <f>"0902683977906837"</f>
        <v>0902683977906837</v>
      </c>
      <c r="C452">
        <v>977906837</v>
      </c>
      <c r="D452" t="s">
        <v>5</v>
      </c>
      <c r="E452" s="1">
        <v>42370</v>
      </c>
      <c r="F452" s="1">
        <v>42400</v>
      </c>
      <c r="G452">
        <v>273.14999999999998</v>
      </c>
      <c r="H452">
        <v>240</v>
      </c>
      <c r="I452">
        <v>33.15</v>
      </c>
      <c r="J452" t="s">
        <v>6</v>
      </c>
      <c r="K452" t="s">
        <v>64</v>
      </c>
      <c r="L452" t="s">
        <v>1</v>
      </c>
      <c r="M452">
        <v>16453872</v>
      </c>
    </row>
    <row r="453" spans="1:13" x14ac:dyDescent="0.25">
      <c r="A453" t="s">
        <v>602</v>
      </c>
      <c r="B453" t="str">
        <f>"0902683962919144"</f>
        <v>0902683962919144</v>
      </c>
      <c r="C453">
        <v>962919144</v>
      </c>
      <c r="D453" t="s">
        <v>5</v>
      </c>
      <c r="E453" s="1">
        <v>42370</v>
      </c>
      <c r="G453">
        <v>641.6</v>
      </c>
      <c r="H453">
        <v>562</v>
      </c>
      <c r="I453">
        <v>79.599999999999994</v>
      </c>
      <c r="J453" t="s">
        <v>10</v>
      </c>
      <c r="K453" t="s">
        <v>64</v>
      </c>
      <c r="L453" t="s">
        <v>1</v>
      </c>
      <c r="M453">
        <v>16453872</v>
      </c>
    </row>
    <row r="454" spans="1:13" x14ac:dyDescent="0.25">
      <c r="A454" t="s">
        <v>603</v>
      </c>
      <c r="B454" t="str">
        <f>"0902683957271319"</f>
        <v>0902683957271319</v>
      </c>
      <c r="C454">
        <v>957271319</v>
      </c>
      <c r="D454" t="s">
        <v>5</v>
      </c>
      <c r="E454" s="1">
        <v>42370</v>
      </c>
      <c r="G454">
        <v>407.22</v>
      </c>
      <c r="H454">
        <v>390</v>
      </c>
      <c r="I454">
        <v>17.22</v>
      </c>
      <c r="J454" t="s">
        <v>6</v>
      </c>
      <c r="K454" t="s">
        <v>64</v>
      </c>
      <c r="L454" t="s">
        <v>1</v>
      </c>
      <c r="M454">
        <v>16453872</v>
      </c>
    </row>
    <row r="455" spans="1:13" x14ac:dyDescent="0.25">
      <c r="A455" t="s">
        <v>604</v>
      </c>
      <c r="B455" t="str">
        <f>"0902683957870010"</f>
        <v>0902683957870010</v>
      </c>
      <c r="C455">
        <v>957870010</v>
      </c>
      <c r="D455" t="s">
        <v>5</v>
      </c>
      <c r="E455" s="1">
        <v>42370</v>
      </c>
      <c r="G455">
        <v>365.13</v>
      </c>
      <c r="H455">
        <v>348</v>
      </c>
      <c r="I455">
        <v>17.13</v>
      </c>
      <c r="J455" t="s">
        <v>6</v>
      </c>
      <c r="K455" t="s">
        <v>64</v>
      </c>
      <c r="L455" t="s">
        <v>1</v>
      </c>
      <c r="M455">
        <v>16453872</v>
      </c>
    </row>
    <row r="456" spans="1:13" x14ac:dyDescent="0.25">
      <c r="A456" t="s">
        <v>605</v>
      </c>
      <c r="B456" t="str">
        <f>"0902683958147778"</f>
        <v>0902683958147778</v>
      </c>
      <c r="C456">
        <v>958147778</v>
      </c>
      <c r="D456" t="s">
        <v>5</v>
      </c>
      <c r="E456" s="1">
        <v>42370</v>
      </c>
      <c r="G456">
        <v>270.32</v>
      </c>
      <c r="H456">
        <v>250</v>
      </c>
      <c r="I456">
        <v>20.32</v>
      </c>
      <c r="J456" t="s">
        <v>6</v>
      </c>
      <c r="K456" t="s">
        <v>64</v>
      </c>
      <c r="L456" t="s">
        <v>1</v>
      </c>
      <c r="M456">
        <v>16453872</v>
      </c>
    </row>
    <row r="457" spans="1:13" x14ac:dyDescent="0.25">
      <c r="A457" t="s">
        <v>606</v>
      </c>
      <c r="B457" t="str">
        <f>"0902683958621895"</f>
        <v>0902683958621895</v>
      </c>
      <c r="C457">
        <v>958621895</v>
      </c>
      <c r="D457" t="s">
        <v>5</v>
      </c>
      <c r="E457" s="1">
        <v>42370</v>
      </c>
      <c r="G457">
        <v>228.02</v>
      </c>
      <c r="H457">
        <v>213</v>
      </c>
      <c r="I457">
        <v>15.02</v>
      </c>
      <c r="J457" t="s">
        <v>6</v>
      </c>
      <c r="K457" t="s">
        <v>64</v>
      </c>
      <c r="L457" t="s">
        <v>1</v>
      </c>
      <c r="M457">
        <v>16453872</v>
      </c>
    </row>
    <row r="458" spans="1:13" x14ac:dyDescent="0.25">
      <c r="A458" t="s">
        <v>607</v>
      </c>
      <c r="B458" t="str">
        <f>"0902683958733228"</f>
        <v>0902683958733228</v>
      </c>
      <c r="C458">
        <v>958733228</v>
      </c>
      <c r="D458" t="s">
        <v>5</v>
      </c>
      <c r="E458" s="1">
        <v>42370</v>
      </c>
      <c r="G458">
        <v>445.07</v>
      </c>
      <c r="H458">
        <v>434</v>
      </c>
      <c r="I458">
        <v>11.07</v>
      </c>
      <c r="J458" t="s">
        <v>6</v>
      </c>
      <c r="K458" t="s">
        <v>64</v>
      </c>
      <c r="L458" t="s">
        <v>1</v>
      </c>
      <c r="M458">
        <v>16453872</v>
      </c>
    </row>
    <row r="459" spans="1:13" x14ac:dyDescent="0.25">
      <c r="A459" t="s">
        <v>608</v>
      </c>
      <c r="B459" t="str">
        <f>"0902683954354564"</f>
        <v>0902683954354564</v>
      </c>
      <c r="C459">
        <v>954354564</v>
      </c>
      <c r="D459" t="s">
        <v>5</v>
      </c>
      <c r="E459" s="1">
        <v>42370</v>
      </c>
      <c r="G459">
        <v>251.73</v>
      </c>
      <c r="H459">
        <v>98</v>
      </c>
      <c r="I459">
        <v>153.72999999999999</v>
      </c>
      <c r="J459" t="s">
        <v>80</v>
      </c>
      <c r="K459" t="s">
        <v>64</v>
      </c>
      <c r="L459" t="s">
        <v>1</v>
      </c>
      <c r="M459">
        <v>16453872</v>
      </c>
    </row>
    <row r="460" spans="1:13" x14ac:dyDescent="0.25">
      <c r="A460" t="s">
        <v>609</v>
      </c>
      <c r="B460" t="str">
        <f>"0902683954626441"</f>
        <v>0902683954626441</v>
      </c>
      <c r="C460">
        <v>954626441</v>
      </c>
      <c r="D460" t="s">
        <v>5</v>
      </c>
      <c r="E460" s="1">
        <v>42370</v>
      </c>
      <c r="G460">
        <v>421.95</v>
      </c>
      <c r="H460">
        <v>420.05</v>
      </c>
      <c r="I460">
        <v>1.9</v>
      </c>
      <c r="J460" t="s">
        <v>4</v>
      </c>
      <c r="K460" t="s">
        <v>64</v>
      </c>
      <c r="L460" t="s">
        <v>1</v>
      </c>
      <c r="M460">
        <v>16453872</v>
      </c>
    </row>
    <row r="461" spans="1:13" x14ac:dyDescent="0.25">
      <c r="A461" t="s">
        <v>610</v>
      </c>
      <c r="B461" t="str">
        <f>"0902683955090487"</f>
        <v>0902683955090487</v>
      </c>
      <c r="C461">
        <v>955090487</v>
      </c>
      <c r="D461" t="s">
        <v>5</v>
      </c>
      <c r="E461" s="1">
        <v>42370</v>
      </c>
      <c r="F461" s="1">
        <v>42429</v>
      </c>
      <c r="G461">
        <v>367.82</v>
      </c>
      <c r="H461">
        <v>365</v>
      </c>
      <c r="I461">
        <v>43.02</v>
      </c>
      <c r="J461" t="s">
        <v>4</v>
      </c>
      <c r="K461" t="s">
        <v>64</v>
      </c>
      <c r="L461" t="s">
        <v>1</v>
      </c>
      <c r="M461">
        <v>16453872</v>
      </c>
    </row>
    <row r="462" spans="1:13" x14ac:dyDescent="0.25">
      <c r="A462" t="s">
        <v>324</v>
      </c>
      <c r="B462" t="str">
        <f>"0902683955201730"</f>
        <v>0902683955201730</v>
      </c>
      <c r="C462">
        <v>955201730</v>
      </c>
      <c r="D462" t="s">
        <v>5</v>
      </c>
      <c r="E462" s="1">
        <v>42370</v>
      </c>
      <c r="G462">
        <v>646.30999999999995</v>
      </c>
      <c r="H462">
        <v>622</v>
      </c>
      <c r="I462">
        <v>24.31</v>
      </c>
      <c r="J462" t="s">
        <v>6</v>
      </c>
      <c r="K462" t="s">
        <v>64</v>
      </c>
      <c r="L462" t="s">
        <v>1</v>
      </c>
      <c r="M462">
        <v>16453872</v>
      </c>
    </row>
    <row r="463" spans="1:13" x14ac:dyDescent="0.25">
      <c r="A463" t="s">
        <v>611</v>
      </c>
      <c r="B463" t="str">
        <f>"0902683955382346"</f>
        <v>0902683955382346</v>
      </c>
      <c r="C463">
        <v>955382346</v>
      </c>
      <c r="D463" t="s">
        <v>5</v>
      </c>
      <c r="E463" s="1">
        <v>42370</v>
      </c>
      <c r="G463">
        <v>425.23</v>
      </c>
      <c r="H463">
        <v>344</v>
      </c>
      <c r="I463">
        <v>81.23</v>
      </c>
      <c r="J463" t="s">
        <v>4</v>
      </c>
      <c r="K463" t="s">
        <v>64</v>
      </c>
      <c r="L463" t="s">
        <v>1</v>
      </c>
      <c r="M463">
        <v>16453872</v>
      </c>
    </row>
    <row r="464" spans="1:13" x14ac:dyDescent="0.25">
      <c r="A464" t="s">
        <v>612</v>
      </c>
      <c r="B464" t="str">
        <f>"0902683955430639"</f>
        <v>0902683955430639</v>
      </c>
      <c r="C464">
        <v>955430639</v>
      </c>
      <c r="D464" t="s">
        <v>5</v>
      </c>
      <c r="E464" s="1">
        <v>42370</v>
      </c>
      <c r="G464">
        <v>267.54000000000002</v>
      </c>
      <c r="H464">
        <v>243</v>
      </c>
      <c r="I464">
        <v>24.54</v>
      </c>
      <c r="J464" t="s">
        <v>6</v>
      </c>
      <c r="K464" t="s">
        <v>64</v>
      </c>
      <c r="L464" t="s">
        <v>1</v>
      </c>
      <c r="M464">
        <v>16453872</v>
      </c>
    </row>
    <row r="465" spans="1:14" x14ac:dyDescent="0.25">
      <c r="A465" t="s">
        <v>613</v>
      </c>
      <c r="B465" t="str">
        <f>"0902683950083592"</f>
        <v>0902683950083592</v>
      </c>
      <c r="C465">
        <v>950083592</v>
      </c>
      <c r="D465" t="s">
        <v>5</v>
      </c>
      <c r="E465" s="1">
        <v>42370</v>
      </c>
      <c r="F465" s="1">
        <v>42400</v>
      </c>
      <c r="G465">
        <v>421.35</v>
      </c>
      <c r="H465">
        <v>395</v>
      </c>
      <c r="I465">
        <v>26.35</v>
      </c>
      <c r="J465" t="s">
        <v>6</v>
      </c>
      <c r="K465" t="s">
        <v>64</v>
      </c>
      <c r="L465" t="s">
        <v>1</v>
      </c>
      <c r="M465">
        <v>16453872</v>
      </c>
    </row>
    <row r="466" spans="1:14" x14ac:dyDescent="0.25">
      <c r="A466" t="s">
        <v>614</v>
      </c>
      <c r="B466" t="str">
        <f>"0902683948430076"</f>
        <v>0902683948430076</v>
      </c>
      <c r="C466">
        <v>948430076</v>
      </c>
      <c r="D466" t="s">
        <v>5</v>
      </c>
      <c r="E466" s="1">
        <v>42370</v>
      </c>
      <c r="G466">
        <v>356.38</v>
      </c>
      <c r="H466">
        <v>322</v>
      </c>
      <c r="I466">
        <v>34.380000000000003</v>
      </c>
      <c r="J466" t="s">
        <v>6</v>
      </c>
      <c r="K466" t="s">
        <v>64</v>
      </c>
      <c r="L466" t="s">
        <v>1</v>
      </c>
      <c r="M466">
        <v>16453872</v>
      </c>
    </row>
    <row r="467" spans="1:14" x14ac:dyDescent="0.25">
      <c r="A467" t="s">
        <v>615</v>
      </c>
      <c r="B467" t="str">
        <f>"0902683948208403"</f>
        <v>0902683948208403</v>
      </c>
      <c r="C467">
        <v>948208403</v>
      </c>
      <c r="D467" t="s">
        <v>5</v>
      </c>
      <c r="E467" s="1">
        <v>42370</v>
      </c>
      <c r="G467">
        <v>632.14</v>
      </c>
      <c r="H467">
        <v>591</v>
      </c>
      <c r="I467">
        <v>41.14</v>
      </c>
      <c r="J467" t="s">
        <v>6</v>
      </c>
      <c r="K467" t="s">
        <v>64</v>
      </c>
      <c r="L467" t="s">
        <v>1</v>
      </c>
      <c r="M467">
        <v>16453872</v>
      </c>
      <c r="N467" t="s">
        <v>616</v>
      </c>
    </row>
    <row r="468" spans="1:14" x14ac:dyDescent="0.25">
      <c r="A468" t="s">
        <v>617</v>
      </c>
      <c r="B468" t="str">
        <f>"0902683944345009"</f>
        <v>0902683944345009</v>
      </c>
      <c r="C468">
        <v>944345009</v>
      </c>
      <c r="D468" t="s">
        <v>5</v>
      </c>
      <c r="E468" s="1">
        <v>42370</v>
      </c>
      <c r="G468">
        <v>531.94000000000005</v>
      </c>
      <c r="H468">
        <v>519</v>
      </c>
      <c r="I468">
        <v>12.94</v>
      </c>
      <c r="J468" t="s">
        <v>6</v>
      </c>
      <c r="K468" t="s">
        <v>64</v>
      </c>
      <c r="L468" t="s">
        <v>1</v>
      </c>
      <c r="M468">
        <v>16453872</v>
      </c>
    </row>
    <row r="469" spans="1:14" x14ac:dyDescent="0.25">
      <c r="A469" t="s">
        <v>618</v>
      </c>
      <c r="B469" t="str">
        <f>"0902683941692843"</f>
        <v>0902683941692843</v>
      </c>
      <c r="C469">
        <v>941692843</v>
      </c>
      <c r="D469" t="s">
        <v>5</v>
      </c>
      <c r="E469" s="1">
        <v>42370</v>
      </c>
      <c r="G469">
        <v>318.52999999999997</v>
      </c>
      <c r="H469">
        <v>195</v>
      </c>
      <c r="I469">
        <v>123.53</v>
      </c>
      <c r="J469" t="s">
        <v>80</v>
      </c>
      <c r="K469" t="s">
        <v>64</v>
      </c>
      <c r="L469" t="s">
        <v>1</v>
      </c>
      <c r="M469">
        <v>16453872</v>
      </c>
    </row>
    <row r="470" spans="1:14" x14ac:dyDescent="0.25">
      <c r="A470" t="s">
        <v>619</v>
      </c>
      <c r="B470" t="str">
        <f>"0902683941755323"</f>
        <v>0902683941755323</v>
      </c>
      <c r="C470">
        <v>941755323</v>
      </c>
      <c r="D470" t="s">
        <v>5</v>
      </c>
      <c r="E470" s="1">
        <v>42370</v>
      </c>
      <c r="G470">
        <v>682.83</v>
      </c>
      <c r="H470" t="str">
        <f>"0.00"</f>
        <v>0.00</v>
      </c>
      <c r="I470">
        <v>682.83</v>
      </c>
      <c r="J470" t="s">
        <v>52</v>
      </c>
      <c r="K470" t="s">
        <v>64</v>
      </c>
      <c r="L470" t="s">
        <v>1</v>
      </c>
      <c r="M470">
        <v>16453872</v>
      </c>
    </row>
    <row r="471" spans="1:14" x14ac:dyDescent="0.25">
      <c r="A471" t="s">
        <v>620</v>
      </c>
      <c r="B471" t="str">
        <f>"0902683936613307"</f>
        <v>0902683936613307</v>
      </c>
      <c r="C471">
        <v>936613307</v>
      </c>
      <c r="D471" t="s">
        <v>5</v>
      </c>
      <c r="E471" s="1">
        <v>42370</v>
      </c>
      <c r="G471">
        <v>341.76</v>
      </c>
      <c r="H471">
        <v>322</v>
      </c>
      <c r="I471">
        <v>19.760000000000002</v>
      </c>
      <c r="J471" t="s">
        <v>6</v>
      </c>
      <c r="K471" t="s">
        <v>64</v>
      </c>
      <c r="L471" t="s">
        <v>1</v>
      </c>
      <c r="M471">
        <v>16453872</v>
      </c>
    </row>
    <row r="472" spans="1:14" x14ac:dyDescent="0.25">
      <c r="A472" t="s">
        <v>621</v>
      </c>
      <c r="B472" t="str">
        <f>"0902683935634688"</f>
        <v>0902683935634688</v>
      </c>
      <c r="C472">
        <v>935634688</v>
      </c>
      <c r="D472" t="s">
        <v>5</v>
      </c>
      <c r="E472" s="1">
        <v>42370</v>
      </c>
      <c r="G472">
        <v>469.77</v>
      </c>
      <c r="H472">
        <v>447</v>
      </c>
      <c r="I472">
        <v>22.77</v>
      </c>
      <c r="J472" t="s">
        <v>6</v>
      </c>
      <c r="K472" t="s">
        <v>64</v>
      </c>
      <c r="L472" t="s">
        <v>1</v>
      </c>
      <c r="M472">
        <v>16453872</v>
      </c>
    </row>
    <row r="473" spans="1:14" x14ac:dyDescent="0.25">
      <c r="A473" t="s">
        <v>622</v>
      </c>
      <c r="B473" t="str">
        <f>"0902683935955063"</f>
        <v>0902683935955063</v>
      </c>
      <c r="C473">
        <v>935955063</v>
      </c>
      <c r="D473" t="s">
        <v>5</v>
      </c>
      <c r="E473" s="1">
        <v>42370</v>
      </c>
      <c r="G473">
        <v>313.33999999999997</v>
      </c>
      <c r="H473">
        <v>229</v>
      </c>
      <c r="I473">
        <v>84.34</v>
      </c>
      <c r="J473" t="s">
        <v>10</v>
      </c>
      <c r="K473" t="s">
        <v>64</v>
      </c>
      <c r="L473" t="s">
        <v>1</v>
      </c>
      <c r="M473">
        <v>16453872</v>
      </c>
    </row>
    <row r="474" spans="1:14" x14ac:dyDescent="0.25">
      <c r="A474" t="s">
        <v>623</v>
      </c>
      <c r="B474" t="str">
        <f>"0902683934868431"</f>
        <v>0902683934868431</v>
      </c>
      <c r="C474">
        <v>934868431</v>
      </c>
      <c r="D474" t="s">
        <v>5</v>
      </c>
      <c r="E474" s="1">
        <v>42370</v>
      </c>
      <c r="G474">
        <v>416.49</v>
      </c>
      <c r="H474">
        <v>406</v>
      </c>
      <c r="I474">
        <v>10.49</v>
      </c>
      <c r="J474" t="s">
        <v>6</v>
      </c>
      <c r="K474" t="s">
        <v>64</v>
      </c>
      <c r="L474" t="s">
        <v>1</v>
      </c>
      <c r="M474">
        <v>16453872</v>
      </c>
    </row>
    <row r="475" spans="1:14" x14ac:dyDescent="0.25">
      <c r="A475" t="s">
        <v>624</v>
      </c>
      <c r="B475" t="str">
        <f>"0902683924118389"</f>
        <v>0902683924118389</v>
      </c>
      <c r="C475">
        <v>924118389</v>
      </c>
      <c r="D475" t="s">
        <v>5</v>
      </c>
      <c r="E475" s="1">
        <v>42370</v>
      </c>
      <c r="G475">
        <v>388.98</v>
      </c>
      <c r="H475">
        <v>378</v>
      </c>
      <c r="I475">
        <v>10.98</v>
      </c>
      <c r="J475" t="s">
        <v>6</v>
      </c>
      <c r="K475" t="s">
        <v>64</v>
      </c>
      <c r="L475" t="s">
        <v>1</v>
      </c>
      <c r="M475">
        <v>16453872</v>
      </c>
    </row>
    <row r="476" spans="1:14" x14ac:dyDescent="0.25">
      <c r="A476" t="s">
        <v>625</v>
      </c>
      <c r="B476" t="str">
        <f>"0902683924200793"</f>
        <v>0902683924200793</v>
      </c>
      <c r="C476">
        <v>924200793</v>
      </c>
      <c r="D476" t="s">
        <v>5</v>
      </c>
      <c r="E476" s="1">
        <v>42370</v>
      </c>
      <c r="G476">
        <v>144.78</v>
      </c>
      <c r="H476">
        <v>122</v>
      </c>
      <c r="I476">
        <v>22.78</v>
      </c>
      <c r="J476" t="s">
        <v>6</v>
      </c>
      <c r="K476" t="s">
        <v>64</v>
      </c>
      <c r="L476" t="s">
        <v>1</v>
      </c>
      <c r="M476">
        <v>16453872</v>
      </c>
    </row>
    <row r="477" spans="1:14" x14ac:dyDescent="0.25">
      <c r="A477" t="s">
        <v>626</v>
      </c>
      <c r="B477" t="str">
        <f>"0902683924812934"</f>
        <v>0902683924812934</v>
      </c>
      <c r="C477">
        <v>924812934</v>
      </c>
      <c r="D477" t="s">
        <v>5</v>
      </c>
      <c r="E477" s="1">
        <v>42370</v>
      </c>
      <c r="G477">
        <v>973.6</v>
      </c>
      <c r="H477">
        <v>962</v>
      </c>
      <c r="I477">
        <v>11.6</v>
      </c>
      <c r="J477" t="s">
        <v>6</v>
      </c>
      <c r="K477" t="s">
        <v>64</v>
      </c>
      <c r="L477" t="s">
        <v>1</v>
      </c>
      <c r="M477">
        <v>16453872</v>
      </c>
    </row>
    <row r="478" spans="1:14" x14ac:dyDescent="0.25">
      <c r="A478" t="s">
        <v>627</v>
      </c>
      <c r="B478" t="str">
        <f>"0902683921264483"</f>
        <v>0902683921264483</v>
      </c>
      <c r="C478">
        <v>921264483</v>
      </c>
      <c r="D478" t="s">
        <v>5</v>
      </c>
      <c r="E478" s="1">
        <v>42370</v>
      </c>
      <c r="G478">
        <v>234.04</v>
      </c>
      <c r="H478">
        <v>197</v>
      </c>
      <c r="I478">
        <v>37.04</v>
      </c>
      <c r="J478" t="s">
        <v>6</v>
      </c>
      <c r="K478" t="s">
        <v>64</v>
      </c>
      <c r="L478" t="s">
        <v>1</v>
      </c>
      <c r="M478">
        <v>16453872</v>
      </c>
    </row>
    <row r="479" spans="1:14" x14ac:dyDescent="0.25">
      <c r="A479" t="s">
        <v>628</v>
      </c>
      <c r="B479" t="str">
        <f>"0902683917478609"</f>
        <v>0902683917478609</v>
      </c>
      <c r="C479">
        <v>917478609</v>
      </c>
      <c r="D479" t="s">
        <v>5</v>
      </c>
      <c r="E479" s="1">
        <v>42370</v>
      </c>
      <c r="G479">
        <v>351.61</v>
      </c>
      <c r="H479">
        <v>261</v>
      </c>
      <c r="I479">
        <v>90.61</v>
      </c>
      <c r="J479" t="s">
        <v>10</v>
      </c>
      <c r="K479" t="s">
        <v>64</v>
      </c>
      <c r="L479" t="s">
        <v>1</v>
      </c>
      <c r="M479">
        <v>16453872</v>
      </c>
    </row>
    <row r="480" spans="1:14" x14ac:dyDescent="0.25">
      <c r="A480" t="s">
        <v>629</v>
      </c>
      <c r="B480" t="str">
        <f>"0902683914152354"</f>
        <v>0902683914152354</v>
      </c>
      <c r="C480">
        <v>914152354</v>
      </c>
      <c r="D480" t="s">
        <v>5</v>
      </c>
      <c r="E480" s="1">
        <v>42370</v>
      </c>
      <c r="G480">
        <v>233.9</v>
      </c>
      <c r="H480">
        <v>212</v>
      </c>
      <c r="I480">
        <v>21.9</v>
      </c>
      <c r="J480" t="s">
        <v>6</v>
      </c>
      <c r="K480" t="s">
        <v>64</v>
      </c>
      <c r="L480" t="s">
        <v>1</v>
      </c>
      <c r="M480">
        <v>16453872</v>
      </c>
    </row>
    <row r="481" spans="1:13" x14ac:dyDescent="0.25">
      <c r="A481" t="s">
        <v>630</v>
      </c>
      <c r="B481" t="str">
        <f>"0902683914318848"</f>
        <v>0902683914318848</v>
      </c>
      <c r="C481">
        <v>914318848</v>
      </c>
      <c r="D481" t="s">
        <v>5</v>
      </c>
      <c r="E481" s="1">
        <v>42370</v>
      </c>
      <c r="G481">
        <v>254.37</v>
      </c>
      <c r="H481">
        <v>227</v>
      </c>
      <c r="I481">
        <v>27.37</v>
      </c>
      <c r="J481" t="s">
        <v>6</v>
      </c>
      <c r="K481" t="s">
        <v>64</v>
      </c>
      <c r="L481" t="s">
        <v>1</v>
      </c>
      <c r="M481">
        <v>16453872</v>
      </c>
    </row>
    <row r="482" spans="1:13" x14ac:dyDescent="0.25">
      <c r="A482" t="s">
        <v>631</v>
      </c>
      <c r="B482" t="str">
        <f>"0902683910560756"</f>
        <v>0902683910560756</v>
      </c>
      <c r="C482">
        <v>910560756</v>
      </c>
      <c r="D482" t="s">
        <v>5</v>
      </c>
      <c r="E482" s="1">
        <v>42370</v>
      </c>
      <c r="G482">
        <v>253.47</v>
      </c>
      <c r="H482" t="str">
        <f>"0.00"</f>
        <v>0.00</v>
      </c>
      <c r="I482">
        <v>253.47</v>
      </c>
      <c r="J482" t="s">
        <v>52</v>
      </c>
      <c r="K482" t="s">
        <v>64</v>
      </c>
      <c r="L482" t="s">
        <v>1</v>
      </c>
      <c r="M482">
        <v>16453872</v>
      </c>
    </row>
    <row r="483" spans="1:13" x14ac:dyDescent="0.25">
      <c r="A483" t="s">
        <v>632</v>
      </c>
      <c r="B483" t="str">
        <f>"0902683911180986"</f>
        <v>0902683911180986</v>
      </c>
      <c r="C483">
        <v>911180986</v>
      </c>
      <c r="D483" t="s">
        <v>5</v>
      </c>
      <c r="E483" s="1">
        <v>42370</v>
      </c>
      <c r="G483">
        <v>258.79000000000002</v>
      </c>
      <c r="H483">
        <v>245</v>
      </c>
      <c r="I483">
        <v>13.79</v>
      </c>
      <c r="J483" t="s">
        <v>6</v>
      </c>
      <c r="K483" t="s">
        <v>64</v>
      </c>
      <c r="L483" t="s">
        <v>1</v>
      </c>
      <c r="M483">
        <v>16453872</v>
      </c>
    </row>
    <row r="484" spans="1:13" x14ac:dyDescent="0.25">
      <c r="A484" t="s">
        <v>633</v>
      </c>
      <c r="B484" t="str">
        <f>"0902683911236706"</f>
        <v>0902683911236706</v>
      </c>
      <c r="C484">
        <v>911236706</v>
      </c>
      <c r="D484" t="s">
        <v>5</v>
      </c>
      <c r="E484" s="1">
        <v>42370</v>
      </c>
      <c r="G484">
        <v>531.94000000000005</v>
      </c>
      <c r="H484">
        <v>514</v>
      </c>
      <c r="I484">
        <v>17.940000000000001</v>
      </c>
      <c r="J484" t="s">
        <v>6</v>
      </c>
      <c r="K484" t="s">
        <v>64</v>
      </c>
      <c r="L484" t="s">
        <v>1</v>
      </c>
      <c r="M484">
        <v>16453872</v>
      </c>
    </row>
    <row r="485" spans="1:13" x14ac:dyDescent="0.25">
      <c r="A485" t="s">
        <v>634</v>
      </c>
      <c r="B485" t="str">
        <f>"0902683911759087"</f>
        <v>0902683911759087</v>
      </c>
      <c r="C485">
        <v>911759087</v>
      </c>
      <c r="D485" t="s">
        <v>5</v>
      </c>
      <c r="E485" s="1">
        <v>42370</v>
      </c>
      <c r="G485">
        <v>640.70000000000005</v>
      </c>
      <c r="H485">
        <v>633</v>
      </c>
      <c r="I485">
        <v>7.7</v>
      </c>
      <c r="J485" t="s">
        <v>6</v>
      </c>
      <c r="K485" t="s">
        <v>64</v>
      </c>
      <c r="L485" t="s">
        <v>1</v>
      </c>
      <c r="M485">
        <v>16453872</v>
      </c>
    </row>
    <row r="486" spans="1:13" x14ac:dyDescent="0.25">
      <c r="A486" t="s">
        <v>635</v>
      </c>
      <c r="B486" t="str">
        <f>"0902683908474610"</f>
        <v>0902683908474610</v>
      </c>
      <c r="C486">
        <v>908474610</v>
      </c>
      <c r="D486" t="s">
        <v>5</v>
      </c>
      <c r="E486" s="1">
        <v>42370</v>
      </c>
      <c r="G486">
        <v>326.70999999999998</v>
      </c>
      <c r="H486">
        <v>316.47000000000003</v>
      </c>
      <c r="I486">
        <v>10.24</v>
      </c>
      <c r="J486" t="s">
        <v>6</v>
      </c>
      <c r="K486" t="s">
        <v>64</v>
      </c>
      <c r="L486" t="s">
        <v>1</v>
      </c>
      <c r="M486">
        <v>16453872</v>
      </c>
    </row>
    <row r="487" spans="1:13" x14ac:dyDescent="0.25">
      <c r="A487" t="s">
        <v>636</v>
      </c>
      <c r="B487" t="str">
        <f>"0902683908509868"</f>
        <v>0902683908509868</v>
      </c>
      <c r="C487">
        <v>908509868</v>
      </c>
      <c r="D487" t="s">
        <v>5</v>
      </c>
      <c r="E487" s="1">
        <v>42370</v>
      </c>
      <c r="G487">
        <v>356.38</v>
      </c>
      <c r="H487">
        <v>258</v>
      </c>
      <c r="I487">
        <v>98.38</v>
      </c>
      <c r="J487" t="s">
        <v>10</v>
      </c>
      <c r="K487" t="s">
        <v>64</v>
      </c>
      <c r="L487" t="s">
        <v>1</v>
      </c>
      <c r="M487">
        <v>16453872</v>
      </c>
    </row>
    <row r="488" spans="1:13" x14ac:dyDescent="0.25">
      <c r="A488" t="s">
        <v>637</v>
      </c>
      <c r="B488" t="str">
        <f>"0902683906453072"</f>
        <v>0902683906453072</v>
      </c>
      <c r="C488">
        <v>906453072</v>
      </c>
      <c r="D488" t="s">
        <v>5</v>
      </c>
      <c r="E488" s="1">
        <v>42370</v>
      </c>
      <c r="G488">
        <v>555.65</v>
      </c>
      <c r="H488">
        <v>531</v>
      </c>
      <c r="I488">
        <v>24.65</v>
      </c>
      <c r="J488" t="s">
        <v>6</v>
      </c>
      <c r="K488" t="s">
        <v>64</v>
      </c>
      <c r="L488" t="s">
        <v>1</v>
      </c>
      <c r="M488">
        <v>16453872</v>
      </c>
    </row>
    <row r="489" spans="1:13" x14ac:dyDescent="0.25">
      <c r="A489" t="s">
        <v>638</v>
      </c>
      <c r="B489" t="str">
        <f>"0902683907057677"</f>
        <v>0902683907057677</v>
      </c>
      <c r="C489">
        <v>907057677</v>
      </c>
      <c r="D489" t="s">
        <v>5</v>
      </c>
      <c r="E489" s="1">
        <v>42370</v>
      </c>
      <c r="G489">
        <v>429.82</v>
      </c>
      <c r="H489">
        <v>357</v>
      </c>
      <c r="I489">
        <v>72.819999999999993</v>
      </c>
      <c r="J489" t="s">
        <v>6</v>
      </c>
      <c r="K489" t="s">
        <v>64</v>
      </c>
      <c r="L489" t="s">
        <v>1</v>
      </c>
      <c r="M489">
        <v>16453872</v>
      </c>
    </row>
    <row r="490" spans="1:13" x14ac:dyDescent="0.25">
      <c r="A490" t="s">
        <v>639</v>
      </c>
      <c r="B490" t="str">
        <f>"0902683908847107"</f>
        <v>0902683908847107</v>
      </c>
      <c r="C490">
        <v>908847107</v>
      </c>
      <c r="D490" t="s">
        <v>5</v>
      </c>
      <c r="E490" s="1">
        <v>42370</v>
      </c>
      <c r="G490">
        <v>446.27</v>
      </c>
      <c r="H490">
        <v>436</v>
      </c>
      <c r="I490">
        <v>10.27</v>
      </c>
      <c r="J490" t="s">
        <v>6</v>
      </c>
      <c r="K490" t="s">
        <v>64</v>
      </c>
      <c r="L490" t="s">
        <v>1</v>
      </c>
      <c r="M490">
        <v>16453872</v>
      </c>
    </row>
    <row r="491" spans="1:13" x14ac:dyDescent="0.25">
      <c r="A491" t="s">
        <v>640</v>
      </c>
      <c r="B491" t="str">
        <f>"0902683904902986"</f>
        <v>0902683904902986</v>
      </c>
      <c r="C491">
        <v>904902986</v>
      </c>
      <c r="D491" t="s">
        <v>5</v>
      </c>
      <c r="E491" s="1">
        <v>42370</v>
      </c>
      <c r="G491">
        <v>228.02</v>
      </c>
      <c r="H491">
        <v>205</v>
      </c>
      <c r="I491">
        <v>23.02</v>
      </c>
      <c r="J491" t="s">
        <v>6</v>
      </c>
      <c r="K491" t="s">
        <v>64</v>
      </c>
      <c r="L491" t="s">
        <v>1</v>
      </c>
      <c r="M491">
        <v>16453872</v>
      </c>
    </row>
    <row r="492" spans="1:13" x14ac:dyDescent="0.25">
      <c r="A492" t="s">
        <v>641</v>
      </c>
      <c r="B492" t="str">
        <f>"0902683900248701"</f>
        <v>0902683900248701</v>
      </c>
      <c r="C492">
        <v>900248701</v>
      </c>
      <c r="D492" t="s">
        <v>5</v>
      </c>
      <c r="E492" s="1">
        <v>42370</v>
      </c>
      <c r="G492">
        <v>606.76</v>
      </c>
      <c r="H492">
        <v>529</v>
      </c>
      <c r="I492">
        <v>77.760000000000005</v>
      </c>
      <c r="J492" t="s">
        <v>4</v>
      </c>
      <c r="K492" t="s">
        <v>64</v>
      </c>
      <c r="L492" t="s">
        <v>1</v>
      </c>
      <c r="M492">
        <v>16453872</v>
      </c>
    </row>
    <row r="493" spans="1:13" x14ac:dyDescent="0.25">
      <c r="A493" t="s">
        <v>642</v>
      </c>
      <c r="B493" t="str">
        <f>"0902683901198620"</f>
        <v>0902683901198620</v>
      </c>
      <c r="C493">
        <v>901198620</v>
      </c>
      <c r="D493" t="s">
        <v>5</v>
      </c>
      <c r="E493" s="1">
        <v>42370</v>
      </c>
      <c r="G493">
        <v>664.09</v>
      </c>
      <c r="H493">
        <v>631</v>
      </c>
      <c r="I493">
        <v>33.090000000000003</v>
      </c>
      <c r="J493" t="s">
        <v>6</v>
      </c>
      <c r="K493" t="s">
        <v>64</v>
      </c>
      <c r="L493" t="s">
        <v>1</v>
      </c>
      <c r="M493">
        <v>16453872</v>
      </c>
    </row>
    <row r="494" spans="1:13" x14ac:dyDescent="0.25">
      <c r="A494" t="s">
        <v>643</v>
      </c>
      <c r="B494" t="str">
        <f>"0902682978246028"</f>
        <v>0902682978246028</v>
      </c>
      <c r="C494">
        <v>978246028</v>
      </c>
      <c r="D494" t="s">
        <v>9</v>
      </c>
      <c r="E494" s="1">
        <v>42370</v>
      </c>
      <c r="G494">
        <v>330.48</v>
      </c>
      <c r="H494">
        <v>295</v>
      </c>
      <c r="I494">
        <v>35.479999999999997</v>
      </c>
      <c r="J494" t="s">
        <v>6</v>
      </c>
      <c r="K494" t="s">
        <v>64</v>
      </c>
      <c r="L494" t="s">
        <v>1</v>
      </c>
      <c r="M494">
        <v>16453872</v>
      </c>
    </row>
    <row r="495" spans="1:13" x14ac:dyDescent="0.25">
      <c r="A495" t="s">
        <v>644</v>
      </c>
      <c r="B495" t="str">
        <f>"0902682979354420"</f>
        <v>0902682979354420</v>
      </c>
      <c r="C495">
        <v>979354420</v>
      </c>
      <c r="D495" t="s">
        <v>9</v>
      </c>
      <c r="E495" s="1">
        <v>42370</v>
      </c>
      <c r="G495">
        <v>364.54</v>
      </c>
      <c r="H495">
        <v>332</v>
      </c>
      <c r="I495">
        <v>32.54</v>
      </c>
      <c r="J495" t="s">
        <v>6</v>
      </c>
      <c r="K495" t="s">
        <v>64</v>
      </c>
      <c r="L495" t="s">
        <v>1</v>
      </c>
      <c r="M495">
        <v>16453872</v>
      </c>
    </row>
    <row r="496" spans="1:13" x14ac:dyDescent="0.25">
      <c r="A496" t="s">
        <v>645</v>
      </c>
      <c r="B496" t="str">
        <f>"0902682979556194"</f>
        <v>0902682979556194</v>
      </c>
      <c r="C496">
        <v>979556194</v>
      </c>
      <c r="D496" t="s">
        <v>9</v>
      </c>
      <c r="E496" s="1">
        <v>42370</v>
      </c>
      <c r="G496">
        <v>270.13</v>
      </c>
      <c r="H496">
        <v>266</v>
      </c>
      <c r="I496">
        <v>4.13</v>
      </c>
      <c r="J496" t="s">
        <v>4</v>
      </c>
      <c r="K496" t="s">
        <v>64</v>
      </c>
      <c r="L496" t="s">
        <v>1</v>
      </c>
      <c r="M496">
        <v>16453872</v>
      </c>
    </row>
    <row r="497" spans="1:14" x14ac:dyDescent="0.25">
      <c r="A497" t="s">
        <v>646</v>
      </c>
      <c r="B497" t="str">
        <f>"0902683902386175"</f>
        <v>0902683902386175</v>
      </c>
      <c r="C497">
        <v>902386175</v>
      </c>
      <c r="D497" t="s">
        <v>5</v>
      </c>
      <c r="E497" s="1">
        <v>42370</v>
      </c>
      <c r="G497">
        <v>260.24</v>
      </c>
      <c r="H497">
        <v>147</v>
      </c>
      <c r="I497">
        <v>113.24</v>
      </c>
      <c r="J497" t="s">
        <v>10</v>
      </c>
      <c r="K497" t="s">
        <v>64</v>
      </c>
      <c r="L497" t="s">
        <v>1</v>
      </c>
      <c r="M497">
        <v>16453872</v>
      </c>
    </row>
    <row r="498" spans="1:14" x14ac:dyDescent="0.25">
      <c r="A498" t="s">
        <v>647</v>
      </c>
      <c r="B498" t="str">
        <f>"0902683902854355"</f>
        <v>0902683902854355</v>
      </c>
      <c r="C498">
        <v>902854355</v>
      </c>
      <c r="D498" t="s">
        <v>5</v>
      </c>
      <c r="E498" s="1">
        <v>42370</v>
      </c>
      <c r="G498">
        <v>606.76</v>
      </c>
      <c r="H498">
        <v>604.03</v>
      </c>
      <c r="I498">
        <v>2.73</v>
      </c>
      <c r="J498" t="s">
        <v>4</v>
      </c>
      <c r="K498" t="s">
        <v>64</v>
      </c>
      <c r="L498" t="s">
        <v>1</v>
      </c>
      <c r="M498">
        <v>16453872</v>
      </c>
    </row>
    <row r="499" spans="1:14" x14ac:dyDescent="0.25">
      <c r="A499" t="s">
        <v>648</v>
      </c>
      <c r="B499" t="str">
        <f>"0902683902953521"</f>
        <v>0902683902953521</v>
      </c>
      <c r="C499">
        <v>902953521</v>
      </c>
      <c r="D499" t="s">
        <v>5</v>
      </c>
      <c r="E499" s="1">
        <v>42370</v>
      </c>
      <c r="G499">
        <v>144.78</v>
      </c>
      <c r="H499">
        <v>139.08000000000001</v>
      </c>
      <c r="I499">
        <v>5.7</v>
      </c>
      <c r="J499" t="s">
        <v>6</v>
      </c>
      <c r="K499" t="s">
        <v>64</v>
      </c>
      <c r="L499" t="s">
        <v>1</v>
      </c>
      <c r="M499">
        <v>16453872</v>
      </c>
    </row>
    <row r="500" spans="1:14" x14ac:dyDescent="0.25">
      <c r="A500" t="s">
        <v>649</v>
      </c>
      <c r="B500" t="str">
        <f>"0902682976659461"</f>
        <v>0902682976659461</v>
      </c>
      <c r="C500">
        <v>976659461</v>
      </c>
      <c r="D500" t="s">
        <v>9</v>
      </c>
      <c r="E500" s="1">
        <v>42370</v>
      </c>
      <c r="G500">
        <v>744.95</v>
      </c>
      <c r="H500">
        <v>742</v>
      </c>
      <c r="I500">
        <v>2.95</v>
      </c>
      <c r="J500" t="s">
        <v>6</v>
      </c>
      <c r="K500" t="s">
        <v>64</v>
      </c>
      <c r="L500" t="s">
        <v>1</v>
      </c>
      <c r="M500">
        <v>16453872</v>
      </c>
    </row>
    <row r="501" spans="1:14" x14ac:dyDescent="0.25">
      <c r="A501" t="s">
        <v>650</v>
      </c>
      <c r="B501" t="str">
        <f>"0902682976739975"</f>
        <v>0902682976739975</v>
      </c>
      <c r="C501">
        <v>976739975</v>
      </c>
      <c r="D501" t="s">
        <v>9</v>
      </c>
      <c r="E501" s="1">
        <v>42370</v>
      </c>
      <c r="G501">
        <v>576.29999999999995</v>
      </c>
      <c r="H501">
        <v>576.01</v>
      </c>
      <c r="I501" t="str">
        <f>"0.29"</f>
        <v>0.29</v>
      </c>
      <c r="J501" t="s">
        <v>4</v>
      </c>
      <c r="K501" t="s">
        <v>64</v>
      </c>
      <c r="L501" t="s">
        <v>1</v>
      </c>
      <c r="M501">
        <v>16453872</v>
      </c>
    </row>
    <row r="502" spans="1:14" x14ac:dyDescent="0.25">
      <c r="A502" t="s">
        <v>651</v>
      </c>
      <c r="B502" t="str">
        <f>"0902682970198707"</f>
        <v>0902682970198707</v>
      </c>
      <c r="C502">
        <v>970198707</v>
      </c>
      <c r="D502" t="s">
        <v>9</v>
      </c>
      <c r="E502" s="1">
        <v>42370</v>
      </c>
      <c r="G502">
        <v>764.28</v>
      </c>
      <c r="H502">
        <v>594</v>
      </c>
      <c r="I502">
        <v>42.9</v>
      </c>
      <c r="J502" t="s">
        <v>6</v>
      </c>
      <c r="K502" t="s">
        <v>64</v>
      </c>
      <c r="L502" t="s">
        <v>1</v>
      </c>
      <c r="M502">
        <v>16453872</v>
      </c>
    </row>
    <row r="503" spans="1:14" x14ac:dyDescent="0.25">
      <c r="A503" t="s">
        <v>652</v>
      </c>
      <c r="B503" t="str">
        <f>"0902682971990207"</f>
        <v>0902682971990207</v>
      </c>
      <c r="C503">
        <v>971990207</v>
      </c>
      <c r="D503" t="s">
        <v>9</v>
      </c>
      <c r="E503" s="1">
        <v>42370</v>
      </c>
      <c r="G503">
        <v>508.93</v>
      </c>
      <c r="H503">
        <v>317</v>
      </c>
      <c r="I503">
        <v>191.93</v>
      </c>
      <c r="J503" t="s">
        <v>80</v>
      </c>
      <c r="K503" t="s">
        <v>64</v>
      </c>
      <c r="L503" t="s">
        <v>1</v>
      </c>
      <c r="M503">
        <v>16453872</v>
      </c>
    </row>
    <row r="504" spans="1:14" x14ac:dyDescent="0.25">
      <c r="A504" t="s">
        <v>653</v>
      </c>
      <c r="B504" t="str">
        <f>"0902682973324341"</f>
        <v>0902682973324341</v>
      </c>
      <c r="C504">
        <v>973324341</v>
      </c>
      <c r="D504" t="s">
        <v>9</v>
      </c>
      <c r="E504" s="1">
        <v>42370</v>
      </c>
      <c r="G504">
        <v>274.49</v>
      </c>
      <c r="H504">
        <v>207</v>
      </c>
      <c r="I504">
        <v>67.489999999999995</v>
      </c>
      <c r="J504" t="s">
        <v>10</v>
      </c>
      <c r="K504" t="s">
        <v>64</v>
      </c>
      <c r="L504" t="s">
        <v>1</v>
      </c>
      <c r="M504">
        <v>16453872</v>
      </c>
    </row>
    <row r="505" spans="1:14" x14ac:dyDescent="0.25">
      <c r="A505" t="s">
        <v>654</v>
      </c>
      <c r="B505" t="str">
        <f>"0902682973411199"</f>
        <v>0902682973411199</v>
      </c>
      <c r="C505">
        <v>973411199</v>
      </c>
      <c r="D505" t="s">
        <v>9</v>
      </c>
      <c r="E505" s="1">
        <v>42370</v>
      </c>
      <c r="G505">
        <v>1048.17</v>
      </c>
      <c r="H505">
        <v>733</v>
      </c>
      <c r="I505">
        <v>315.17</v>
      </c>
      <c r="J505" t="s">
        <v>52</v>
      </c>
      <c r="K505" t="s">
        <v>64</v>
      </c>
      <c r="L505" t="s">
        <v>1</v>
      </c>
      <c r="M505">
        <v>16453872</v>
      </c>
    </row>
    <row r="506" spans="1:14" x14ac:dyDescent="0.25">
      <c r="A506" t="s">
        <v>655</v>
      </c>
      <c r="B506" t="str">
        <f>"0902682963852349"</f>
        <v>0902682963852349</v>
      </c>
      <c r="C506">
        <v>963852349</v>
      </c>
      <c r="D506" t="s">
        <v>9</v>
      </c>
      <c r="E506" s="1">
        <v>42370</v>
      </c>
      <c r="G506">
        <v>289.63</v>
      </c>
      <c r="H506">
        <v>262</v>
      </c>
      <c r="I506">
        <v>27.63</v>
      </c>
      <c r="J506" t="s">
        <v>6</v>
      </c>
      <c r="K506" t="s">
        <v>64</v>
      </c>
      <c r="L506" t="s">
        <v>1</v>
      </c>
      <c r="M506">
        <v>16453872</v>
      </c>
    </row>
    <row r="507" spans="1:14" x14ac:dyDescent="0.25">
      <c r="A507" t="s">
        <v>656</v>
      </c>
      <c r="B507" t="str">
        <f>"0902682969436930"</f>
        <v>0902682969436930</v>
      </c>
      <c r="C507">
        <v>969436930</v>
      </c>
      <c r="D507" t="s">
        <v>9</v>
      </c>
      <c r="E507" s="1">
        <v>42370</v>
      </c>
      <c r="G507">
        <v>565.35</v>
      </c>
      <c r="H507">
        <v>420</v>
      </c>
      <c r="I507">
        <v>145.35</v>
      </c>
      <c r="J507" t="s">
        <v>10</v>
      </c>
      <c r="K507" t="s">
        <v>64</v>
      </c>
      <c r="L507" t="s">
        <v>1</v>
      </c>
      <c r="M507">
        <v>16453872</v>
      </c>
    </row>
    <row r="508" spans="1:14" x14ac:dyDescent="0.25">
      <c r="A508" t="s">
        <v>657</v>
      </c>
      <c r="B508" t="str">
        <f>"0902682967780640"</f>
        <v>0902682967780640</v>
      </c>
      <c r="C508">
        <v>967780640</v>
      </c>
      <c r="D508" t="s">
        <v>9</v>
      </c>
      <c r="E508" s="1">
        <v>42370</v>
      </c>
      <c r="G508">
        <v>782.96</v>
      </c>
      <c r="H508">
        <v>755</v>
      </c>
      <c r="I508">
        <v>27.96</v>
      </c>
      <c r="J508" t="s">
        <v>6</v>
      </c>
      <c r="K508" t="s">
        <v>64</v>
      </c>
      <c r="L508" t="s">
        <v>1</v>
      </c>
      <c r="M508">
        <v>16453872</v>
      </c>
    </row>
    <row r="509" spans="1:14" x14ac:dyDescent="0.25">
      <c r="A509" t="s">
        <v>658</v>
      </c>
      <c r="B509" t="str">
        <f>"0902682965975477"</f>
        <v>0902682965975477</v>
      </c>
      <c r="C509">
        <v>965975477</v>
      </c>
      <c r="D509" t="s">
        <v>9</v>
      </c>
      <c r="E509" s="1">
        <v>42370</v>
      </c>
      <c r="G509">
        <v>786.4</v>
      </c>
      <c r="H509">
        <v>775</v>
      </c>
      <c r="I509">
        <v>11.4</v>
      </c>
      <c r="J509" t="s">
        <v>6</v>
      </c>
      <c r="K509" t="s">
        <v>64</v>
      </c>
      <c r="L509" t="s">
        <v>1</v>
      </c>
      <c r="M509">
        <v>16453872</v>
      </c>
    </row>
    <row r="510" spans="1:14" x14ac:dyDescent="0.25">
      <c r="A510" t="s">
        <v>659</v>
      </c>
      <c r="B510" t="str">
        <f>"0902728920794179"</f>
        <v>0902728920794179</v>
      </c>
      <c r="C510">
        <v>920794179</v>
      </c>
      <c r="D510" t="s">
        <v>12</v>
      </c>
      <c r="E510" s="1">
        <v>42064</v>
      </c>
      <c r="F510" s="1">
        <v>42094</v>
      </c>
      <c r="G510">
        <v>339.68</v>
      </c>
      <c r="H510">
        <v>306</v>
      </c>
      <c r="I510">
        <v>33.68</v>
      </c>
      <c r="J510" t="s">
        <v>31</v>
      </c>
      <c r="K510" t="s">
        <v>64</v>
      </c>
      <c r="L510" t="s">
        <v>1</v>
      </c>
      <c r="M510">
        <v>16453872</v>
      </c>
      <c r="N510" t="s">
        <v>660</v>
      </c>
    </row>
    <row r="511" spans="1:14" x14ac:dyDescent="0.25">
      <c r="A511" t="s">
        <v>661</v>
      </c>
      <c r="B511" t="str">
        <f>"0902728926874023"</f>
        <v>0902728926874023</v>
      </c>
      <c r="C511">
        <v>926874023</v>
      </c>
      <c r="D511" t="s">
        <v>12</v>
      </c>
      <c r="E511" s="1">
        <v>42064</v>
      </c>
      <c r="F511" s="1">
        <v>42094</v>
      </c>
      <c r="G511">
        <v>232.84</v>
      </c>
      <c r="H511" t="str">
        <f>"0.00"</f>
        <v>0.00</v>
      </c>
      <c r="I511">
        <v>232.84</v>
      </c>
      <c r="J511" t="s">
        <v>8</v>
      </c>
      <c r="K511" t="s">
        <v>64</v>
      </c>
      <c r="L511" t="s">
        <v>1</v>
      </c>
      <c r="M511">
        <v>16453872</v>
      </c>
      <c r="N511" t="s">
        <v>662</v>
      </c>
    </row>
    <row r="512" spans="1:14" x14ac:dyDescent="0.25">
      <c r="A512" t="s">
        <v>663</v>
      </c>
      <c r="B512" t="str">
        <f>"0902728927705867"</f>
        <v>0902728927705867</v>
      </c>
      <c r="C512">
        <v>927705867</v>
      </c>
      <c r="D512" t="s">
        <v>12</v>
      </c>
      <c r="E512" s="1">
        <v>42064</v>
      </c>
      <c r="G512">
        <v>778</v>
      </c>
      <c r="H512" t="str">
        <f>"0.00"</f>
        <v>0.00</v>
      </c>
      <c r="I512">
        <v>778</v>
      </c>
      <c r="J512" t="s">
        <v>44</v>
      </c>
      <c r="K512" t="s">
        <v>64</v>
      </c>
      <c r="L512" t="s">
        <v>1</v>
      </c>
      <c r="M512">
        <v>16453872</v>
      </c>
    </row>
    <row r="513" spans="1:14" x14ac:dyDescent="0.25">
      <c r="A513" t="s">
        <v>664</v>
      </c>
      <c r="B513" t="str">
        <f>"0902728928442676"</f>
        <v>0902728928442676</v>
      </c>
      <c r="C513">
        <v>928442676</v>
      </c>
      <c r="D513" t="s">
        <v>12</v>
      </c>
      <c r="E513" s="1">
        <v>42064</v>
      </c>
      <c r="F513" s="1">
        <v>42247</v>
      </c>
      <c r="G513">
        <v>231.02</v>
      </c>
      <c r="H513">
        <v>191</v>
      </c>
      <c r="I513">
        <v>30.18</v>
      </c>
      <c r="J513" t="s">
        <v>15</v>
      </c>
      <c r="K513" t="s">
        <v>64</v>
      </c>
      <c r="L513" t="s">
        <v>1</v>
      </c>
      <c r="M513">
        <v>16453872</v>
      </c>
      <c r="N513" t="s">
        <v>665</v>
      </c>
    </row>
    <row r="514" spans="1:14" x14ac:dyDescent="0.25">
      <c r="A514" t="s">
        <v>666</v>
      </c>
      <c r="B514" t="str">
        <f>"0902728912786024"</f>
        <v>0902728912786024</v>
      </c>
      <c r="C514">
        <v>912786024</v>
      </c>
      <c r="D514" t="s">
        <v>12</v>
      </c>
      <c r="E514" s="1">
        <v>42064</v>
      </c>
      <c r="F514" s="1">
        <v>42124</v>
      </c>
      <c r="G514">
        <v>600.14</v>
      </c>
      <c r="H514" t="str">
        <f>"0.00"</f>
        <v>0.00</v>
      </c>
      <c r="I514">
        <v>600.14</v>
      </c>
      <c r="J514" t="s">
        <v>15</v>
      </c>
      <c r="K514" t="s">
        <v>64</v>
      </c>
      <c r="L514" t="s">
        <v>1</v>
      </c>
      <c r="M514">
        <v>16453872</v>
      </c>
      <c r="N514" t="s">
        <v>667</v>
      </c>
    </row>
    <row r="515" spans="1:14" x14ac:dyDescent="0.25">
      <c r="A515" t="s">
        <v>668</v>
      </c>
      <c r="B515" t="str">
        <f>"0902728917851954"</f>
        <v>0902728917851954</v>
      </c>
      <c r="C515">
        <v>917851954</v>
      </c>
      <c r="D515" t="s">
        <v>12</v>
      </c>
      <c r="E515" s="1">
        <v>42064</v>
      </c>
      <c r="G515">
        <v>491.59</v>
      </c>
      <c r="H515" t="str">
        <f>"0.00"</f>
        <v>0.00</v>
      </c>
      <c r="I515">
        <v>491.59</v>
      </c>
      <c r="J515" t="s">
        <v>52</v>
      </c>
      <c r="K515" t="s">
        <v>64</v>
      </c>
      <c r="L515" t="s">
        <v>1</v>
      </c>
      <c r="M515">
        <v>16453872</v>
      </c>
    </row>
    <row r="516" spans="1:14" x14ac:dyDescent="0.25">
      <c r="A516" t="s">
        <v>669</v>
      </c>
      <c r="B516" t="str">
        <f>"0902726978926824"</f>
        <v>0902726978926824</v>
      </c>
      <c r="C516">
        <v>978926824</v>
      </c>
      <c r="D516" t="s">
        <v>16</v>
      </c>
      <c r="E516" s="1">
        <v>42064</v>
      </c>
      <c r="G516">
        <v>272.89</v>
      </c>
      <c r="H516">
        <v>272.33999999999997</v>
      </c>
      <c r="I516" t="str">
        <f>"0.55"</f>
        <v>0.55</v>
      </c>
      <c r="J516" t="s">
        <v>49</v>
      </c>
      <c r="K516" t="s">
        <v>64</v>
      </c>
      <c r="L516" t="s">
        <v>1</v>
      </c>
      <c r="M516">
        <v>16453872</v>
      </c>
    </row>
    <row r="517" spans="1:14" x14ac:dyDescent="0.25">
      <c r="A517" t="s">
        <v>670</v>
      </c>
      <c r="B517" t="str">
        <f>"0902728900354972"</f>
        <v>0902728900354972</v>
      </c>
      <c r="C517">
        <v>900354972</v>
      </c>
      <c r="D517" t="s">
        <v>12</v>
      </c>
      <c r="E517" s="1">
        <v>42064</v>
      </c>
      <c r="F517" s="1">
        <v>42155</v>
      </c>
      <c r="G517">
        <v>337.65</v>
      </c>
      <c r="H517" t="str">
        <f>"0.00"</f>
        <v>0.00</v>
      </c>
      <c r="I517">
        <v>468.42</v>
      </c>
      <c r="J517" t="s">
        <v>41</v>
      </c>
      <c r="K517" t="s">
        <v>64</v>
      </c>
      <c r="L517" t="s">
        <v>1</v>
      </c>
      <c r="M517">
        <v>16453872</v>
      </c>
    </row>
    <row r="518" spans="1:14" x14ac:dyDescent="0.25">
      <c r="A518" t="s">
        <v>671</v>
      </c>
      <c r="B518" t="str">
        <f>"0902728902090282"</f>
        <v>0902728902090282</v>
      </c>
      <c r="C518">
        <v>902090282</v>
      </c>
      <c r="D518" t="s">
        <v>12</v>
      </c>
      <c r="E518" s="1">
        <v>42064</v>
      </c>
      <c r="F518" s="1">
        <v>42094</v>
      </c>
      <c r="G518">
        <v>282.04000000000002</v>
      </c>
      <c r="H518">
        <v>186</v>
      </c>
      <c r="I518">
        <v>96.04</v>
      </c>
      <c r="J518" t="s">
        <v>13</v>
      </c>
      <c r="K518" t="s">
        <v>64</v>
      </c>
      <c r="L518" t="s">
        <v>1</v>
      </c>
      <c r="M518">
        <v>16453872</v>
      </c>
    </row>
    <row r="519" spans="1:14" x14ac:dyDescent="0.25">
      <c r="A519" t="s">
        <v>672</v>
      </c>
      <c r="B519" t="str">
        <f>"0902728901154158"</f>
        <v>0902728901154158</v>
      </c>
      <c r="C519">
        <v>901154158</v>
      </c>
      <c r="D519" t="s">
        <v>12</v>
      </c>
      <c r="E519" s="1">
        <v>42064</v>
      </c>
      <c r="F519" s="1">
        <v>42094</v>
      </c>
      <c r="G519">
        <v>395.44</v>
      </c>
      <c r="H519">
        <v>350</v>
      </c>
      <c r="I519">
        <v>45.44</v>
      </c>
      <c r="J519" t="s">
        <v>15</v>
      </c>
      <c r="K519" t="s">
        <v>64</v>
      </c>
      <c r="L519" t="s">
        <v>1</v>
      </c>
      <c r="M519">
        <v>16453872</v>
      </c>
    </row>
    <row r="520" spans="1:14" x14ac:dyDescent="0.25">
      <c r="A520" t="s">
        <v>673</v>
      </c>
      <c r="B520" t="str">
        <f>"0902730976801014"</f>
        <v>0902730976801014</v>
      </c>
      <c r="C520">
        <v>976801014</v>
      </c>
      <c r="D520" t="s">
        <v>38</v>
      </c>
      <c r="E520" s="1">
        <v>42064</v>
      </c>
      <c r="F520" s="1">
        <v>42185</v>
      </c>
      <c r="G520">
        <v>531.34</v>
      </c>
      <c r="H520" t="str">
        <f>"0.00"</f>
        <v>0.00</v>
      </c>
      <c r="I520">
        <v>550.5</v>
      </c>
      <c r="J520" t="s">
        <v>45</v>
      </c>
      <c r="K520" t="s">
        <v>64</v>
      </c>
      <c r="L520" t="s">
        <v>1</v>
      </c>
      <c r="M520">
        <v>16453872</v>
      </c>
    </row>
    <row r="521" spans="1:14" x14ac:dyDescent="0.25">
      <c r="A521" t="s">
        <v>674</v>
      </c>
      <c r="B521" t="str">
        <f>"0902732906583273"</f>
        <v>0902732906583273</v>
      </c>
      <c r="C521">
        <v>906583273</v>
      </c>
      <c r="D521" t="s">
        <v>2</v>
      </c>
      <c r="E521" s="1">
        <v>42064</v>
      </c>
      <c r="F521" s="1">
        <v>42155</v>
      </c>
      <c r="G521">
        <v>578.21</v>
      </c>
      <c r="H521">
        <v>532</v>
      </c>
      <c r="I521">
        <v>46.21</v>
      </c>
      <c r="J521" t="s">
        <v>37</v>
      </c>
      <c r="K521" t="s">
        <v>64</v>
      </c>
      <c r="L521" t="s">
        <v>1</v>
      </c>
      <c r="M521">
        <v>16453872</v>
      </c>
    </row>
    <row r="522" spans="1:14" x14ac:dyDescent="0.25">
      <c r="A522" t="s">
        <v>675</v>
      </c>
      <c r="B522" t="str">
        <f>"0902732907876514"</f>
        <v>0902732907876514</v>
      </c>
      <c r="C522">
        <v>907876514</v>
      </c>
      <c r="D522" t="s">
        <v>2</v>
      </c>
      <c r="E522" s="1">
        <v>42064</v>
      </c>
      <c r="G522">
        <v>1205.46</v>
      </c>
      <c r="H522" t="str">
        <f>"0.00"</f>
        <v>0.00</v>
      </c>
      <c r="I522">
        <v>1205.46</v>
      </c>
      <c r="J522" t="s">
        <v>14</v>
      </c>
      <c r="K522" t="s">
        <v>64</v>
      </c>
      <c r="L522" t="s">
        <v>1</v>
      </c>
      <c r="M522">
        <v>16453872</v>
      </c>
    </row>
    <row r="523" spans="1:14" x14ac:dyDescent="0.25">
      <c r="A523" t="s">
        <v>676</v>
      </c>
      <c r="B523" t="str">
        <f>"0902730972150620"</f>
        <v>0902730972150620</v>
      </c>
      <c r="C523">
        <v>972150620</v>
      </c>
      <c r="D523" t="s">
        <v>38</v>
      </c>
      <c r="E523" s="1">
        <v>42064</v>
      </c>
      <c r="F523" s="1">
        <v>42216</v>
      </c>
      <c r="G523">
        <v>616.73</v>
      </c>
      <c r="H523" t="str">
        <f>"0.00"</f>
        <v>0.00</v>
      </c>
      <c r="I523">
        <v>677.85</v>
      </c>
      <c r="J523" t="s">
        <v>51</v>
      </c>
      <c r="K523" t="s">
        <v>64</v>
      </c>
      <c r="L523" t="s">
        <v>1</v>
      </c>
      <c r="M523">
        <v>16453872</v>
      </c>
    </row>
    <row r="524" spans="1:14" x14ac:dyDescent="0.25">
      <c r="A524" t="s">
        <v>677</v>
      </c>
      <c r="B524" t="str">
        <f>"0902730946265669"</f>
        <v>0902730946265669</v>
      </c>
      <c r="C524">
        <v>946265669</v>
      </c>
      <c r="D524" t="s">
        <v>38</v>
      </c>
      <c r="E524" s="1">
        <v>42064</v>
      </c>
      <c r="F524" s="1">
        <v>42124</v>
      </c>
      <c r="G524">
        <v>600.23</v>
      </c>
      <c r="H524" t="str">
        <f>"0.00"</f>
        <v>0.00</v>
      </c>
      <c r="I524">
        <v>649.15</v>
      </c>
      <c r="J524" t="s">
        <v>51</v>
      </c>
      <c r="K524" t="s">
        <v>64</v>
      </c>
      <c r="L524" t="s">
        <v>1</v>
      </c>
      <c r="M524">
        <v>16453872</v>
      </c>
    </row>
    <row r="525" spans="1:14" x14ac:dyDescent="0.25">
      <c r="A525" t="s">
        <v>678</v>
      </c>
      <c r="B525" t="str">
        <f>"0902732931200070"</f>
        <v>0902732931200070</v>
      </c>
      <c r="C525">
        <v>931200070</v>
      </c>
      <c r="D525" t="s">
        <v>2</v>
      </c>
      <c r="E525" s="1">
        <v>42064</v>
      </c>
      <c r="F525" s="1">
        <v>42124</v>
      </c>
      <c r="G525">
        <v>509.74</v>
      </c>
      <c r="H525">
        <v>482.14</v>
      </c>
      <c r="I525">
        <v>27.6</v>
      </c>
      <c r="J525" t="s">
        <v>36</v>
      </c>
      <c r="K525" t="s">
        <v>64</v>
      </c>
      <c r="L525" t="s">
        <v>1</v>
      </c>
      <c r="M525">
        <v>16453872</v>
      </c>
    </row>
    <row r="526" spans="1:14" x14ac:dyDescent="0.25">
      <c r="A526" t="s">
        <v>679</v>
      </c>
      <c r="B526" t="str">
        <f>"0902732929197261"</f>
        <v>0902732929197261</v>
      </c>
      <c r="C526">
        <v>929197261</v>
      </c>
      <c r="D526" t="s">
        <v>2</v>
      </c>
      <c r="E526" s="1">
        <v>42064</v>
      </c>
      <c r="F526" s="1">
        <v>42155</v>
      </c>
      <c r="G526">
        <v>236.72</v>
      </c>
      <c r="H526">
        <v>214</v>
      </c>
      <c r="I526">
        <v>22.72</v>
      </c>
      <c r="J526" t="s">
        <v>36</v>
      </c>
      <c r="K526" t="s">
        <v>64</v>
      </c>
      <c r="L526" t="s">
        <v>1</v>
      </c>
      <c r="M526">
        <v>16453872</v>
      </c>
    </row>
    <row r="527" spans="1:14" x14ac:dyDescent="0.25">
      <c r="A527" t="s">
        <v>680</v>
      </c>
      <c r="B527" t="str">
        <f>"0902732924326147"</f>
        <v>0902732924326147</v>
      </c>
      <c r="C527">
        <v>924326147</v>
      </c>
      <c r="D527" t="s">
        <v>2</v>
      </c>
      <c r="E527" s="1">
        <v>42064</v>
      </c>
      <c r="F527" s="1">
        <v>42216</v>
      </c>
      <c r="G527">
        <v>484.49</v>
      </c>
      <c r="H527">
        <v>458</v>
      </c>
      <c r="I527">
        <v>21.75</v>
      </c>
      <c r="J527" t="s">
        <v>37</v>
      </c>
      <c r="K527" t="s">
        <v>64</v>
      </c>
      <c r="L527" t="s">
        <v>1</v>
      </c>
      <c r="M527">
        <v>16453872</v>
      </c>
    </row>
    <row r="528" spans="1:14" x14ac:dyDescent="0.25">
      <c r="A528" t="s">
        <v>681</v>
      </c>
      <c r="B528" t="str">
        <f>"0902732912795677"</f>
        <v>0902732912795677</v>
      </c>
      <c r="C528">
        <v>912795677</v>
      </c>
      <c r="D528" t="s">
        <v>2</v>
      </c>
      <c r="E528" s="1">
        <v>42064</v>
      </c>
      <c r="F528" s="1">
        <v>42124</v>
      </c>
      <c r="G528">
        <v>329.99</v>
      </c>
      <c r="H528">
        <v>285</v>
      </c>
      <c r="I528">
        <v>58.05</v>
      </c>
      <c r="J528" t="s">
        <v>37</v>
      </c>
      <c r="K528" t="s">
        <v>64</v>
      </c>
      <c r="L528" t="s">
        <v>1</v>
      </c>
      <c r="M528">
        <v>16453872</v>
      </c>
    </row>
    <row r="529" spans="1:14" x14ac:dyDescent="0.25">
      <c r="A529" t="s">
        <v>682</v>
      </c>
      <c r="B529" t="str">
        <f>"0902732911100670"</f>
        <v>0902732911100670</v>
      </c>
      <c r="C529">
        <v>911100670</v>
      </c>
      <c r="D529" t="s">
        <v>2</v>
      </c>
      <c r="E529" s="1">
        <v>42064</v>
      </c>
      <c r="F529" s="1">
        <v>42094</v>
      </c>
      <c r="G529">
        <v>221.06</v>
      </c>
      <c r="H529" t="str">
        <f>"0.00"</f>
        <v>0.00</v>
      </c>
      <c r="I529">
        <v>221.06</v>
      </c>
      <c r="J529" t="s">
        <v>32</v>
      </c>
      <c r="K529" t="s">
        <v>64</v>
      </c>
      <c r="L529" t="s">
        <v>1</v>
      </c>
      <c r="M529">
        <v>16453872</v>
      </c>
    </row>
    <row r="530" spans="1:14" x14ac:dyDescent="0.25">
      <c r="A530" t="s">
        <v>683</v>
      </c>
      <c r="B530" t="str">
        <f>"0902730932899125"</f>
        <v>0902730932899125</v>
      </c>
      <c r="C530">
        <v>932899125</v>
      </c>
      <c r="D530" t="s">
        <v>38</v>
      </c>
      <c r="E530" s="1">
        <v>42064</v>
      </c>
      <c r="F530" s="1">
        <v>42124</v>
      </c>
      <c r="G530">
        <v>283.5</v>
      </c>
      <c r="H530">
        <v>235</v>
      </c>
      <c r="I530">
        <v>48.5</v>
      </c>
      <c r="J530" t="s">
        <v>51</v>
      </c>
      <c r="K530" t="s">
        <v>64</v>
      </c>
      <c r="L530" t="s">
        <v>1</v>
      </c>
      <c r="M530">
        <v>16453872</v>
      </c>
    </row>
    <row r="531" spans="1:14" x14ac:dyDescent="0.25">
      <c r="A531" t="s">
        <v>684</v>
      </c>
      <c r="B531" t="str">
        <f>"0902730922402048"</f>
        <v>0902730922402048</v>
      </c>
      <c r="C531">
        <v>922402048</v>
      </c>
      <c r="D531" t="s">
        <v>38</v>
      </c>
      <c r="E531" s="1">
        <v>42064</v>
      </c>
      <c r="F531" s="1">
        <v>42094</v>
      </c>
      <c r="G531">
        <v>253.63</v>
      </c>
      <c r="H531">
        <v>188</v>
      </c>
      <c r="I531">
        <v>65.63</v>
      </c>
      <c r="J531" t="s">
        <v>39</v>
      </c>
      <c r="K531" t="s">
        <v>64</v>
      </c>
      <c r="L531" t="s">
        <v>1</v>
      </c>
      <c r="M531">
        <v>16453872</v>
      </c>
    </row>
    <row r="532" spans="1:14" x14ac:dyDescent="0.25">
      <c r="A532" t="s">
        <v>685</v>
      </c>
      <c r="B532" t="str">
        <f>"0902730907523933"</f>
        <v>0902730907523933</v>
      </c>
      <c r="C532">
        <v>907523933</v>
      </c>
      <c r="D532" t="s">
        <v>38</v>
      </c>
      <c r="E532" s="1">
        <v>42064</v>
      </c>
      <c r="F532" s="1">
        <v>42094</v>
      </c>
      <c r="G532">
        <v>291.86</v>
      </c>
      <c r="H532">
        <v>229</v>
      </c>
      <c r="I532">
        <v>62.86</v>
      </c>
      <c r="J532" t="s">
        <v>51</v>
      </c>
      <c r="K532" t="s">
        <v>64</v>
      </c>
      <c r="L532" t="s">
        <v>1</v>
      </c>
      <c r="M532">
        <v>16453872</v>
      </c>
    </row>
    <row r="533" spans="1:14" x14ac:dyDescent="0.25">
      <c r="A533" t="s">
        <v>686</v>
      </c>
      <c r="B533" t="str">
        <f>"0902730916756272"</f>
        <v>0902730916756272</v>
      </c>
      <c r="C533">
        <v>916756272</v>
      </c>
      <c r="D533" t="s">
        <v>38</v>
      </c>
      <c r="E533" s="1">
        <v>42064</v>
      </c>
      <c r="F533" s="1">
        <v>42094</v>
      </c>
      <c r="G533">
        <v>373.13</v>
      </c>
      <c r="H533">
        <v>149</v>
      </c>
      <c r="I533">
        <v>224.13</v>
      </c>
      <c r="J533" t="s">
        <v>51</v>
      </c>
      <c r="K533" t="s">
        <v>64</v>
      </c>
      <c r="L533" t="s">
        <v>1</v>
      </c>
      <c r="M533">
        <v>16453872</v>
      </c>
    </row>
    <row r="534" spans="1:14" x14ac:dyDescent="0.25">
      <c r="A534" t="s">
        <v>687</v>
      </c>
      <c r="B534" t="str">
        <f>"0902729931276959"</f>
        <v>0902729931276959</v>
      </c>
      <c r="C534">
        <v>931276959</v>
      </c>
      <c r="D534" t="s">
        <v>46</v>
      </c>
      <c r="E534" s="1">
        <v>42064</v>
      </c>
      <c r="F534" s="1">
        <v>42216</v>
      </c>
      <c r="G534">
        <v>385.8</v>
      </c>
      <c r="H534">
        <v>198</v>
      </c>
      <c r="I534">
        <v>187.8</v>
      </c>
      <c r="J534" t="s">
        <v>49</v>
      </c>
      <c r="K534" t="s">
        <v>64</v>
      </c>
      <c r="L534" t="s">
        <v>1</v>
      </c>
      <c r="M534">
        <v>16453872</v>
      </c>
    </row>
    <row r="535" spans="1:14" x14ac:dyDescent="0.25">
      <c r="A535" t="s">
        <v>688</v>
      </c>
      <c r="B535" t="str">
        <f>"0902728975282840"</f>
        <v>0902728975282840</v>
      </c>
      <c r="C535">
        <v>975282840</v>
      </c>
      <c r="D535" t="s">
        <v>12</v>
      </c>
      <c r="E535" s="1">
        <v>42064</v>
      </c>
      <c r="F535" s="1">
        <v>42216</v>
      </c>
      <c r="G535">
        <v>220.33</v>
      </c>
      <c r="H535">
        <v>220.11</v>
      </c>
      <c r="I535" t="str">
        <f>"0.13"</f>
        <v>0.13</v>
      </c>
      <c r="J535" t="s">
        <v>8</v>
      </c>
      <c r="K535" t="s">
        <v>64</v>
      </c>
      <c r="L535" t="s">
        <v>1</v>
      </c>
      <c r="M535">
        <v>16453872</v>
      </c>
    </row>
    <row r="536" spans="1:14" x14ac:dyDescent="0.25">
      <c r="A536" t="s">
        <v>689</v>
      </c>
      <c r="B536" t="str">
        <f>"0902728976691272"</f>
        <v>0902728976691272</v>
      </c>
      <c r="C536">
        <v>976691272</v>
      </c>
      <c r="D536" t="s">
        <v>12</v>
      </c>
      <c r="E536" s="1">
        <v>42064</v>
      </c>
      <c r="G536">
        <v>516.12</v>
      </c>
      <c r="H536" t="str">
        <f>"0.00"</f>
        <v>0.00</v>
      </c>
      <c r="I536">
        <v>20.75</v>
      </c>
      <c r="J536" t="s">
        <v>15</v>
      </c>
      <c r="K536" t="s">
        <v>64</v>
      </c>
      <c r="L536" t="s">
        <v>1</v>
      </c>
      <c r="M536">
        <v>16453872</v>
      </c>
    </row>
    <row r="537" spans="1:14" x14ac:dyDescent="0.25">
      <c r="A537" t="s">
        <v>690</v>
      </c>
      <c r="B537" t="str">
        <f>"0902728966250657"</f>
        <v>0902728966250657</v>
      </c>
      <c r="C537">
        <v>966250657</v>
      </c>
      <c r="D537" t="s">
        <v>12</v>
      </c>
      <c r="E537" s="1">
        <v>42064</v>
      </c>
      <c r="F537" s="1">
        <v>42277</v>
      </c>
      <c r="G537">
        <v>372.94</v>
      </c>
      <c r="H537">
        <v>350</v>
      </c>
      <c r="I537">
        <v>6.66</v>
      </c>
      <c r="J537" t="s">
        <v>15</v>
      </c>
      <c r="K537" t="s">
        <v>64</v>
      </c>
      <c r="L537" t="s">
        <v>1</v>
      </c>
      <c r="M537">
        <v>16453872</v>
      </c>
    </row>
    <row r="538" spans="1:14" x14ac:dyDescent="0.25">
      <c r="A538" t="s">
        <v>691</v>
      </c>
      <c r="B538" t="str">
        <f>"0902728967887189"</f>
        <v>0902728967887189</v>
      </c>
      <c r="C538">
        <v>967887189</v>
      </c>
      <c r="D538" t="s">
        <v>12</v>
      </c>
      <c r="E538" s="1">
        <v>42064</v>
      </c>
      <c r="F538" s="1">
        <v>42216</v>
      </c>
      <c r="G538">
        <v>249.02</v>
      </c>
      <c r="H538">
        <v>248.77</v>
      </c>
      <c r="I538">
        <v>22.67</v>
      </c>
      <c r="J538" t="s">
        <v>41</v>
      </c>
      <c r="K538" t="s">
        <v>64</v>
      </c>
      <c r="L538" t="s">
        <v>1</v>
      </c>
      <c r="M538">
        <v>16453872</v>
      </c>
    </row>
    <row r="539" spans="1:14" x14ac:dyDescent="0.25">
      <c r="A539" t="s">
        <v>692</v>
      </c>
      <c r="B539" t="str">
        <f>"0902732975981921"</f>
        <v>0902732975981921</v>
      </c>
      <c r="C539">
        <v>975981921</v>
      </c>
      <c r="D539" t="s">
        <v>2</v>
      </c>
      <c r="E539" s="1">
        <v>42064</v>
      </c>
      <c r="F539" s="1">
        <v>42155</v>
      </c>
      <c r="G539">
        <v>368.18</v>
      </c>
      <c r="H539">
        <v>347</v>
      </c>
      <c r="I539">
        <v>86.72</v>
      </c>
      <c r="J539" t="s">
        <v>36</v>
      </c>
      <c r="K539" t="s">
        <v>64</v>
      </c>
      <c r="L539" t="s">
        <v>1</v>
      </c>
      <c r="M539">
        <v>16453872</v>
      </c>
      <c r="N539" t="s">
        <v>693</v>
      </c>
    </row>
    <row r="540" spans="1:14" x14ac:dyDescent="0.25">
      <c r="A540" t="s">
        <v>694</v>
      </c>
      <c r="B540" t="str">
        <f>"0902732955451993"</f>
        <v>0902732955451993</v>
      </c>
      <c r="C540">
        <v>955451993</v>
      </c>
      <c r="D540" t="s">
        <v>2</v>
      </c>
      <c r="E540" s="1">
        <v>42064</v>
      </c>
      <c r="F540" s="1">
        <v>42216</v>
      </c>
      <c r="G540">
        <v>530.45000000000005</v>
      </c>
      <c r="H540">
        <v>510</v>
      </c>
      <c r="I540">
        <v>56.12</v>
      </c>
      <c r="J540" t="s">
        <v>40</v>
      </c>
      <c r="K540" t="s">
        <v>64</v>
      </c>
      <c r="L540" t="s">
        <v>1</v>
      </c>
      <c r="M540">
        <v>16453872</v>
      </c>
    </row>
    <row r="541" spans="1:14" x14ac:dyDescent="0.25">
      <c r="A541" t="s">
        <v>695</v>
      </c>
      <c r="B541" t="str">
        <f>"0902732956652275"</f>
        <v>0902732956652275</v>
      </c>
      <c r="C541">
        <v>956652275</v>
      </c>
      <c r="D541" t="s">
        <v>2</v>
      </c>
      <c r="E541" s="1">
        <v>42064</v>
      </c>
      <c r="F541" s="1">
        <v>42155</v>
      </c>
      <c r="G541">
        <v>307.14999999999998</v>
      </c>
      <c r="H541">
        <v>273</v>
      </c>
      <c r="I541">
        <v>34.15</v>
      </c>
      <c r="J541" t="s">
        <v>36</v>
      </c>
      <c r="K541" t="s">
        <v>64</v>
      </c>
      <c r="L541" t="s">
        <v>1</v>
      </c>
      <c r="M541">
        <v>16453872</v>
      </c>
    </row>
    <row r="542" spans="1:14" x14ac:dyDescent="0.25">
      <c r="A542" t="s">
        <v>696</v>
      </c>
      <c r="B542" t="str">
        <f>"0902732958660272"</f>
        <v>0902732958660272</v>
      </c>
      <c r="C542">
        <v>958660272</v>
      </c>
      <c r="D542" t="s">
        <v>2</v>
      </c>
      <c r="E542" s="1">
        <v>42064</v>
      </c>
      <c r="F542" s="1">
        <v>42247</v>
      </c>
      <c r="G542">
        <v>629.75</v>
      </c>
      <c r="H542">
        <v>576</v>
      </c>
      <c r="I542">
        <v>53.75</v>
      </c>
      <c r="J542" t="s">
        <v>40</v>
      </c>
      <c r="K542" t="s">
        <v>64</v>
      </c>
      <c r="L542" t="s">
        <v>1</v>
      </c>
      <c r="M542">
        <v>16453872</v>
      </c>
      <c r="N542" t="s">
        <v>697</v>
      </c>
    </row>
    <row r="543" spans="1:14" x14ac:dyDescent="0.25">
      <c r="A543" t="s">
        <v>698</v>
      </c>
      <c r="B543" t="str">
        <f>"0902732966303608"</f>
        <v>0902732966303608</v>
      </c>
      <c r="C543">
        <v>966303608</v>
      </c>
      <c r="D543" t="s">
        <v>2</v>
      </c>
      <c r="E543" s="1">
        <v>42064</v>
      </c>
      <c r="F543" s="1">
        <v>42247</v>
      </c>
      <c r="G543">
        <v>359.35</v>
      </c>
      <c r="H543">
        <v>280</v>
      </c>
      <c r="I543">
        <v>79.349999999999994</v>
      </c>
      <c r="J543" t="s">
        <v>36</v>
      </c>
      <c r="K543" t="s">
        <v>64</v>
      </c>
      <c r="L543" t="s">
        <v>1</v>
      </c>
      <c r="M543">
        <v>16453872</v>
      </c>
    </row>
    <row r="544" spans="1:14" x14ac:dyDescent="0.25">
      <c r="A544" t="s">
        <v>699</v>
      </c>
      <c r="B544" t="str">
        <f>"0902732934655811"</f>
        <v>0902732934655811</v>
      </c>
      <c r="C544">
        <v>934655811</v>
      </c>
      <c r="D544" t="s">
        <v>2</v>
      </c>
      <c r="E544" s="1">
        <v>42064</v>
      </c>
      <c r="F544" s="1">
        <v>42094</v>
      </c>
      <c r="G544">
        <v>284.97000000000003</v>
      </c>
      <c r="H544">
        <v>219</v>
      </c>
      <c r="I544">
        <v>65.97</v>
      </c>
      <c r="J544" t="s">
        <v>36</v>
      </c>
      <c r="K544" t="s">
        <v>64</v>
      </c>
      <c r="L544" t="s">
        <v>1</v>
      </c>
      <c r="M544">
        <v>16453872</v>
      </c>
    </row>
    <row r="545" spans="1:14" x14ac:dyDescent="0.25">
      <c r="A545" t="s">
        <v>700</v>
      </c>
      <c r="B545" t="str">
        <f>"0902732946317199"</f>
        <v>0902732946317199</v>
      </c>
      <c r="C545">
        <v>946317199</v>
      </c>
      <c r="D545" t="s">
        <v>2</v>
      </c>
      <c r="E545" s="1">
        <v>42064</v>
      </c>
      <c r="F545" s="1">
        <v>42277</v>
      </c>
      <c r="G545">
        <v>682.82</v>
      </c>
      <c r="H545">
        <v>554</v>
      </c>
      <c r="I545">
        <v>128.82</v>
      </c>
      <c r="J545" t="s">
        <v>47</v>
      </c>
      <c r="K545" t="s">
        <v>64</v>
      </c>
      <c r="L545" t="s">
        <v>1</v>
      </c>
      <c r="M545">
        <v>16453872</v>
      </c>
    </row>
    <row r="546" spans="1:14" x14ac:dyDescent="0.25">
      <c r="A546" t="s">
        <v>701</v>
      </c>
      <c r="B546" t="str">
        <f>"0902732943253582"</f>
        <v>0902732943253582</v>
      </c>
      <c r="C546">
        <v>943253582</v>
      </c>
      <c r="D546" t="s">
        <v>2</v>
      </c>
      <c r="E546" s="1">
        <v>42064</v>
      </c>
      <c r="F546" s="1">
        <v>42155</v>
      </c>
      <c r="G546">
        <v>494.63</v>
      </c>
      <c r="H546">
        <v>465</v>
      </c>
      <c r="I546">
        <v>29.63</v>
      </c>
      <c r="J546" t="s">
        <v>37</v>
      </c>
      <c r="K546" t="s">
        <v>64</v>
      </c>
      <c r="L546" t="s">
        <v>1</v>
      </c>
      <c r="M546">
        <v>16453872</v>
      </c>
    </row>
    <row r="547" spans="1:14" x14ac:dyDescent="0.25">
      <c r="A547" t="s">
        <v>702</v>
      </c>
      <c r="B547" t="str">
        <f>"0902732979889178"</f>
        <v>0902732979889178</v>
      </c>
      <c r="C547">
        <v>979889178</v>
      </c>
      <c r="D547" t="s">
        <v>2</v>
      </c>
      <c r="E547" s="1">
        <v>42064</v>
      </c>
      <c r="F547" s="1">
        <v>42216</v>
      </c>
      <c r="G547">
        <v>130.80000000000001</v>
      </c>
      <c r="H547" t="str">
        <f>"0.00"</f>
        <v>0.00</v>
      </c>
      <c r="I547">
        <v>130.80000000000001</v>
      </c>
      <c r="J547" t="s">
        <v>35</v>
      </c>
      <c r="K547" t="s">
        <v>64</v>
      </c>
      <c r="L547" t="s">
        <v>1</v>
      </c>
      <c r="M547">
        <v>16453872</v>
      </c>
    </row>
    <row r="548" spans="1:14" x14ac:dyDescent="0.25">
      <c r="A548" t="s">
        <v>703</v>
      </c>
      <c r="B548" t="str">
        <f>"0902719968056939"</f>
        <v>0902719968056939</v>
      </c>
      <c r="C548">
        <v>968056939</v>
      </c>
      <c r="D548" t="s">
        <v>7</v>
      </c>
      <c r="E548" s="1">
        <v>42064</v>
      </c>
      <c r="F548" s="1">
        <v>42124</v>
      </c>
      <c r="G548">
        <v>258.20999999999998</v>
      </c>
      <c r="H548">
        <v>222</v>
      </c>
      <c r="I548">
        <v>36.21</v>
      </c>
      <c r="J548" t="s">
        <v>30</v>
      </c>
      <c r="K548" t="s">
        <v>64</v>
      </c>
      <c r="L548" t="s">
        <v>1</v>
      </c>
      <c r="M548">
        <v>16453872</v>
      </c>
    </row>
    <row r="549" spans="1:14" x14ac:dyDescent="0.25">
      <c r="A549" t="s">
        <v>704</v>
      </c>
      <c r="B549" t="str">
        <f>"0902719970177777"</f>
        <v>0902719970177777</v>
      </c>
      <c r="C549">
        <v>970177777</v>
      </c>
      <c r="D549" t="s">
        <v>7</v>
      </c>
      <c r="E549" s="1">
        <v>42064</v>
      </c>
      <c r="F549" s="1">
        <v>42247</v>
      </c>
      <c r="G549">
        <v>740.3</v>
      </c>
      <c r="H549">
        <v>737.7</v>
      </c>
      <c r="I549">
        <v>9.85</v>
      </c>
      <c r="J549" t="s">
        <v>8</v>
      </c>
      <c r="K549" t="s">
        <v>64</v>
      </c>
      <c r="L549" t="s">
        <v>1</v>
      </c>
      <c r="M549">
        <v>16453872</v>
      </c>
    </row>
    <row r="550" spans="1:14" x14ac:dyDescent="0.25">
      <c r="A550" t="s">
        <v>705</v>
      </c>
      <c r="B550" t="str">
        <f>"0902719972733354"</f>
        <v>0902719972733354</v>
      </c>
      <c r="C550">
        <v>972733354</v>
      </c>
      <c r="D550" t="s">
        <v>7</v>
      </c>
      <c r="E550" s="1">
        <v>42064</v>
      </c>
      <c r="G550">
        <v>341.32</v>
      </c>
      <c r="H550" t="str">
        <f t="shared" ref="H550:H555" si="0">"0.00"</f>
        <v>0.00</v>
      </c>
      <c r="I550">
        <v>341.32</v>
      </c>
      <c r="J550" t="s">
        <v>4</v>
      </c>
      <c r="K550" t="s">
        <v>64</v>
      </c>
      <c r="L550" t="s">
        <v>1</v>
      </c>
      <c r="M550">
        <v>16453872</v>
      </c>
    </row>
    <row r="551" spans="1:14" x14ac:dyDescent="0.25">
      <c r="A551" t="s">
        <v>706</v>
      </c>
      <c r="B551" t="str">
        <f>"0902719971596185"</f>
        <v>0902719971596185</v>
      </c>
      <c r="C551">
        <v>971596185</v>
      </c>
      <c r="D551" t="s">
        <v>7</v>
      </c>
      <c r="E551" s="1">
        <v>42064</v>
      </c>
      <c r="F551" s="1">
        <v>42155</v>
      </c>
      <c r="G551">
        <v>567.49</v>
      </c>
      <c r="H551" t="str">
        <f t="shared" si="0"/>
        <v>0.00</v>
      </c>
      <c r="I551">
        <v>691.25</v>
      </c>
      <c r="J551" t="s">
        <v>0</v>
      </c>
      <c r="K551" t="s">
        <v>64</v>
      </c>
      <c r="L551" t="s">
        <v>1</v>
      </c>
      <c r="M551">
        <v>16453872</v>
      </c>
      <c r="N551" t="s">
        <v>707</v>
      </c>
    </row>
    <row r="552" spans="1:14" x14ac:dyDescent="0.25">
      <c r="A552" t="s">
        <v>708</v>
      </c>
      <c r="B552" t="str">
        <f>"0902719976162826"</f>
        <v>0902719976162826</v>
      </c>
      <c r="C552">
        <v>976162826</v>
      </c>
      <c r="D552" t="s">
        <v>7</v>
      </c>
      <c r="E552" s="1">
        <v>42064</v>
      </c>
      <c r="G552">
        <v>356.44</v>
      </c>
      <c r="H552" t="str">
        <f t="shared" si="0"/>
        <v>0.00</v>
      </c>
      <c r="I552">
        <v>449.75</v>
      </c>
      <c r="J552" t="s">
        <v>8</v>
      </c>
      <c r="K552" t="s">
        <v>64</v>
      </c>
      <c r="L552" t="s">
        <v>1</v>
      </c>
      <c r="M552">
        <v>16453872</v>
      </c>
    </row>
    <row r="553" spans="1:14" x14ac:dyDescent="0.25">
      <c r="A553" t="s">
        <v>709</v>
      </c>
      <c r="B553" t="str">
        <f>"0902719962100563"</f>
        <v>0902719962100563</v>
      </c>
      <c r="C553">
        <v>962100563</v>
      </c>
      <c r="D553" t="s">
        <v>7</v>
      </c>
      <c r="E553" s="1">
        <v>42064</v>
      </c>
      <c r="F553" s="1">
        <v>42155</v>
      </c>
      <c r="G553">
        <v>718.52</v>
      </c>
      <c r="H553" t="str">
        <f t="shared" si="0"/>
        <v>0.00</v>
      </c>
      <c r="I553">
        <v>764.54</v>
      </c>
      <c r="J553" t="s">
        <v>30</v>
      </c>
      <c r="K553" t="s">
        <v>64</v>
      </c>
      <c r="L553" t="s">
        <v>1</v>
      </c>
      <c r="M553">
        <v>16453872</v>
      </c>
    </row>
    <row r="554" spans="1:14" x14ac:dyDescent="0.25">
      <c r="A554" t="s">
        <v>710</v>
      </c>
      <c r="B554" t="str">
        <f>"0902719962546118"</f>
        <v>0902719962546118</v>
      </c>
      <c r="C554">
        <v>962546118</v>
      </c>
      <c r="D554" t="s">
        <v>7</v>
      </c>
      <c r="E554" s="1">
        <v>42064</v>
      </c>
      <c r="F554" s="1">
        <v>42185</v>
      </c>
      <c r="G554">
        <v>288.64999999999998</v>
      </c>
      <c r="H554" t="str">
        <f t="shared" si="0"/>
        <v>0.00</v>
      </c>
      <c r="I554">
        <v>344.05</v>
      </c>
      <c r="J554" t="s">
        <v>0</v>
      </c>
      <c r="K554" t="s">
        <v>64</v>
      </c>
      <c r="L554" t="s">
        <v>1</v>
      </c>
      <c r="M554">
        <v>16453872</v>
      </c>
    </row>
    <row r="555" spans="1:14" x14ac:dyDescent="0.25">
      <c r="A555" t="s">
        <v>711</v>
      </c>
      <c r="B555" t="str">
        <f>"0902719960819260"</f>
        <v>0902719960819260</v>
      </c>
      <c r="C555">
        <v>960819260</v>
      </c>
      <c r="D555" t="s">
        <v>7</v>
      </c>
      <c r="E555" s="1">
        <v>42064</v>
      </c>
      <c r="F555" s="1">
        <v>42094</v>
      </c>
      <c r="G555">
        <v>313.41000000000003</v>
      </c>
      <c r="H555" t="str">
        <f t="shared" si="0"/>
        <v>0.00</v>
      </c>
      <c r="I555">
        <v>328.86</v>
      </c>
      <c r="J555" t="s">
        <v>30</v>
      </c>
      <c r="K555" t="s">
        <v>64</v>
      </c>
      <c r="L555" t="s">
        <v>1</v>
      </c>
      <c r="M555">
        <v>16453872</v>
      </c>
    </row>
    <row r="556" spans="1:14" x14ac:dyDescent="0.25">
      <c r="A556" t="s">
        <v>712</v>
      </c>
      <c r="B556" t="str">
        <f>"0902719960874299"</f>
        <v>0902719960874299</v>
      </c>
      <c r="C556">
        <v>960874299</v>
      </c>
      <c r="D556" t="s">
        <v>7</v>
      </c>
      <c r="E556" s="1">
        <v>42064</v>
      </c>
      <c r="F556" s="1">
        <v>42155</v>
      </c>
      <c r="G556">
        <v>570.03</v>
      </c>
      <c r="H556">
        <v>530</v>
      </c>
      <c r="I556">
        <v>184.64</v>
      </c>
      <c r="J556" t="s">
        <v>0</v>
      </c>
      <c r="K556" t="s">
        <v>64</v>
      </c>
      <c r="L556" t="s">
        <v>1</v>
      </c>
      <c r="M556">
        <v>16453872</v>
      </c>
    </row>
    <row r="557" spans="1:14" x14ac:dyDescent="0.25">
      <c r="A557" t="s">
        <v>713</v>
      </c>
      <c r="B557" t="str">
        <f>"0902719961140755"</f>
        <v>0902719961140755</v>
      </c>
      <c r="C557">
        <v>961140755</v>
      </c>
      <c r="D557" t="s">
        <v>7</v>
      </c>
      <c r="E557" s="1">
        <v>42064</v>
      </c>
      <c r="G557">
        <v>417.31</v>
      </c>
      <c r="H557">
        <v>392</v>
      </c>
      <c r="I557" t="str">
        <f>"0.01"</f>
        <v>0.01</v>
      </c>
      <c r="J557" t="s">
        <v>30</v>
      </c>
      <c r="K557" t="s">
        <v>64</v>
      </c>
      <c r="L557" t="s">
        <v>1</v>
      </c>
      <c r="M557">
        <v>16453872</v>
      </c>
    </row>
    <row r="558" spans="1:14" x14ac:dyDescent="0.25">
      <c r="A558" t="s">
        <v>714</v>
      </c>
      <c r="B558" t="str">
        <f>"0902720906141660"</f>
        <v>0902720906141660</v>
      </c>
      <c r="C558">
        <v>906141660</v>
      </c>
      <c r="D558" t="s">
        <v>3</v>
      </c>
      <c r="E558" s="1">
        <v>42064</v>
      </c>
      <c r="G558">
        <v>475.2</v>
      </c>
      <c r="H558">
        <v>308</v>
      </c>
      <c r="I558">
        <v>167.2</v>
      </c>
      <c r="J558" t="s">
        <v>31</v>
      </c>
      <c r="K558" t="s">
        <v>64</v>
      </c>
      <c r="L558" t="s">
        <v>1</v>
      </c>
      <c r="M558">
        <v>16453872</v>
      </c>
    </row>
    <row r="559" spans="1:14" x14ac:dyDescent="0.25">
      <c r="A559" t="s">
        <v>715</v>
      </c>
      <c r="B559" t="str">
        <f>"0902720918753368"</f>
        <v>0902720918753368</v>
      </c>
      <c r="C559">
        <v>918753368</v>
      </c>
      <c r="D559" t="s">
        <v>3</v>
      </c>
      <c r="E559" s="1">
        <v>42064</v>
      </c>
      <c r="F559" s="1">
        <v>42216</v>
      </c>
      <c r="G559">
        <v>409.97</v>
      </c>
      <c r="H559">
        <v>404</v>
      </c>
      <c r="I559">
        <v>5.97</v>
      </c>
      <c r="J559" t="s">
        <v>15</v>
      </c>
      <c r="K559" t="s">
        <v>64</v>
      </c>
      <c r="L559" t="s">
        <v>1</v>
      </c>
      <c r="M559">
        <v>16453872</v>
      </c>
      <c r="N559" t="s">
        <v>716</v>
      </c>
    </row>
    <row r="560" spans="1:14" x14ac:dyDescent="0.25">
      <c r="A560" t="s">
        <v>717</v>
      </c>
      <c r="B560" t="str">
        <f>"0902720917043321"</f>
        <v>0902720917043321</v>
      </c>
      <c r="C560">
        <v>917043321</v>
      </c>
      <c r="D560" t="s">
        <v>3</v>
      </c>
      <c r="E560" s="1">
        <v>42064</v>
      </c>
      <c r="F560" s="1">
        <v>42247</v>
      </c>
      <c r="G560">
        <v>743.56</v>
      </c>
      <c r="H560">
        <v>740</v>
      </c>
      <c r="I560">
        <v>45.52</v>
      </c>
      <c r="J560" t="s">
        <v>31</v>
      </c>
      <c r="K560" t="s">
        <v>64</v>
      </c>
      <c r="L560" t="s">
        <v>1</v>
      </c>
      <c r="M560">
        <v>16453872</v>
      </c>
    </row>
    <row r="561" spans="1:14" x14ac:dyDescent="0.25">
      <c r="A561" t="s">
        <v>718</v>
      </c>
      <c r="B561" t="str">
        <f>"0902719940196947"</f>
        <v>0902719940196947</v>
      </c>
      <c r="C561">
        <v>940196947</v>
      </c>
      <c r="D561" t="s">
        <v>7</v>
      </c>
      <c r="E561" s="1">
        <v>42064</v>
      </c>
      <c r="G561">
        <v>296.48</v>
      </c>
      <c r="H561">
        <v>106</v>
      </c>
      <c r="I561">
        <v>190.48</v>
      </c>
      <c r="J561" t="s">
        <v>30</v>
      </c>
      <c r="K561" t="s">
        <v>64</v>
      </c>
      <c r="L561" t="s">
        <v>1</v>
      </c>
      <c r="M561">
        <v>16453872</v>
      </c>
      <c r="N561" t="s">
        <v>719</v>
      </c>
    </row>
    <row r="562" spans="1:14" x14ac:dyDescent="0.25">
      <c r="A562" t="s">
        <v>720</v>
      </c>
      <c r="B562" t="str">
        <f>"0902719936164566"</f>
        <v>0902719936164566</v>
      </c>
      <c r="C562">
        <v>936164566</v>
      </c>
      <c r="D562" t="s">
        <v>7</v>
      </c>
      <c r="E562" s="1">
        <v>42064</v>
      </c>
      <c r="F562" s="1">
        <v>42094</v>
      </c>
      <c r="G562">
        <v>548.07000000000005</v>
      </c>
      <c r="H562">
        <v>391</v>
      </c>
      <c r="I562">
        <v>157.07</v>
      </c>
      <c r="J562" t="s">
        <v>721</v>
      </c>
      <c r="K562" t="s">
        <v>64</v>
      </c>
      <c r="L562" t="s">
        <v>1</v>
      </c>
      <c r="M562">
        <v>16453872</v>
      </c>
    </row>
    <row r="563" spans="1:14" x14ac:dyDescent="0.25">
      <c r="A563" t="s">
        <v>722</v>
      </c>
      <c r="B563" t="str">
        <f>"0902719954897174"</f>
        <v>0902719954897174</v>
      </c>
      <c r="C563">
        <v>954897174</v>
      </c>
      <c r="D563" t="s">
        <v>7</v>
      </c>
      <c r="E563" s="1">
        <v>42064</v>
      </c>
      <c r="F563" s="1">
        <v>42094</v>
      </c>
      <c r="G563">
        <v>260.68</v>
      </c>
      <c r="H563">
        <v>235</v>
      </c>
      <c r="I563">
        <v>25.68</v>
      </c>
      <c r="J563" t="s">
        <v>30</v>
      </c>
      <c r="K563" t="s">
        <v>64</v>
      </c>
      <c r="L563" t="s">
        <v>1</v>
      </c>
      <c r="M563">
        <v>16453872</v>
      </c>
      <c r="N563" t="s">
        <v>723</v>
      </c>
    </row>
    <row r="564" spans="1:14" x14ac:dyDescent="0.25">
      <c r="A564" t="s">
        <v>724</v>
      </c>
      <c r="B564" t="str">
        <f>"0902719947236255"</f>
        <v>0902719947236255</v>
      </c>
      <c r="C564">
        <v>947236255</v>
      </c>
      <c r="D564" t="s">
        <v>7</v>
      </c>
      <c r="E564" s="1">
        <v>42064</v>
      </c>
      <c r="F564" s="1">
        <v>42155</v>
      </c>
      <c r="G564">
        <v>482.59</v>
      </c>
      <c r="H564">
        <v>168</v>
      </c>
      <c r="I564">
        <v>410.22</v>
      </c>
      <c r="J564" t="s">
        <v>58</v>
      </c>
      <c r="K564" t="s">
        <v>64</v>
      </c>
      <c r="L564" t="s">
        <v>1</v>
      </c>
      <c r="M564">
        <v>16453872</v>
      </c>
    </row>
    <row r="565" spans="1:14" x14ac:dyDescent="0.25">
      <c r="A565" t="s">
        <v>725</v>
      </c>
      <c r="B565" t="str">
        <f>"0902719919080392"</f>
        <v>0902719919080392</v>
      </c>
      <c r="C565">
        <v>919080392</v>
      </c>
      <c r="D565" t="s">
        <v>7</v>
      </c>
      <c r="E565" s="1">
        <v>42064</v>
      </c>
      <c r="F565" s="1">
        <v>42247</v>
      </c>
      <c r="G565">
        <v>548.37</v>
      </c>
      <c r="H565">
        <v>455</v>
      </c>
      <c r="I565">
        <v>226.96</v>
      </c>
      <c r="J565" t="s">
        <v>4</v>
      </c>
      <c r="K565" t="s">
        <v>64</v>
      </c>
      <c r="L565" t="s">
        <v>1</v>
      </c>
      <c r="M565">
        <v>16453872</v>
      </c>
    </row>
    <row r="566" spans="1:14" x14ac:dyDescent="0.25">
      <c r="A566" t="s">
        <v>726</v>
      </c>
      <c r="B566" t="str">
        <f>"0902719917759391"</f>
        <v>0902719917759391</v>
      </c>
      <c r="C566">
        <v>917759391</v>
      </c>
      <c r="D566" t="s">
        <v>7</v>
      </c>
      <c r="E566" s="1">
        <v>42064</v>
      </c>
      <c r="G566">
        <v>455.21</v>
      </c>
      <c r="H566">
        <v>453.62</v>
      </c>
      <c r="I566">
        <v>87.28</v>
      </c>
      <c r="J566" t="s">
        <v>8</v>
      </c>
      <c r="K566" t="s">
        <v>64</v>
      </c>
      <c r="L566" t="s">
        <v>1</v>
      </c>
      <c r="M566">
        <v>16453872</v>
      </c>
    </row>
    <row r="567" spans="1:14" x14ac:dyDescent="0.25">
      <c r="A567" t="s">
        <v>727</v>
      </c>
      <c r="B567" t="str">
        <f>"0902719916473567"</f>
        <v>0902719916473567</v>
      </c>
      <c r="C567">
        <v>916473567</v>
      </c>
      <c r="D567" t="s">
        <v>7</v>
      </c>
      <c r="E567" s="1">
        <v>42064</v>
      </c>
      <c r="F567" s="1">
        <v>42124</v>
      </c>
      <c r="G567">
        <v>280.05</v>
      </c>
      <c r="H567" t="str">
        <f>"0.00"</f>
        <v>0.00</v>
      </c>
      <c r="I567">
        <v>280.05</v>
      </c>
      <c r="J567" t="s">
        <v>30</v>
      </c>
      <c r="K567" t="s">
        <v>64</v>
      </c>
      <c r="L567" t="s">
        <v>1</v>
      </c>
      <c r="M567">
        <v>16453872</v>
      </c>
    </row>
    <row r="568" spans="1:14" x14ac:dyDescent="0.25">
      <c r="A568" t="s">
        <v>728</v>
      </c>
      <c r="B568" t="str">
        <f>"0902720932185999"</f>
        <v>0902720932185999</v>
      </c>
      <c r="C568">
        <v>932185999</v>
      </c>
      <c r="D568" t="s">
        <v>3</v>
      </c>
      <c r="E568" s="1">
        <v>42064</v>
      </c>
      <c r="F568" s="1">
        <v>42094</v>
      </c>
      <c r="G568">
        <v>657.1</v>
      </c>
      <c r="H568">
        <v>586</v>
      </c>
      <c r="I568">
        <v>71.099999999999994</v>
      </c>
      <c r="J568" t="s">
        <v>15</v>
      </c>
      <c r="K568" t="s">
        <v>64</v>
      </c>
      <c r="L568" t="s">
        <v>1</v>
      </c>
      <c r="M568">
        <v>16453872</v>
      </c>
      <c r="N568" t="s">
        <v>729</v>
      </c>
    </row>
    <row r="569" spans="1:14" x14ac:dyDescent="0.25">
      <c r="A569" t="s">
        <v>730</v>
      </c>
      <c r="B569" t="str">
        <f>"0902720937081978"</f>
        <v>0902720937081978</v>
      </c>
      <c r="C569">
        <v>937081978</v>
      </c>
      <c r="D569" t="s">
        <v>3</v>
      </c>
      <c r="E569" s="1">
        <v>42064</v>
      </c>
      <c r="F569" s="1">
        <v>42155</v>
      </c>
      <c r="G569">
        <v>139.05000000000001</v>
      </c>
      <c r="H569" t="str">
        <f>"0.00"</f>
        <v>0.00</v>
      </c>
      <c r="I569">
        <v>139.05000000000001</v>
      </c>
      <c r="J569" t="s">
        <v>4</v>
      </c>
      <c r="K569" t="s">
        <v>64</v>
      </c>
      <c r="L569" t="s">
        <v>1</v>
      </c>
      <c r="M569">
        <v>16453872</v>
      </c>
    </row>
    <row r="570" spans="1:14" x14ac:dyDescent="0.25">
      <c r="A570" t="s">
        <v>731</v>
      </c>
      <c r="B570" t="str">
        <f>"0902720935789966"</f>
        <v>0902720935789966</v>
      </c>
      <c r="C570">
        <v>935789966</v>
      </c>
      <c r="D570" t="s">
        <v>3</v>
      </c>
      <c r="E570" s="1">
        <v>42064</v>
      </c>
      <c r="F570" s="1">
        <v>42094</v>
      </c>
      <c r="G570">
        <v>835.17</v>
      </c>
      <c r="H570">
        <v>660</v>
      </c>
      <c r="I570" t="str">
        <f>"0.01"</f>
        <v>0.01</v>
      </c>
      <c r="J570" t="s">
        <v>15</v>
      </c>
      <c r="K570" t="s">
        <v>64</v>
      </c>
      <c r="L570" t="s">
        <v>1</v>
      </c>
      <c r="M570">
        <v>16453872</v>
      </c>
    </row>
    <row r="571" spans="1:14" x14ac:dyDescent="0.25">
      <c r="A571" t="s">
        <v>732</v>
      </c>
      <c r="B571" t="str">
        <f>"0902724937849298"</f>
        <v>0902724937849298</v>
      </c>
      <c r="C571">
        <v>937849298</v>
      </c>
      <c r="D571" t="s">
        <v>28</v>
      </c>
      <c r="E571" s="1">
        <v>42064</v>
      </c>
      <c r="F571" s="1">
        <v>42124</v>
      </c>
      <c r="G571">
        <v>236.03</v>
      </c>
      <c r="H571">
        <v>137</v>
      </c>
      <c r="I571">
        <v>99.03</v>
      </c>
      <c r="J571" t="s">
        <v>50</v>
      </c>
      <c r="K571" t="s">
        <v>64</v>
      </c>
      <c r="L571" t="s">
        <v>1</v>
      </c>
      <c r="M571">
        <v>16453872</v>
      </c>
      <c r="N571" t="s">
        <v>733</v>
      </c>
    </row>
    <row r="572" spans="1:14" x14ac:dyDescent="0.25">
      <c r="A572" t="s">
        <v>734</v>
      </c>
      <c r="B572" t="str">
        <f>"0902724940917665"</f>
        <v>0902724940917665</v>
      </c>
      <c r="C572">
        <v>940917665</v>
      </c>
      <c r="D572" t="s">
        <v>28</v>
      </c>
      <c r="E572" s="1">
        <v>42064</v>
      </c>
      <c r="F572" s="1">
        <v>42124</v>
      </c>
      <c r="G572">
        <v>191.38</v>
      </c>
      <c r="H572">
        <v>139</v>
      </c>
      <c r="I572">
        <v>52.38</v>
      </c>
      <c r="J572" t="s">
        <v>49</v>
      </c>
      <c r="K572" t="s">
        <v>64</v>
      </c>
      <c r="L572" t="s">
        <v>1</v>
      </c>
      <c r="M572">
        <v>16453872</v>
      </c>
      <c r="N572" t="s">
        <v>735</v>
      </c>
    </row>
    <row r="573" spans="1:14" x14ac:dyDescent="0.25">
      <c r="A573" t="s">
        <v>736</v>
      </c>
      <c r="B573" t="str">
        <f>"0902724905369806"</f>
        <v>0902724905369806</v>
      </c>
      <c r="C573">
        <v>905369806</v>
      </c>
      <c r="D573" t="s">
        <v>28</v>
      </c>
      <c r="E573" s="1">
        <v>42064</v>
      </c>
      <c r="F573" s="1">
        <v>42124</v>
      </c>
      <c r="G573">
        <v>360.56</v>
      </c>
      <c r="H573">
        <v>329</v>
      </c>
      <c r="I573">
        <v>31.56</v>
      </c>
      <c r="J573" t="s">
        <v>49</v>
      </c>
      <c r="K573" t="s">
        <v>64</v>
      </c>
      <c r="L573" t="s">
        <v>1</v>
      </c>
      <c r="M573">
        <v>16453872</v>
      </c>
      <c r="N573" t="s">
        <v>737</v>
      </c>
    </row>
    <row r="574" spans="1:14" x14ac:dyDescent="0.25">
      <c r="A574" t="s">
        <v>738</v>
      </c>
      <c r="B574" t="str">
        <f>"0902724909722349"</f>
        <v>0902724909722349</v>
      </c>
      <c r="C574">
        <v>909722349</v>
      </c>
      <c r="D574" t="s">
        <v>28</v>
      </c>
      <c r="E574" s="1">
        <v>42064</v>
      </c>
      <c r="F574" s="1">
        <v>42094</v>
      </c>
      <c r="G574">
        <v>169.56</v>
      </c>
      <c r="H574">
        <v>127</v>
      </c>
      <c r="I574">
        <v>42.56</v>
      </c>
      <c r="J574" t="s">
        <v>49</v>
      </c>
      <c r="K574" t="s">
        <v>64</v>
      </c>
      <c r="L574" t="s">
        <v>1</v>
      </c>
      <c r="M574">
        <v>16453872</v>
      </c>
      <c r="N574" t="s">
        <v>739</v>
      </c>
    </row>
    <row r="575" spans="1:14" x14ac:dyDescent="0.25">
      <c r="A575" t="s">
        <v>740</v>
      </c>
      <c r="B575" t="str">
        <f>"0902724924651805"</f>
        <v>0902724924651805</v>
      </c>
      <c r="C575">
        <v>924651805</v>
      </c>
      <c r="D575" t="s">
        <v>28</v>
      </c>
      <c r="E575" s="1">
        <v>42064</v>
      </c>
      <c r="F575" s="1">
        <v>42094</v>
      </c>
      <c r="G575">
        <v>220.98</v>
      </c>
      <c r="H575">
        <v>167</v>
      </c>
      <c r="I575">
        <v>53.98</v>
      </c>
      <c r="J575" t="s">
        <v>20</v>
      </c>
      <c r="K575" t="s">
        <v>64</v>
      </c>
      <c r="L575" t="s">
        <v>1</v>
      </c>
      <c r="M575">
        <v>16453872</v>
      </c>
      <c r="N575" t="s">
        <v>741</v>
      </c>
    </row>
    <row r="576" spans="1:14" x14ac:dyDescent="0.25">
      <c r="A576" t="s">
        <v>742</v>
      </c>
      <c r="B576" t="str">
        <f>"0902722922698868"</f>
        <v>0902722922698868</v>
      </c>
      <c r="C576">
        <v>922698868</v>
      </c>
      <c r="D576" t="s">
        <v>27</v>
      </c>
      <c r="E576" s="1">
        <v>42064</v>
      </c>
      <c r="F576" s="1">
        <v>42247</v>
      </c>
      <c r="G576">
        <v>708.15</v>
      </c>
      <c r="H576" t="str">
        <f>"0.00"</f>
        <v>0.00</v>
      </c>
      <c r="I576">
        <v>803.22</v>
      </c>
      <c r="J576" t="s">
        <v>743</v>
      </c>
      <c r="K576" t="s">
        <v>64</v>
      </c>
      <c r="L576" t="s">
        <v>1</v>
      </c>
      <c r="M576">
        <v>16453872</v>
      </c>
      <c r="N576" t="s">
        <v>744</v>
      </c>
    </row>
    <row r="577" spans="1:14" x14ac:dyDescent="0.25">
      <c r="A577" t="s">
        <v>745</v>
      </c>
      <c r="B577" t="str">
        <f>"0902724954456137"</f>
        <v>0902724954456137</v>
      </c>
      <c r="C577">
        <v>954456137</v>
      </c>
      <c r="D577" t="s">
        <v>28</v>
      </c>
      <c r="E577" s="1">
        <v>42064</v>
      </c>
      <c r="F577" s="1">
        <v>42124</v>
      </c>
      <c r="G577">
        <v>288.11</v>
      </c>
      <c r="H577">
        <v>231</v>
      </c>
      <c r="I577">
        <v>57.11</v>
      </c>
      <c r="J577" t="s">
        <v>49</v>
      </c>
      <c r="K577" t="s">
        <v>64</v>
      </c>
      <c r="L577" t="s">
        <v>1</v>
      </c>
      <c r="M577">
        <v>16453872</v>
      </c>
    </row>
    <row r="578" spans="1:14" x14ac:dyDescent="0.25">
      <c r="A578" t="s">
        <v>746</v>
      </c>
      <c r="B578" t="str">
        <f>"0902726913640656"</f>
        <v>0902726913640656</v>
      </c>
      <c r="C578">
        <v>913640656</v>
      </c>
      <c r="D578" t="s">
        <v>16</v>
      </c>
      <c r="E578" s="1">
        <v>42064</v>
      </c>
      <c r="F578" s="1">
        <v>42124</v>
      </c>
      <c r="G578">
        <v>714.29</v>
      </c>
      <c r="H578">
        <v>676</v>
      </c>
      <c r="I578">
        <v>38.29</v>
      </c>
      <c r="J578" t="s">
        <v>59</v>
      </c>
      <c r="K578" t="s">
        <v>64</v>
      </c>
      <c r="L578" t="s">
        <v>1</v>
      </c>
      <c r="M578">
        <v>16453872</v>
      </c>
    </row>
    <row r="579" spans="1:14" x14ac:dyDescent="0.25">
      <c r="A579" t="s">
        <v>747</v>
      </c>
      <c r="B579" t="str">
        <f>"0902726959905670"</f>
        <v>0902726959905670</v>
      </c>
      <c r="C579">
        <v>959905670</v>
      </c>
      <c r="D579" t="s">
        <v>16</v>
      </c>
      <c r="E579" s="1">
        <v>42064</v>
      </c>
      <c r="F579" s="1">
        <v>42124</v>
      </c>
      <c r="G579">
        <v>655.51</v>
      </c>
      <c r="H579">
        <v>596</v>
      </c>
      <c r="I579">
        <v>59.51</v>
      </c>
      <c r="J579" t="s">
        <v>59</v>
      </c>
      <c r="K579" t="s">
        <v>64</v>
      </c>
      <c r="L579" t="s">
        <v>1</v>
      </c>
      <c r="M579">
        <v>16453872</v>
      </c>
    </row>
    <row r="580" spans="1:14" x14ac:dyDescent="0.25">
      <c r="A580" t="s">
        <v>748</v>
      </c>
      <c r="B580" t="str">
        <f>"0902726922949919"</f>
        <v>0902726922949919</v>
      </c>
      <c r="C580">
        <v>922949919</v>
      </c>
      <c r="D580" t="s">
        <v>16</v>
      </c>
      <c r="E580" s="1">
        <v>42064</v>
      </c>
      <c r="F580" s="1">
        <v>42124</v>
      </c>
      <c r="G580">
        <v>276.99</v>
      </c>
      <c r="H580">
        <v>242</v>
      </c>
      <c r="I580">
        <v>34.99</v>
      </c>
      <c r="J580" t="s">
        <v>59</v>
      </c>
      <c r="K580" t="s">
        <v>64</v>
      </c>
      <c r="L580" t="s">
        <v>1</v>
      </c>
      <c r="M580">
        <v>16453872</v>
      </c>
      <c r="N580" t="s">
        <v>749</v>
      </c>
    </row>
    <row r="581" spans="1:14" x14ac:dyDescent="0.25">
      <c r="A581" t="s">
        <v>750</v>
      </c>
      <c r="B581" t="str">
        <f>"0902730932459635"</f>
        <v>0902730932459635</v>
      </c>
      <c r="C581">
        <v>932459635</v>
      </c>
      <c r="D581" t="s">
        <v>38</v>
      </c>
      <c r="E581" s="1">
        <v>42217</v>
      </c>
      <c r="G581">
        <v>460.94</v>
      </c>
      <c r="H581" t="str">
        <f>"0.00"</f>
        <v>0.00</v>
      </c>
      <c r="I581">
        <v>460.94</v>
      </c>
      <c r="J581" t="s">
        <v>39</v>
      </c>
      <c r="K581" t="s">
        <v>64</v>
      </c>
      <c r="L581" t="s">
        <v>1</v>
      </c>
      <c r="M581">
        <v>16453872</v>
      </c>
      <c r="N581" t="s">
        <v>751</v>
      </c>
    </row>
    <row r="582" spans="1:14" x14ac:dyDescent="0.25">
      <c r="A582" t="s">
        <v>752</v>
      </c>
      <c r="B582" t="str">
        <f>"0902730936793687"</f>
        <v>0902730936793687</v>
      </c>
      <c r="C582">
        <v>936793687</v>
      </c>
      <c r="D582" t="s">
        <v>38</v>
      </c>
      <c r="E582" s="1">
        <v>42217</v>
      </c>
      <c r="F582" s="1">
        <v>42247</v>
      </c>
      <c r="G582">
        <v>677.85</v>
      </c>
      <c r="H582">
        <v>447.09</v>
      </c>
      <c r="I582">
        <v>230.76</v>
      </c>
      <c r="J582" t="s">
        <v>52</v>
      </c>
      <c r="K582" t="s">
        <v>64</v>
      </c>
      <c r="L582" t="s">
        <v>1</v>
      </c>
      <c r="M582">
        <v>16453872</v>
      </c>
    </row>
    <row r="583" spans="1:14" x14ac:dyDescent="0.25">
      <c r="A583" t="s">
        <v>753</v>
      </c>
      <c r="B583" t="str">
        <f>"0902720952290285"</f>
        <v>0902720952290285</v>
      </c>
      <c r="C583">
        <v>952290285</v>
      </c>
      <c r="D583" t="s">
        <v>3</v>
      </c>
      <c r="E583" s="1">
        <v>42217</v>
      </c>
      <c r="F583" s="1">
        <v>42247</v>
      </c>
      <c r="G583">
        <v>497.24</v>
      </c>
      <c r="H583">
        <v>468</v>
      </c>
      <c r="I583">
        <v>31.93</v>
      </c>
      <c r="J583" t="s">
        <v>31</v>
      </c>
      <c r="K583" t="s">
        <v>64</v>
      </c>
      <c r="L583" t="s">
        <v>1</v>
      </c>
      <c r="M583">
        <v>16453872</v>
      </c>
    </row>
    <row r="584" spans="1:14" x14ac:dyDescent="0.25">
      <c r="A584" t="s">
        <v>754</v>
      </c>
      <c r="B584" t="str">
        <f>"0902719934322307"</f>
        <v>0902719934322307</v>
      </c>
      <c r="C584">
        <v>934322307</v>
      </c>
      <c r="D584" t="s">
        <v>7</v>
      </c>
      <c r="E584" s="1">
        <v>42217</v>
      </c>
      <c r="G584">
        <v>330.3</v>
      </c>
      <c r="H584">
        <v>157</v>
      </c>
      <c r="I584">
        <v>173.3</v>
      </c>
      <c r="J584" t="s">
        <v>11</v>
      </c>
      <c r="K584" t="s">
        <v>64</v>
      </c>
      <c r="L584" t="s">
        <v>1</v>
      </c>
      <c r="M584">
        <v>16453872</v>
      </c>
    </row>
    <row r="585" spans="1:14" x14ac:dyDescent="0.25">
      <c r="A585" t="s">
        <v>755</v>
      </c>
      <c r="B585" t="str">
        <f>"0902683967802846"</f>
        <v>0902683967802846</v>
      </c>
      <c r="C585">
        <v>967802846</v>
      </c>
      <c r="D585" t="s">
        <v>5</v>
      </c>
      <c r="E585" s="1">
        <v>42217</v>
      </c>
      <c r="F585" s="1">
        <v>42247</v>
      </c>
      <c r="G585">
        <v>236.35</v>
      </c>
      <c r="H585">
        <v>227</v>
      </c>
      <c r="I585">
        <v>23.42</v>
      </c>
      <c r="J585" t="s">
        <v>0</v>
      </c>
      <c r="K585" t="s">
        <v>64</v>
      </c>
      <c r="L585" t="s">
        <v>1</v>
      </c>
      <c r="M585">
        <v>16453872</v>
      </c>
    </row>
    <row r="586" spans="1:14" x14ac:dyDescent="0.25">
      <c r="A586" t="s">
        <v>756</v>
      </c>
      <c r="B586" t="str">
        <f>"0902683946849140"</f>
        <v>0902683946849140</v>
      </c>
      <c r="C586">
        <v>946849140</v>
      </c>
      <c r="D586" t="s">
        <v>5</v>
      </c>
      <c r="E586" s="1">
        <v>42217</v>
      </c>
      <c r="G586">
        <v>381.73</v>
      </c>
      <c r="H586" t="str">
        <f>"0.00"</f>
        <v>0.00</v>
      </c>
      <c r="I586">
        <v>423.02</v>
      </c>
      <c r="J586" t="s">
        <v>52</v>
      </c>
      <c r="K586" t="s">
        <v>64</v>
      </c>
      <c r="L586" t="s">
        <v>1</v>
      </c>
      <c r="M586">
        <v>16453872</v>
      </c>
    </row>
    <row r="587" spans="1:14" x14ac:dyDescent="0.25">
      <c r="A587" t="s">
        <v>757</v>
      </c>
      <c r="B587" t="str">
        <f>"0902682937281836"</f>
        <v>0902682937281836</v>
      </c>
      <c r="C587">
        <v>937281836</v>
      </c>
      <c r="D587" t="s">
        <v>9</v>
      </c>
      <c r="E587" s="1">
        <v>42217</v>
      </c>
      <c r="F587" s="1">
        <v>42277</v>
      </c>
      <c r="G587">
        <v>361.79</v>
      </c>
      <c r="H587">
        <v>353</v>
      </c>
      <c r="I587">
        <v>30.8</v>
      </c>
      <c r="J587" t="s">
        <v>0</v>
      </c>
      <c r="K587" t="s">
        <v>64</v>
      </c>
      <c r="L587" t="s">
        <v>1</v>
      </c>
      <c r="M587">
        <v>16453872</v>
      </c>
    </row>
    <row r="588" spans="1:14" x14ac:dyDescent="0.25">
      <c r="A588" t="s">
        <v>758</v>
      </c>
      <c r="B588" t="str">
        <f>"0902682938627092"</f>
        <v>0902682938627092</v>
      </c>
      <c r="C588">
        <v>938627092</v>
      </c>
      <c r="D588" t="s">
        <v>9</v>
      </c>
      <c r="E588" s="1">
        <v>42217</v>
      </c>
      <c r="F588" s="1">
        <v>42247</v>
      </c>
      <c r="G588">
        <v>591.47</v>
      </c>
      <c r="H588">
        <v>584</v>
      </c>
      <c r="I588">
        <v>7.47</v>
      </c>
      <c r="J588" t="s">
        <v>6</v>
      </c>
      <c r="K588" t="s">
        <v>64</v>
      </c>
      <c r="L588" t="s">
        <v>1</v>
      </c>
      <c r="M588">
        <v>16453872</v>
      </c>
    </row>
    <row r="589" spans="1:14" x14ac:dyDescent="0.25">
      <c r="A589" t="s">
        <v>759</v>
      </c>
      <c r="B589" t="str">
        <f>"0902682967334418"</f>
        <v>0902682967334418</v>
      </c>
      <c r="C589">
        <v>967334418</v>
      </c>
      <c r="D589" t="s">
        <v>9</v>
      </c>
      <c r="E589" s="1">
        <v>42217</v>
      </c>
      <c r="F589" s="1">
        <v>42247</v>
      </c>
      <c r="G589">
        <v>653.88</v>
      </c>
      <c r="H589" t="str">
        <f>"0.00"</f>
        <v>0.00</v>
      </c>
      <c r="I589">
        <v>653.88</v>
      </c>
      <c r="J589" t="s">
        <v>6</v>
      </c>
      <c r="K589" t="s">
        <v>64</v>
      </c>
      <c r="L589" t="s">
        <v>1</v>
      </c>
      <c r="M589">
        <v>16453872</v>
      </c>
    </row>
    <row r="590" spans="1:14" x14ac:dyDescent="0.25">
      <c r="A590" t="s">
        <v>760</v>
      </c>
      <c r="B590" t="str">
        <f>"0902682971752772"</f>
        <v>0902682971752772</v>
      </c>
      <c r="C590">
        <v>971752772</v>
      </c>
      <c r="D590" t="s">
        <v>9</v>
      </c>
      <c r="E590" s="1">
        <v>42217</v>
      </c>
      <c r="G590">
        <v>604.97</v>
      </c>
      <c r="H590">
        <v>568</v>
      </c>
      <c r="I590">
        <v>36.97</v>
      </c>
      <c r="J590" t="s">
        <v>392</v>
      </c>
      <c r="K590" t="s">
        <v>64</v>
      </c>
      <c r="L590" t="s">
        <v>1</v>
      </c>
      <c r="M590">
        <v>16453872</v>
      </c>
    </row>
    <row r="591" spans="1:14" x14ac:dyDescent="0.25">
      <c r="A591" t="s">
        <v>761</v>
      </c>
      <c r="B591" t="str">
        <f>"0902682953758469"</f>
        <v>0902682953758469</v>
      </c>
      <c r="C591">
        <v>953758469</v>
      </c>
      <c r="D591" t="s">
        <v>9</v>
      </c>
      <c r="E591" s="1">
        <v>42217</v>
      </c>
      <c r="F591" s="1">
        <v>42247</v>
      </c>
      <c r="G591">
        <v>287.23</v>
      </c>
      <c r="H591">
        <v>196</v>
      </c>
      <c r="I591">
        <v>82.13</v>
      </c>
      <c r="J591" t="s">
        <v>6</v>
      </c>
      <c r="K591" t="s">
        <v>64</v>
      </c>
      <c r="L591" t="s">
        <v>1</v>
      </c>
      <c r="M591">
        <v>16453872</v>
      </c>
    </row>
    <row r="592" spans="1:14" x14ac:dyDescent="0.25">
      <c r="A592" t="s">
        <v>762</v>
      </c>
      <c r="B592" t="str">
        <f>"0902683912191813"</f>
        <v>0902683912191813</v>
      </c>
      <c r="C592">
        <v>912191813</v>
      </c>
      <c r="D592" t="s">
        <v>5</v>
      </c>
      <c r="E592" s="1">
        <v>42217</v>
      </c>
      <c r="F592" s="1">
        <v>42247</v>
      </c>
      <c r="G592">
        <v>245.74</v>
      </c>
      <c r="H592">
        <v>209</v>
      </c>
      <c r="I592">
        <v>57.05</v>
      </c>
      <c r="J592" t="s">
        <v>0</v>
      </c>
      <c r="K592" t="s">
        <v>64</v>
      </c>
      <c r="L592" t="s">
        <v>1</v>
      </c>
      <c r="M592">
        <v>16453872</v>
      </c>
    </row>
    <row r="593" spans="1:14" x14ac:dyDescent="0.25">
      <c r="A593" t="s">
        <v>763</v>
      </c>
      <c r="B593" t="str">
        <f>"0902683913297804"</f>
        <v>0902683913297804</v>
      </c>
      <c r="C593">
        <v>913297804</v>
      </c>
      <c r="D593" t="s">
        <v>5</v>
      </c>
      <c r="E593" s="1">
        <v>42217</v>
      </c>
      <c r="F593" s="1">
        <v>42247</v>
      </c>
      <c r="G593">
        <v>242.51</v>
      </c>
      <c r="H593">
        <v>220</v>
      </c>
      <c r="I593">
        <v>14.76</v>
      </c>
      <c r="J593" t="s">
        <v>6</v>
      </c>
      <c r="K593" t="s">
        <v>64</v>
      </c>
      <c r="L593" t="s">
        <v>1</v>
      </c>
      <c r="M593">
        <v>16453872</v>
      </c>
    </row>
    <row r="594" spans="1:14" x14ac:dyDescent="0.25">
      <c r="A594" t="s">
        <v>764</v>
      </c>
      <c r="B594" t="str">
        <f>"0902683908757790"</f>
        <v>0902683908757790</v>
      </c>
      <c r="C594">
        <v>908757790</v>
      </c>
      <c r="D594" t="s">
        <v>5</v>
      </c>
      <c r="E594" s="1">
        <v>42217</v>
      </c>
      <c r="F594" s="1">
        <v>42277</v>
      </c>
      <c r="G594">
        <v>474.42</v>
      </c>
      <c r="H594">
        <v>450</v>
      </c>
      <c r="I594">
        <v>27.5</v>
      </c>
      <c r="J594" t="s">
        <v>0</v>
      </c>
      <c r="K594" t="s">
        <v>64</v>
      </c>
      <c r="L594" t="s">
        <v>1</v>
      </c>
      <c r="M594">
        <v>16453872</v>
      </c>
    </row>
    <row r="595" spans="1:14" x14ac:dyDescent="0.25">
      <c r="A595" t="s">
        <v>765</v>
      </c>
      <c r="B595" t="str">
        <f>"0902682977977136"</f>
        <v>0902682977977136</v>
      </c>
      <c r="C595">
        <v>977977136</v>
      </c>
      <c r="D595" t="s">
        <v>9</v>
      </c>
      <c r="E595" s="1">
        <v>42217</v>
      </c>
      <c r="G595">
        <v>1038.43</v>
      </c>
      <c r="H595">
        <v>653</v>
      </c>
      <c r="I595">
        <v>385.43</v>
      </c>
      <c r="J595" t="s">
        <v>52</v>
      </c>
      <c r="K595" t="s">
        <v>64</v>
      </c>
      <c r="L595" t="s">
        <v>1</v>
      </c>
      <c r="M595">
        <v>16453872</v>
      </c>
    </row>
    <row r="596" spans="1:14" x14ac:dyDescent="0.25">
      <c r="A596" t="s">
        <v>766</v>
      </c>
      <c r="B596" t="str">
        <f>"0902719903764805"</f>
        <v>0902719903764805</v>
      </c>
      <c r="C596">
        <v>903764805</v>
      </c>
      <c r="D596" t="s">
        <v>7</v>
      </c>
      <c r="E596" s="1">
        <v>42186</v>
      </c>
      <c r="G596">
        <v>381.73</v>
      </c>
      <c r="H596" t="str">
        <f>"0.00"</f>
        <v>0.00</v>
      </c>
      <c r="I596">
        <v>353.14</v>
      </c>
      <c r="J596" t="s">
        <v>11</v>
      </c>
      <c r="K596" t="s">
        <v>64</v>
      </c>
      <c r="L596" t="s">
        <v>1</v>
      </c>
      <c r="M596">
        <v>16453872</v>
      </c>
    </row>
    <row r="597" spans="1:14" x14ac:dyDescent="0.25">
      <c r="A597" t="s">
        <v>767</v>
      </c>
      <c r="B597" t="str">
        <f>"0902719910709729"</f>
        <v>0902719910709729</v>
      </c>
      <c r="C597">
        <v>910709729</v>
      </c>
      <c r="D597" t="s">
        <v>7</v>
      </c>
      <c r="E597" s="1">
        <v>42186</v>
      </c>
      <c r="G597">
        <v>590.27</v>
      </c>
      <c r="H597">
        <v>588.20000000000005</v>
      </c>
      <c r="I597" t="str">
        <f>"0.01"</f>
        <v>0.01</v>
      </c>
      <c r="J597" t="s">
        <v>0</v>
      </c>
      <c r="K597" t="s">
        <v>64</v>
      </c>
      <c r="L597" t="s">
        <v>1</v>
      </c>
      <c r="M597">
        <v>16453872</v>
      </c>
    </row>
    <row r="598" spans="1:14" x14ac:dyDescent="0.25">
      <c r="A598" t="s">
        <v>768</v>
      </c>
      <c r="B598" t="str">
        <f>"0902683929038618"</f>
        <v>0902683929038618</v>
      </c>
      <c r="C598">
        <v>929038618</v>
      </c>
      <c r="D598" t="s">
        <v>5</v>
      </c>
      <c r="E598" s="1">
        <v>42186</v>
      </c>
      <c r="F598" s="1">
        <v>42277</v>
      </c>
      <c r="G598">
        <v>453.47</v>
      </c>
      <c r="H598">
        <v>426</v>
      </c>
      <c r="I598">
        <v>30.5</v>
      </c>
      <c r="J598" t="s">
        <v>0</v>
      </c>
      <c r="K598" t="s">
        <v>64</v>
      </c>
      <c r="L598" t="s">
        <v>1</v>
      </c>
      <c r="M598">
        <v>16453872</v>
      </c>
    </row>
    <row r="599" spans="1:14" x14ac:dyDescent="0.25">
      <c r="A599" t="s">
        <v>769</v>
      </c>
      <c r="B599" t="str">
        <f>"0902683930332678"</f>
        <v>0902683930332678</v>
      </c>
      <c r="C599">
        <v>930332678</v>
      </c>
      <c r="D599" t="s">
        <v>5</v>
      </c>
      <c r="E599" s="1">
        <v>42186</v>
      </c>
      <c r="G599">
        <v>847.82</v>
      </c>
      <c r="H599">
        <v>747</v>
      </c>
      <c r="I599">
        <v>100.82</v>
      </c>
      <c r="J599" t="s">
        <v>6</v>
      </c>
      <c r="K599" t="s">
        <v>64</v>
      </c>
      <c r="L599" t="s">
        <v>1</v>
      </c>
      <c r="M599">
        <v>16453872</v>
      </c>
    </row>
    <row r="600" spans="1:14" x14ac:dyDescent="0.25">
      <c r="A600" t="s">
        <v>770</v>
      </c>
      <c r="B600" t="str">
        <f>"0902683915715288"</f>
        <v>0902683915715288</v>
      </c>
      <c r="C600">
        <v>915715288</v>
      </c>
      <c r="D600" t="s">
        <v>5</v>
      </c>
      <c r="E600" s="1">
        <v>42186</v>
      </c>
      <c r="G600">
        <v>264.99</v>
      </c>
      <c r="H600" t="str">
        <f>"0.00"</f>
        <v>0.00</v>
      </c>
      <c r="I600">
        <v>264.99</v>
      </c>
      <c r="J600" t="s">
        <v>52</v>
      </c>
      <c r="K600" t="s">
        <v>64</v>
      </c>
      <c r="L600" t="s">
        <v>1</v>
      </c>
      <c r="M600">
        <v>16453872</v>
      </c>
    </row>
    <row r="601" spans="1:14" x14ac:dyDescent="0.25">
      <c r="A601" t="s">
        <v>771</v>
      </c>
      <c r="B601" t="str">
        <f>"0902682958666046"</f>
        <v>0902682958666046</v>
      </c>
      <c r="C601">
        <v>958666046</v>
      </c>
      <c r="D601" t="s">
        <v>9</v>
      </c>
      <c r="E601" s="1">
        <v>42186</v>
      </c>
      <c r="F601" s="1">
        <v>42247</v>
      </c>
      <c r="G601">
        <v>520.9</v>
      </c>
      <c r="H601">
        <v>485</v>
      </c>
      <c r="I601">
        <v>27.47</v>
      </c>
      <c r="J601" t="s">
        <v>6</v>
      </c>
      <c r="K601" t="s">
        <v>64</v>
      </c>
      <c r="L601" t="s">
        <v>1</v>
      </c>
      <c r="M601">
        <v>16453872</v>
      </c>
      <c r="N601" t="s">
        <v>772</v>
      </c>
    </row>
    <row r="602" spans="1:14" x14ac:dyDescent="0.25">
      <c r="A602" t="s">
        <v>773</v>
      </c>
      <c r="B602" t="str">
        <f>"0902682973693820"</f>
        <v>0902682973693820</v>
      </c>
      <c r="C602">
        <v>973693820</v>
      </c>
      <c r="D602" t="s">
        <v>9</v>
      </c>
      <c r="E602" s="1">
        <v>42186</v>
      </c>
      <c r="F602" s="1">
        <v>42247</v>
      </c>
      <c r="G602">
        <v>515.71</v>
      </c>
      <c r="H602">
        <v>497</v>
      </c>
      <c r="I602">
        <v>55.12</v>
      </c>
      <c r="J602" t="s">
        <v>0</v>
      </c>
      <c r="K602" t="s">
        <v>64</v>
      </c>
      <c r="L602" t="s">
        <v>1</v>
      </c>
      <c r="M602">
        <v>16453872</v>
      </c>
    </row>
    <row r="603" spans="1:14" x14ac:dyDescent="0.25">
      <c r="A603" t="s">
        <v>774</v>
      </c>
      <c r="B603" t="str">
        <f>"0902682910147019"</f>
        <v>0902682910147019</v>
      </c>
      <c r="C603">
        <v>910147019</v>
      </c>
      <c r="D603" t="s">
        <v>9</v>
      </c>
      <c r="E603" s="1">
        <v>42186</v>
      </c>
      <c r="F603" s="1">
        <v>42216</v>
      </c>
      <c r="G603">
        <v>476.25</v>
      </c>
      <c r="H603">
        <v>433</v>
      </c>
      <c r="I603">
        <v>31.73</v>
      </c>
      <c r="J603" t="s">
        <v>6</v>
      </c>
      <c r="K603" t="s">
        <v>64</v>
      </c>
      <c r="L603" t="s">
        <v>1</v>
      </c>
      <c r="M603">
        <v>16453872</v>
      </c>
    </row>
    <row r="604" spans="1:14" x14ac:dyDescent="0.25">
      <c r="A604" t="s">
        <v>775</v>
      </c>
      <c r="B604" t="str">
        <f>"0902682916069826"</f>
        <v>0902682916069826</v>
      </c>
      <c r="C604">
        <v>916069826</v>
      </c>
      <c r="D604" t="s">
        <v>9</v>
      </c>
      <c r="E604" s="1">
        <v>42186</v>
      </c>
      <c r="G604">
        <v>206.76</v>
      </c>
      <c r="H604" t="str">
        <f>"0.00"</f>
        <v>0.00</v>
      </c>
      <c r="I604">
        <v>215.1</v>
      </c>
      <c r="J604" t="s">
        <v>776</v>
      </c>
      <c r="K604" t="s">
        <v>64</v>
      </c>
      <c r="L604" t="s">
        <v>1</v>
      </c>
      <c r="M604">
        <v>16453872</v>
      </c>
    </row>
    <row r="605" spans="1:14" x14ac:dyDescent="0.25">
      <c r="A605" t="s">
        <v>777</v>
      </c>
      <c r="B605" t="str">
        <f>"0902682929518614"</f>
        <v>0902682929518614</v>
      </c>
      <c r="C605">
        <v>929518614</v>
      </c>
      <c r="D605" t="s">
        <v>9</v>
      </c>
      <c r="E605" s="1">
        <v>42186</v>
      </c>
      <c r="G605">
        <v>712.82</v>
      </c>
      <c r="H605">
        <v>638</v>
      </c>
      <c r="I605">
        <v>97.06</v>
      </c>
      <c r="J605" t="s">
        <v>48</v>
      </c>
      <c r="K605" t="s">
        <v>64</v>
      </c>
      <c r="L605" t="s">
        <v>1</v>
      </c>
      <c r="M605">
        <v>16453872</v>
      </c>
    </row>
    <row r="606" spans="1:14" x14ac:dyDescent="0.25">
      <c r="A606" t="s">
        <v>778</v>
      </c>
      <c r="B606" t="str">
        <f>"0902719951275665"</f>
        <v>0902719951275665</v>
      </c>
      <c r="C606">
        <v>951275665</v>
      </c>
      <c r="D606" t="s">
        <v>7</v>
      </c>
      <c r="E606" s="1">
        <v>42186</v>
      </c>
      <c r="G606">
        <v>580.30999999999995</v>
      </c>
      <c r="H606" t="str">
        <f>"0.00"</f>
        <v>0.00</v>
      </c>
      <c r="I606">
        <v>686.79</v>
      </c>
      <c r="J606" t="s">
        <v>11</v>
      </c>
      <c r="K606" t="s">
        <v>64</v>
      </c>
      <c r="L606" t="s">
        <v>1</v>
      </c>
      <c r="M606">
        <v>16453872</v>
      </c>
      <c r="N606" t="s">
        <v>779</v>
      </c>
    </row>
    <row r="607" spans="1:14" x14ac:dyDescent="0.25">
      <c r="A607" t="s">
        <v>780</v>
      </c>
      <c r="B607" t="str">
        <f>"0902719949953641"</f>
        <v>0902719949953641</v>
      </c>
      <c r="C607">
        <v>949953641</v>
      </c>
      <c r="D607" t="s">
        <v>7</v>
      </c>
      <c r="E607" s="1">
        <v>42186</v>
      </c>
      <c r="G607">
        <v>318.49</v>
      </c>
      <c r="H607" t="str">
        <f>"0.00"</f>
        <v>0.00</v>
      </c>
      <c r="I607">
        <v>425.85</v>
      </c>
      <c r="J607" t="s">
        <v>4</v>
      </c>
      <c r="K607" t="s">
        <v>64</v>
      </c>
      <c r="L607" t="s">
        <v>1</v>
      </c>
      <c r="M607">
        <v>16453872</v>
      </c>
    </row>
    <row r="608" spans="1:14" x14ac:dyDescent="0.25">
      <c r="A608" t="s">
        <v>781</v>
      </c>
      <c r="B608" t="str">
        <f>"0902719913824848"</f>
        <v>0902719913824848</v>
      </c>
      <c r="C608">
        <v>913824848</v>
      </c>
      <c r="D608" t="s">
        <v>7</v>
      </c>
      <c r="E608" s="1">
        <v>42186</v>
      </c>
      <c r="G608">
        <v>328.46</v>
      </c>
      <c r="H608" t="str">
        <f>"0.00"</f>
        <v>0.00</v>
      </c>
      <c r="I608">
        <v>399.72</v>
      </c>
      <c r="J608" t="s">
        <v>18</v>
      </c>
      <c r="K608" t="s">
        <v>64</v>
      </c>
      <c r="L608" t="s">
        <v>1</v>
      </c>
      <c r="M608">
        <v>16453872</v>
      </c>
    </row>
    <row r="609" spans="1:14" x14ac:dyDescent="0.25">
      <c r="A609" t="s">
        <v>782</v>
      </c>
      <c r="B609" t="str">
        <f>"0902722938740596"</f>
        <v>0902722938740596</v>
      </c>
      <c r="C609">
        <v>938740596</v>
      </c>
      <c r="D609" t="s">
        <v>27</v>
      </c>
      <c r="E609" s="1">
        <v>42186</v>
      </c>
      <c r="G609">
        <v>555.69000000000005</v>
      </c>
      <c r="H609">
        <v>242</v>
      </c>
      <c r="I609" t="str">
        <f>"0.01"</f>
        <v>0.01</v>
      </c>
      <c r="J609" t="s">
        <v>228</v>
      </c>
      <c r="K609" t="s">
        <v>64</v>
      </c>
      <c r="L609" t="s">
        <v>1</v>
      </c>
      <c r="M609">
        <v>16453872</v>
      </c>
    </row>
    <row r="610" spans="1:14" x14ac:dyDescent="0.25">
      <c r="A610" t="s">
        <v>783</v>
      </c>
      <c r="B610" t="str">
        <f>"0902732915108917"</f>
        <v>0902732915108917</v>
      </c>
      <c r="C610">
        <v>915108917</v>
      </c>
      <c r="D610" t="s">
        <v>2</v>
      </c>
      <c r="E610" s="1">
        <v>42186</v>
      </c>
      <c r="G610">
        <v>186.19</v>
      </c>
      <c r="H610" t="str">
        <f>"0.00"</f>
        <v>0.00</v>
      </c>
      <c r="I610">
        <v>186.19</v>
      </c>
      <c r="J610" t="s">
        <v>40</v>
      </c>
      <c r="K610" t="s">
        <v>64</v>
      </c>
      <c r="L610" t="s">
        <v>1</v>
      </c>
      <c r="M610">
        <v>16453872</v>
      </c>
    </row>
    <row r="611" spans="1:14" x14ac:dyDescent="0.25">
      <c r="A611" t="s">
        <v>784</v>
      </c>
      <c r="B611" t="str">
        <f>"0902732910309094"</f>
        <v>0902732910309094</v>
      </c>
      <c r="C611">
        <v>910309094</v>
      </c>
      <c r="D611" t="s">
        <v>2</v>
      </c>
      <c r="E611" s="1">
        <v>42186</v>
      </c>
      <c r="G611">
        <v>435.16</v>
      </c>
      <c r="H611" t="str">
        <f>"0.00"</f>
        <v>0.00</v>
      </c>
      <c r="I611">
        <v>435.16</v>
      </c>
      <c r="J611" t="s">
        <v>40</v>
      </c>
      <c r="K611" t="s">
        <v>64</v>
      </c>
      <c r="L611" t="s">
        <v>1</v>
      </c>
      <c r="M611">
        <v>16453872</v>
      </c>
    </row>
    <row r="612" spans="1:14" x14ac:dyDescent="0.25">
      <c r="A612" t="s">
        <v>785</v>
      </c>
      <c r="B612" t="str">
        <f>"0902732920597618"</f>
        <v>0902732920597618</v>
      </c>
      <c r="C612">
        <v>920597618</v>
      </c>
      <c r="D612" t="s">
        <v>2</v>
      </c>
      <c r="E612" s="1">
        <v>42186</v>
      </c>
      <c r="G612">
        <v>255.55</v>
      </c>
      <c r="H612" t="str">
        <f>"0.00"</f>
        <v>0.00</v>
      </c>
      <c r="I612" t="str">
        <f>"0.01"</f>
        <v>0.01</v>
      </c>
      <c r="J612" t="s">
        <v>40</v>
      </c>
      <c r="K612" t="s">
        <v>64</v>
      </c>
      <c r="L612" t="s">
        <v>1</v>
      </c>
      <c r="M612">
        <v>16453872</v>
      </c>
    </row>
    <row r="613" spans="1:14" x14ac:dyDescent="0.25">
      <c r="A613" t="s">
        <v>786</v>
      </c>
      <c r="B613" t="str">
        <f>"0902728968344696"</f>
        <v>0902728968344696</v>
      </c>
      <c r="C613">
        <v>968344696</v>
      </c>
      <c r="D613" t="s">
        <v>12</v>
      </c>
      <c r="E613" s="1">
        <v>42186</v>
      </c>
      <c r="G613">
        <v>376.07</v>
      </c>
      <c r="H613">
        <v>341</v>
      </c>
      <c r="I613">
        <v>19.13</v>
      </c>
      <c r="J613" t="s">
        <v>15</v>
      </c>
      <c r="K613" t="s">
        <v>64</v>
      </c>
      <c r="L613" t="s">
        <v>1</v>
      </c>
      <c r="M613">
        <v>16453872</v>
      </c>
      <c r="N613" t="s">
        <v>787</v>
      </c>
    </row>
    <row r="614" spans="1:14" x14ac:dyDescent="0.25">
      <c r="A614" t="s">
        <v>788</v>
      </c>
      <c r="B614" t="str">
        <f>"0902728963853265"</f>
        <v>0902728963853265</v>
      </c>
      <c r="C614">
        <v>963853265</v>
      </c>
      <c r="D614" t="s">
        <v>12</v>
      </c>
      <c r="E614" s="1">
        <v>42186</v>
      </c>
      <c r="G614">
        <v>774.62</v>
      </c>
      <c r="H614">
        <v>754</v>
      </c>
      <c r="I614">
        <v>20.62</v>
      </c>
      <c r="J614" t="s">
        <v>31</v>
      </c>
      <c r="K614" t="s">
        <v>64</v>
      </c>
      <c r="L614" t="s">
        <v>1</v>
      </c>
      <c r="M614">
        <v>16453872</v>
      </c>
    </row>
    <row r="615" spans="1:14" x14ac:dyDescent="0.25">
      <c r="A615" t="s">
        <v>789</v>
      </c>
      <c r="B615" t="str">
        <f>"0902728905604907"</f>
        <v>0902728905604907</v>
      </c>
      <c r="C615">
        <v>905604907</v>
      </c>
      <c r="D615" t="s">
        <v>12</v>
      </c>
      <c r="E615" s="1">
        <v>42186</v>
      </c>
      <c r="F615" s="1">
        <v>42216</v>
      </c>
      <c r="G615">
        <v>267.61</v>
      </c>
      <c r="H615">
        <v>227</v>
      </c>
      <c r="I615">
        <v>29.35</v>
      </c>
      <c r="J615" t="s">
        <v>15</v>
      </c>
      <c r="K615" t="s">
        <v>64</v>
      </c>
      <c r="L615" t="s">
        <v>1</v>
      </c>
      <c r="M615">
        <v>16453872</v>
      </c>
    </row>
    <row r="616" spans="1:14" x14ac:dyDescent="0.25">
      <c r="A616" t="s">
        <v>790</v>
      </c>
      <c r="B616" t="str">
        <f>"0902728916722161"</f>
        <v>0902728916722161</v>
      </c>
      <c r="C616">
        <v>916722161</v>
      </c>
      <c r="D616" t="s">
        <v>12</v>
      </c>
      <c r="E616" s="1">
        <v>42186</v>
      </c>
      <c r="G616">
        <v>791.39</v>
      </c>
      <c r="H616">
        <v>790.99</v>
      </c>
      <c r="I616" t="str">
        <f>"0.40"</f>
        <v>0.40</v>
      </c>
      <c r="J616" t="s">
        <v>52</v>
      </c>
      <c r="K616" t="s">
        <v>64</v>
      </c>
      <c r="L616" t="s">
        <v>1</v>
      </c>
      <c r="M616">
        <v>16453872</v>
      </c>
    </row>
    <row r="617" spans="1:14" x14ac:dyDescent="0.25">
      <c r="A617" t="s">
        <v>791</v>
      </c>
      <c r="B617" t="str">
        <f>"0902728911568917"</f>
        <v>0902728911568917</v>
      </c>
      <c r="C617">
        <v>911568917</v>
      </c>
      <c r="D617" t="s">
        <v>12</v>
      </c>
      <c r="E617" s="1">
        <v>42186</v>
      </c>
      <c r="G617">
        <v>500.23</v>
      </c>
      <c r="H617" t="str">
        <f>"0.00"</f>
        <v>0.00</v>
      </c>
      <c r="I617">
        <v>657.7</v>
      </c>
      <c r="J617" t="s">
        <v>18</v>
      </c>
      <c r="K617" t="s">
        <v>64</v>
      </c>
      <c r="L617" t="s">
        <v>1</v>
      </c>
      <c r="M617">
        <v>16453872</v>
      </c>
      <c r="N617" t="s">
        <v>792</v>
      </c>
    </row>
    <row r="618" spans="1:14" x14ac:dyDescent="0.25">
      <c r="A618" t="s">
        <v>793</v>
      </c>
      <c r="B618" t="str">
        <f>"0902732978688703"</f>
        <v>0902732978688703</v>
      </c>
      <c r="C618">
        <v>978688703</v>
      </c>
      <c r="D618" t="s">
        <v>2</v>
      </c>
      <c r="E618" s="1">
        <v>42156</v>
      </c>
      <c r="F618" s="1">
        <v>42247</v>
      </c>
      <c r="G618">
        <v>607.23</v>
      </c>
      <c r="H618">
        <v>361</v>
      </c>
      <c r="I618">
        <v>357.11</v>
      </c>
      <c r="J618" t="s">
        <v>14</v>
      </c>
      <c r="K618" t="s">
        <v>64</v>
      </c>
      <c r="L618" t="s">
        <v>1</v>
      </c>
      <c r="M618">
        <v>16453872</v>
      </c>
    </row>
    <row r="619" spans="1:14" x14ac:dyDescent="0.25">
      <c r="A619" t="s">
        <v>794</v>
      </c>
      <c r="B619" t="str">
        <f>"0902732949592487"</f>
        <v>0902732949592487</v>
      </c>
      <c r="C619">
        <v>949592487</v>
      </c>
      <c r="D619" t="s">
        <v>2</v>
      </c>
      <c r="E619" s="1">
        <v>42156</v>
      </c>
      <c r="G619">
        <v>409.91</v>
      </c>
      <c r="H619" t="str">
        <f>"0.00"</f>
        <v>0.00</v>
      </c>
      <c r="I619">
        <v>409.91</v>
      </c>
      <c r="J619" t="s">
        <v>35</v>
      </c>
      <c r="K619" t="s">
        <v>64</v>
      </c>
      <c r="L619" t="s">
        <v>1</v>
      </c>
      <c r="M619">
        <v>16453872</v>
      </c>
    </row>
    <row r="620" spans="1:14" x14ac:dyDescent="0.25">
      <c r="A620" t="s">
        <v>795</v>
      </c>
      <c r="B620" t="str">
        <f>"0902728930683548"</f>
        <v>0902728930683548</v>
      </c>
      <c r="C620">
        <v>930683548</v>
      </c>
      <c r="D620" t="s">
        <v>12</v>
      </c>
      <c r="E620" s="1">
        <v>42156</v>
      </c>
      <c r="F620" s="1">
        <v>42277</v>
      </c>
      <c r="G620">
        <v>487.71</v>
      </c>
      <c r="H620" t="str">
        <f>"0.00"</f>
        <v>0.00</v>
      </c>
      <c r="I620">
        <v>612.19000000000005</v>
      </c>
      <c r="J620" t="s">
        <v>31</v>
      </c>
      <c r="K620" t="s">
        <v>64</v>
      </c>
      <c r="L620" t="s">
        <v>1</v>
      </c>
      <c r="M620">
        <v>16453872</v>
      </c>
    </row>
    <row r="621" spans="1:14" x14ac:dyDescent="0.25">
      <c r="A621" t="s">
        <v>796</v>
      </c>
      <c r="B621" t="str">
        <f>"0902732911846280"</f>
        <v>0902732911846280</v>
      </c>
      <c r="C621">
        <v>911846280</v>
      </c>
      <c r="D621" t="s">
        <v>2</v>
      </c>
      <c r="E621" s="1">
        <v>42156</v>
      </c>
      <c r="F621" s="1">
        <v>42185</v>
      </c>
      <c r="G621">
        <v>921.92</v>
      </c>
      <c r="H621">
        <v>460</v>
      </c>
      <c r="I621">
        <v>1039.46</v>
      </c>
      <c r="J621" t="s">
        <v>14</v>
      </c>
      <c r="K621" t="s">
        <v>64</v>
      </c>
      <c r="L621" t="s">
        <v>1</v>
      </c>
      <c r="M621">
        <v>16453872</v>
      </c>
      <c r="N621" t="s">
        <v>797</v>
      </c>
    </row>
    <row r="622" spans="1:14" x14ac:dyDescent="0.25">
      <c r="A622" t="s">
        <v>798</v>
      </c>
      <c r="B622" t="str">
        <f>"0902730941567556"</f>
        <v>0902730941567556</v>
      </c>
      <c r="C622">
        <v>941567556</v>
      </c>
      <c r="D622" t="s">
        <v>38</v>
      </c>
      <c r="E622" s="1">
        <v>42156</v>
      </c>
      <c r="G622">
        <v>466.18</v>
      </c>
      <c r="H622" t="str">
        <f>"0.00"</f>
        <v>0.00</v>
      </c>
      <c r="I622">
        <v>508.74</v>
      </c>
      <c r="J622" t="s">
        <v>19</v>
      </c>
      <c r="K622" t="s">
        <v>64</v>
      </c>
      <c r="L622" t="s">
        <v>1</v>
      </c>
      <c r="M622">
        <v>16453872</v>
      </c>
    </row>
    <row r="623" spans="1:14" x14ac:dyDescent="0.25">
      <c r="A623" t="s">
        <v>799</v>
      </c>
      <c r="B623" t="str">
        <f>"0902726960823004"</f>
        <v>0902726960823004</v>
      </c>
      <c r="C623">
        <v>960823004</v>
      </c>
      <c r="D623" t="s">
        <v>16</v>
      </c>
      <c r="E623" s="1">
        <v>42156</v>
      </c>
      <c r="F623" s="1">
        <v>42247</v>
      </c>
      <c r="G623">
        <v>472.01</v>
      </c>
      <c r="H623" t="str">
        <f>"0.00"</f>
        <v>0.00</v>
      </c>
      <c r="I623">
        <v>472.01</v>
      </c>
      <c r="J623" t="s">
        <v>59</v>
      </c>
      <c r="K623" t="s">
        <v>64</v>
      </c>
      <c r="L623" t="s">
        <v>1</v>
      </c>
      <c r="M623">
        <v>16453872</v>
      </c>
      <c r="N623" t="s">
        <v>800</v>
      </c>
    </row>
    <row r="624" spans="1:14" x14ac:dyDescent="0.25">
      <c r="A624" t="s">
        <v>801</v>
      </c>
      <c r="B624" t="str">
        <f>"0902722970238275"</f>
        <v>0902722970238275</v>
      </c>
      <c r="C624">
        <v>970238275</v>
      </c>
      <c r="D624" t="s">
        <v>27</v>
      </c>
      <c r="E624" s="1">
        <v>42156</v>
      </c>
      <c r="F624" s="1">
        <v>42277</v>
      </c>
      <c r="G624">
        <v>635.51</v>
      </c>
      <c r="H624">
        <v>472</v>
      </c>
      <c r="I624" t="str">
        <f>"0.01"</f>
        <v>0.01</v>
      </c>
      <c r="J624" t="s">
        <v>802</v>
      </c>
      <c r="K624" t="s">
        <v>64</v>
      </c>
      <c r="L624" t="s">
        <v>1</v>
      </c>
      <c r="M624">
        <v>16453872</v>
      </c>
      <c r="N624" t="s">
        <v>803</v>
      </c>
    </row>
    <row r="625" spans="1:14" x14ac:dyDescent="0.25">
      <c r="A625" t="s">
        <v>804</v>
      </c>
      <c r="B625" t="str">
        <f>"0902720914028237"</f>
        <v>0902720914028237</v>
      </c>
      <c r="C625">
        <v>914028237</v>
      </c>
      <c r="D625" t="s">
        <v>3</v>
      </c>
      <c r="E625" s="1">
        <v>42156</v>
      </c>
      <c r="F625" s="1">
        <v>42277</v>
      </c>
      <c r="G625">
        <v>652.63</v>
      </c>
      <c r="H625" t="str">
        <f>"0.00"</f>
        <v>0.00</v>
      </c>
      <c r="I625">
        <v>750.84</v>
      </c>
      <c r="J625" t="s">
        <v>31</v>
      </c>
      <c r="K625" t="s">
        <v>64</v>
      </c>
      <c r="L625" t="s">
        <v>1</v>
      </c>
      <c r="M625">
        <v>16453872</v>
      </c>
    </row>
    <row r="626" spans="1:14" x14ac:dyDescent="0.25">
      <c r="A626" t="s">
        <v>805</v>
      </c>
      <c r="B626" t="str">
        <f>"0902719967969473"</f>
        <v>0902719967969473</v>
      </c>
      <c r="C626">
        <v>967969473</v>
      </c>
      <c r="D626" t="s">
        <v>7</v>
      </c>
      <c r="E626" s="1">
        <v>42156</v>
      </c>
      <c r="F626" s="1">
        <v>42185</v>
      </c>
      <c r="G626">
        <v>781.39</v>
      </c>
      <c r="H626">
        <v>466</v>
      </c>
      <c r="I626">
        <v>315.39</v>
      </c>
      <c r="J626" t="s">
        <v>0</v>
      </c>
      <c r="K626" t="s">
        <v>64</v>
      </c>
      <c r="L626" t="s">
        <v>1</v>
      </c>
      <c r="M626">
        <v>16453872</v>
      </c>
    </row>
    <row r="627" spans="1:14" x14ac:dyDescent="0.25">
      <c r="A627" t="s">
        <v>806</v>
      </c>
      <c r="B627" t="str">
        <f>"0902719975457178"</f>
        <v>0902719975457178</v>
      </c>
      <c r="C627">
        <v>975457178</v>
      </c>
      <c r="D627" t="s">
        <v>7</v>
      </c>
      <c r="E627" s="1">
        <v>42156</v>
      </c>
      <c r="F627" s="1">
        <v>42185</v>
      </c>
      <c r="G627">
        <v>267.56</v>
      </c>
      <c r="H627" t="str">
        <f>"0.00"</f>
        <v>0.00</v>
      </c>
      <c r="I627">
        <v>321.29000000000002</v>
      </c>
      <c r="J627" t="s">
        <v>0</v>
      </c>
      <c r="K627" t="s">
        <v>64</v>
      </c>
      <c r="L627" t="s">
        <v>1</v>
      </c>
      <c r="M627">
        <v>16453872</v>
      </c>
      <c r="N627" t="s">
        <v>807</v>
      </c>
    </row>
    <row r="628" spans="1:14" x14ac:dyDescent="0.25">
      <c r="A628" t="s">
        <v>808</v>
      </c>
      <c r="B628" t="str">
        <f>"0902719965767453"</f>
        <v>0902719965767453</v>
      </c>
      <c r="C628">
        <v>965767453</v>
      </c>
      <c r="D628" t="s">
        <v>7</v>
      </c>
      <c r="E628" s="1">
        <v>42156</v>
      </c>
      <c r="F628" s="1">
        <v>42185</v>
      </c>
      <c r="G628">
        <v>676.91</v>
      </c>
      <c r="H628">
        <v>604</v>
      </c>
      <c r="I628">
        <v>72.91</v>
      </c>
      <c r="J628" t="s">
        <v>30</v>
      </c>
      <c r="K628" t="s">
        <v>64</v>
      </c>
      <c r="L628" t="s">
        <v>1</v>
      </c>
      <c r="M628">
        <v>16453872</v>
      </c>
      <c r="N628" t="s">
        <v>809</v>
      </c>
    </row>
    <row r="629" spans="1:14" x14ac:dyDescent="0.25">
      <c r="A629" t="s">
        <v>810</v>
      </c>
      <c r="B629" t="str">
        <f>"0902719939916047"</f>
        <v>0902719939916047</v>
      </c>
      <c r="C629">
        <v>939916047</v>
      </c>
      <c r="D629" t="s">
        <v>7</v>
      </c>
      <c r="E629" s="1">
        <v>42156</v>
      </c>
      <c r="F629" s="1">
        <v>42216</v>
      </c>
      <c r="G629">
        <v>423.11</v>
      </c>
      <c r="H629" t="str">
        <f>"0.00"</f>
        <v>0.00</v>
      </c>
      <c r="I629">
        <v>470.36</v>
      </c>
      <c r="J629" t="s">
        <v>30</v>
      </c>
      <c r="K629" t="s">
        <v>64</v>
      </c>
      <c r="L629" t="s">
        <v>1</v>
      </c>
      <c r="M629">
        <v>16453872</v>
      </c>
    </row>
    <row r="630" spans="1:14" x14ac:dyDescent="0.25">
      <c r="A630" t="s">
        <v>811</v>
      </c>
      <c r="B630" t="str">
        <f>"0902682948439847"</f>
        <v>0902682948439847</v>
      </c>
      <c r="C630">
        <v>948439847</v>
      </c>
      <c r="D630" t="s">
        <v>9</v>
      </c>
      <c r="E630" s="1">
        <v>42156</v>
      </c>
      <c r="G630">
        <v>684.42</v>
      </c>
      <c r="H630" t="str">
        <f>"0.00"</f>
        <v>0.00</v>
      </c>
      <c r="I630">
        <v>684.42</v>
      </c>
      <c r="J630" t="s">
        <v>0</v>
      </c>
      <c r="K630" t="s">
        <v>64</v>
      </c>
      <c r="L630" t="s">
        <v>1</v>
      </c>
      <c r="M630">
        <v>16453872</v>
      </c>
    </row>
    <row r="631" spans="1:14" x14ac:dyDescent="0.25">
      <c r="A631" t="s">
        <v>812</v>
      </c>
      <c r="B631" t="str">
        <f>"0902682916423422"</f>
        <v>0902682916423422</v>
      </c>
      <c r="C631">
        <v>916423422</v>
      </c>
      <c r="D631" t="s">
        <v>9</v>
      </c>
      <c r="E631" s="1">
        <v>42156</v>
      </c>
      <c r="F631" s="1">
        <v>42247</v>
      </c>
      <c r="G631">
        <v>399.99</v>
      </c>
      <c r="H631" t="str">
        <f>"0.00"</f>
        <v>0.00</v>
      </c>
      <c r="I631">
        <v>465.21</v>
      </c>
      <c r="J631" t="s">
        <v>48</v>
      </c>
      <c r="K631" t="s">
        <v>64</v>
      </c>
      <c r="L631" t="s">
        <v>1</v>
      </c>
      <c r="M631">
        <v>16453872</v>
      </c>
    </row>
    <row r="632" spans="1:14" x14ac:dyDescent="0.25">
      <c r="A632" t="s">
        <v>813</v>
      </c>
      <c r="B632" t="str">
        <f>"0902682901671353"</f>
        <v>0902682901671353</v>
      </c>
      <c r="C632">
        <v>901671353</v>
      </c>
      <c r="D632" t="s">
        <v>9</v>
      </c>
      <c r="E632" s="1">
        <v>42156</v>
      </c>
      <c r="F632" s="1">
        <v>42216</v>
      </c>
      <c r="G632">
        <v>299.49</v>
      </c>
      <c r="H632">
        <v>291</v>
      </c>
      <c r="I632">
        <v>39.950000000000003</v>
      </c>
      <c r="J632" t="s">
        <v>30</v>
      </c>
      <c r="K632" t="s">
        <v>64</v>
      </c>
      <c r="L632" t="s">
        <v>1</v>
      </c>
      <c r="M632">
        <v>16453872</v>
      </c>
      <c r="N632" t="s">
        <v>814</v>
      </c>
    </row>
    <row r="633" spans="1:14" x14ac:dyDescent="0.25">
      <c r="A633" t="s">
        <v>815</v>
      </c>
      <c r="B633" t="str">
        <f>"0902682969246118"</f>
        <v>0902682969246118</v>
      </c>
      <c r="C633">
        <v>969246118</v>
      </c>
      <c r="D633" t="s">
        <v>9</v>
      </c>
      <c r="E633" s="1">
        <v>42156</v>
      </c>
      <c r="F633" s="1">
        <v>42216</v>
      </c>
      <c r="G633">
        <v>297.02</v>
      </c>
      <c r="H633">
        <v>295.68</v>
      </c>
      <c r="I633">
        <v>33.42</v>
      </c>
      <c r="J633" t="s">
        <v>4</v>
      </c>
      <c r="K633" t="s">
        <v>64</v>
      </c>
      <c r="L633" t="s">
        <v>1</v>
      </c>
      <c r="M633">
        <v>16453872</v>
      </c>
    </row>
    <row r="634" spans="1:14" x14ac:dyDescent="0.25">
      <c r="A634" t="s">
        <v>816</v>
      </c>
      <c r="B634" t="str">
        <f>"0902682971055183"</f>
        <v>0902682971055183</v>
      </c>
      <c r="C634">
        <v>971055183</v>
      </c>
      <c r="D634" t="s">
        <v>9</v>
      </c>
      <c r="E634" s="1">
        <v>42156</v>
      </c>
      <c r="F634" s="1">
        <v>42216</v>
      </c>
      <c r="G634">
        <v>1738.28</v>
      </c>
      <c r="H634">
        <v>1081</v>
      </c>
      <c r="I634">
        <v>657.28</v>
      </c>
      <c r="J634" t="s">
        <v>57</v>
      </c>
      <c r="K634" t="s">
        <v>64</v>
      </c>
      <c r="L634" t="s">
        <v>1</v>
      </c>
      <c r="M634">
        <v>16453872</v>
      </c>
    </row>
    <row r="635" spans="1:14" x14ac:dyDescent="0.25">
      <c r="A635" t="s">
        <v>817</v>
      </c>
      <c r="B635" t="str">
        <f>"0902682956841659"</f>
        <v>0902682956841659</v>
      </c>
      <c r="C635">
        <v>956841659</v>
      </c>
      <c r="D635" t="s">
        <v>9</v>
      </c>
      <c r="E635" s="1">
        <v>42156</v>
      </c>
      <c r="F635" s="1">
        <v>42185</v>
      </c>
      <c r="G635">
        <v>763.38</v>
      </c>
      <c r="H635" t="str">
        <f>"0.00"</f>
        <v>0.00</v>
      </c>
      <c r="I635">
        <v>823.45</v>
      </c>
      <c r="J635" t="s">
        <v>6</v>
      </c>
      <c r="K635" t="s">
        <v>64</v>
      </c>
      <c r="L635" t="s">
        <v>1</v>
      </c>
      <c r="M635">
        <v>16453872</v>
      </c>
    </row>
    <row r="636" spans="1:14" x14ac:dyDescent="0.25">
      <c r="A636" t="s">
        <v>818</v>
      </c>
      <c r="B636" t="str">
        <f>"0902682957851780"</f>
        <v>0902682957851780</v>
      </c>
      <c r="C636">
        <v>957851780</v>
      </c>
      <c r="D636" t="s">
        <v>9</v>
      </c>
      <c r="E636" s="1">
        <v>42156</v>
      </c>
      <c r="F636" s="1">
        <v>42216</v>
      </c>
      <c r="G636">
        <v>512.14</v>
      </c>
      <c r="H636">
        <v>485</v>
      </c>
      <c r="I636">
        <v>75.47</v>
      </c>
      <c r="J636" t="s">
        <v>0</v>
      </c>
      <c r="K636" t="s">
        <v>64</v>
      </c>
      <c r="L636" t="s">
        <v>1</v>
      </c>
      <c r="M636">
        <v>16453872</v>
      </c>
    </row>
    <row r="637" spans="1:14" x14ac:dyDescent="0.25">
      <c r="A637" t="s">
        <v>819</v>
      </c>
      <c r="B637" t="str">
        <f>"0902683909727103"</f>
        <v>0902683909727103</v>
      </c>
      <c r="C637">
        <v>909727103</v>
      </c>
      <c r="D637" t="s">
        <v>5</v>
      </c>
      <c r="E637" s="1">
        <v>42156</v>
      </c>
      <c r="G637">
        <v>358.84</v>
      </c>
      <c r="H637" t="str">
        <f>"0.00"</f>
        <v>0.00</v>
      </c>
      <c r="I637">
        <v>358.84</v>
      </c>
      <c r="J637" t="s">
        <v>820</v>
      </c>
      <c r="K637" t="s">
        <v>64</v>
      </c>
      <c r="L637" t="s">
        <v>1</v>
      </c>
      <c r="M637">
        <v>16453872</v>
      </c>
    </row>
    <row r="638" spans="1:14" x14ac:dyDescent="0.25">
      <c r="A638" t="s">
        <v>821</v>
      </c>
      <c r="B638" t="str">
        <f>"0902683903997335"</f>
        <v>0902683903997335</v>
      </c>
      <c r="C638">
        <v>903997335</v>
      </c>
      <c r="D638" t="s">
        <v>5</v>
      </c>
      <c r="E638" s="1">
        <v>42156</v>
      </c>
      <c r="F638" s="1">
        <v>42277</v>
      </c>
      <c r="G638">
        <v>299.7</v>
      </c>
      <c r="H638">
        <v>134</v>
      </c>
      <c r="I638">
        <v>141.53</v>
      </c>
      <c r="J638" t="s">
        <v>10</v>
      </c>
      <c r="K638" t="s">
        <v>64</v>
      </c>
      <c r="L638" t="s">
        <v>1</v>
      </c>
      <c r="M638">
        <v>16453872</v>
      </c>
    </row>
    <row r="639" spans="1:14" x14ac:dyDescent="0.25">
      <c r="A639" t="s">
        <v>822</v>
      </c>
      <c r="B639" t="str">
        <f>"0902719919350679"</f>
        <v>0902719919350679</v>
      </c>
      <c r="C639">
        <v>919350679</v>
      </c>
      <c r="D639" t="s">
        <v>7</v>
      </c>
      <c r="E639" s="1">
        <v>42005</v>
      </c>
      <c r="F639" s="1">
        <v>42035</v>
      </c>
      <c r="G639">
        <v>522.03</v>
      </c>
      <c r="H639">
        <v>477</v>
      </c>
      <c r="I639">
        <v>45.03</v>
      </c>
      <c r="J639" t="s">
        <v>30</v>
      </c>
      <c r="K639" t="s">
        <v>64</v>
      </c>
      <c r="L639" t="s">
        <v>1</v>
      </c>
      <c r="M639">
        <v>16453872</v>
      </c>
    </row>
    <row r="640" spans="1:14" x14ac:dyDescent="0.25">
      <c r="A640" t="s">
        <v>823</v>
      </c>
      <c r="B640" t="str">
        <f>"0902720977126872"</f>
        <v>0902720977126872</v>
      </c>
      <c r="C640">
        <v>977126872</v>
      </c>
      <c r="D640" t="s">
        <v>3</v>
      </c>
      <c r="E640" s="1">
        <v>42005</v>
      </c>
      <c r="F640" s="1">
        <v>42094</v>
      </c>
      <c r="G640">
        <v>328.43</v>
      </c>
      <c r="H640">
        <v>297</v>
      </c>
      <c r="I640" t="str">
        <f>"0.01"</f>
        <v>0.01</v>
      </c>
      <c r="J640" t="s">
        <v>8</v>
      </c>
      <c r="K640" t="s">
        <v>64</v>
      </c>
      <c r="L640" t="s">
        <v>1</v>
      </c>
      <c r="M640">
        <v>16453872</v>
      </c>
      <c r="N640" t="s">
        <v>824</v>
      </c>
    </row>
    <row r="641" spans="1:14" x14ac:dyDescent="0.25">
      <c r="A641" t="s">
        <v>825</v>
      </c>
      <c r="B641" t="str">
        <f>"0902725944090182"</f>
        <v>0902725944090182</v>
      </c>
      <c r="C641">
        <v>944090182</v>
      </c>
      <c r="D641" t="s">
        <v>110</v>
      </c>
      <c r="E641" s="1">
        <v>42005</v>
      </c>
      <c r="F641" s="1">
        <v>42124</v>
      </c>
      <c r="G641">
        <v>494.03</v>
      </c>
      <c r="H641">
        <v>444</v>
      </c>
      <c r="I641">
        <v>50.03</v>
      </c>
      <c r="J641" t="s">
        <v>6</v>
      </c>
      <c r="K641" t="s">
        <v>64</v>
      </c>
      <c r="L641" t="s">
        <v>1</v>
      </c>
      <c r="M641">
        <v>16453872</v>
      </c>
      <c r="N641" t="s">
        <v>826</v>
      </c>
    </row>
    <row r="642" spans="1:14" x14ac:dyDescent="0.25">
      <c r="A642" t="s">
        <v>827</v>
      </c>
      <c r="B642" t="str">
        <f>"0902724969408394"</f>
        <v>0902724969408394</v>
      </c>
      <c r="C642">
        <v>969408394</v>
      </c>
      <c r="D642" t="s">
        <v>28</v>
      </c>
      <c r="E642" s="1">
        <v>42005</v>
      </c>
      <c r="F642" s="1">
        <v>42035</v>
      </c>
      <c r="G642">
        <v>244.37</v>
      </c>
      <c r="H642" t="str">
        <f>"0.00"</f>
        <v>0.00</v>
      </c>
      <c r="I642">
        <v>244.37</v>
      </c>
      <c r="J642" t="s">
        <v>55</v>
      </c>
      <c r="K642" t="s">
        <v>64</v>
      </c>
      <c r="L642" t="s">
        <v>1</v>
      </c>
      <c r="M642">
        <v>16453872</v>
      </c>
      <c r="N642" t="s">
        <v>828</v>
      </c>
    </row>
    <row r="643" spans="1:14" x14ac:dyDescent="0.25">
      <c r="A643" t="s">
        <v>829</v>
      </c>
      <c r="B643" t="str">
        <f>"0902683923685689"</f>
        <v>0902683923685689</v>
      </c>
      <c r="C643">
        <v>923685689</v>
      </c>
      <c r="D643" t="s">
        <v>5</v>
      </c>
      <c r="E643" s="1">
        <v>42005</v>
      </c>
      <c r="G643">
        <v>407.51</v>
      </c>
      <c r="H643">
        <v>93</v>
      </c>
      <c r="I643">
        <v>314.51</v>
      </c>
      <c r="J643" t="s">
        <v>52</v>
      </c>
      <c r="K643" t="s">
        <v>64</v>
      </c>
      <c r="L643" t="s">
        <v>1</v>
      </c>
      <c r="M643">
        <v>16453872</v>
      </c>
    </row>
    <row r="644" spans="1:14" x14ac:dyDescent="0.25">
      <c r="A644" t="s">
        <v>830</v>
      </c>
      <c r="B644" t="str">
        <f>"0902683907624008"</f>
        <v>0902683907624008</v>
      </c>
      <c r="C644">
        <v>907624008</v>
      </c>
      <c r="D644" t="s">
        <v>5</v>
      </c>
      <c r="E644" s="1">
        <v>42005</v>
      </c>
      <c r="F644" s="1">
        <v>42063</v>
      </c>
      <c r="G644">
        <v>532.78</v>
      </c>
      <c r="H644" t="str">
        <f>"0.00"</f>
        <v>0.00</v>
      </c>
      <c r="I644">
        <v>567.29999999999995</v>
      </c>
      <c r="J644" t="s">
        <v>30</v>
      </c>
      <c r="K644" t="s">
        <v>64</v>
      </c>
      <c r="L644" t="s">
        <v>1</v>
      </c>
      <c r="M644">
        <v>16453872</v>
      </c>
    </row>
    <row r="645" spans="1:14" x14ac:dyDescent="0.25">
      <c r="A645" t="s">
        <v>831</v>
      </c>
      <c r="B645" t="str">
        <f>"0902726917896856"</f>
        <v>0902726917896856</v>
      </c>
      <c r="C645">
        <v>917896856</v>
      </c>
      <c r="D645" t="s">
        <v>16</v>
      </c>
      <c r="E645" s="1">
        <v>1</v>
      </c>
      <c r="G645">
        <v>597.61</v>
      </c>
      <c r="H645">
        <v>502</v>
      </c>
      <c r="I645">
        <v>591.28</v>
      </c>
      <c r="K645" t="s">
        <v>64</v>
      </c>
      <c r="L645" t="s">
        <v>1</v>
      </c>
      <c r="M645">
        <v>16453872</v>
      </c>
    </row>
    <row r="646" spans="1:14" x14ac:dyDescent="0.25">
      <c r="A646" t="s">
        <v>832</v>
      </c>
      <c r="B646" t="str">
        <f>"0902720925063906"</f>
        <v>0902720925063906</v>
      </c>
      <c r="C646">
        <v>925063906</v>
      </c>
      <c r="D646" t="s">
        <v>3</v>
      </c>
      <c r="E646" s="1">
        <v>1</v>
      </c>
      <c r="G646">
        <v>709.82</v>
      </c>
      <c r="H646" t="str">
        <f>"0.00"</f>
        <v>0.00</v>
      </c>
      <c r="I646">
        <v>802.53</v>
      </c>
      <c r="K646" t="s">
        <v>64</v>
      </c>
      <c r="L646" t="s">
        <v>1</v>
      </c>
      <c r="M646">
        <v>16453872</v>
      </c>
    </row>
    <row r="647" spans="1:14" x14ac:dyDescent="0.25">
      <c r="A647" t="s">
        <v>833</v>
      </c>
      <c r="B647" t="str">
        <f>"0902732948956381"</f>
        <v>0902732948956381</v>
      </c>
      <c r="C647">
        <v>948956381</v>
      </c>
      <c r="D647" t="s">
        <v>2</v>
      </c>
      <c r="E647" s="1">
        <v>1</v>
      </c>
      <c r="G647">
        <v>310.62</v>
      </c>
      <c r="H647">
        <v>207</v>
      </c>
      <c r="I647">
        <v>48.86</v>
      </c>
      <c r="K647" t="s">
        <v>64</v>
      </c>
      <c r="L647" t="s">
        <v>1</v>
      </c>
      <c r="M647">
        <v>16453872</v>
      </c>
    </row>
    <row r="648" spans="1:14" x14ac:dyDescent="0.25">
      <c r="A648" t="s">
        <v>848</v>
      </c>
      <c r="B648" t="str">
        <f>"0904957928008017"</f>
        <v>0904957928008017</v>
      </c>
      <c r="C648">
        <v>928008017</v>
      </c>
      <c r="D648" t="s">
        <v>317</v>
      </c>
      <c r="E648" s="1">
        <v>42370</v>
      </c>
      <c r="G648">
        <v>275.26</v>
      </c>
      <c r="H648">
        <v>264</v>
      </c>
      <c r="I648">
        <v>11.26</v>
      </c>
      <c r="J648" t="s">
        <v>333</v>
      </c>
      <c r="K648" t="s">
        <v>64</v>
      </c>
      <c r="L648" t="s">
        <v>849</v>
      </c>
      <c r="M648">
        <v>11411362</v>
      </c>
    </row>
    <row r="649" spans="1:14" x14ac:dyDescent="0.25">
      <c r="A649" t="s">
        <v>850</v>
      </c>
      <c r="B649" t="str">
        <f>"0902734904978405"</f>
        <v>0902734904978405</v>
      </c>
      <c r="C649">
        <v>904978405</v>
      </c>
      <c r="D649" t="s">
        <v>851</v>
      </c>
      <c r="E649" s="1">
        <v>42370</v>
      </c>
      <c r="G649">
        <v>329.98</v>
      </c>
      <c r="H649">
        <v>232</v>
      </c>
      <c r="I649">
        <v>97.98</v>
      </c>
      <c r="J649" t="s">
        <v>49</v>
      </c>
      <c r="K649" t="s">
        <v>64</v>
      </c>
      <c r="L649" t="s">
        <v>849</v>
      </c>
      <c r="M649">
        <v>11411362</v>
      </c>
    </row>
    <row r="650" spans="1:14" x14ac:dyDescent="0.25">
      <c r="A650" t="s">
        <v>852</v>
      </c>
      <c r="B650" t="str">
        <f>"0902734947124378"</f>
        <v>0902734947124378</v>
      </c>
      <c r="C650">
        <v>947124378</v>
      </c>
      <c r="D650" t="s">
        <v>851</v>
      </c>
      <c r="E650" s="1">
        <v>42370</v>
      </c>
      <c r="G650">
        <v>160.53</v>
      </c>
      <c r="H650">
        <v>78</v>
      </c>
      <c r="I650">
        <v>82.53</v>
      </c>
      <c r="J650" t="s">
        <v>21</v>
      </c>
      <c r="K650" t="s">
        <v>64</v>
      </c>
      <c r="L650" t="s">
        <v>849</v>
      </c>
      <c r="M650">
        <v>11411362</v>
      </c>
    </row>
    <row r="651" spans="1:14" x14ac:dyDescent="0.25">
      <c r="A651" t="s">
        <v>853</v>
      </c>
      <c r="B651" t="str">
        <f>"0904957905512791"</f>
        <v>0904957905512791</v>
      </c>
      <c r="C651">
        <v>905512791</v>
      </c>
      <c r="D651" t="s">
        <v>317</v>
      </c>
      <c r="E651" s="1">
        <v>42370</v>
      </c>
      <c r="G651">
        <v>265.58999999999997</v>
      </c>
      <c r="H651">
        <v>241</v>
      </c>
      <c r="I651">
        <v>24.59</v>
      </c>
      <c r="J651" t="s">
        <v>333</v>
      </c>
      <c r="K651" t="s">
        <v>64</v>
      </c>
      <c r="L651" t="s">
        <v>849</v>
      </c>
      <c r="M651">
        <v>11411362</v>
      </c>
    </row>
    <row r="652" spans="1:14" x14ac:dyDescent="0.25">
      <c r="A652" t="s">
        <v>854</v>
      </c>
      <c r="B652" t="str">
        <f>"0904957909518728"</f>
        <v>0904957909518728</v>
      </c>
      <c r="C652">
        <v>909518728</v>
      </c>
      <c r="D652" t="s">
        <v>317</v>
      </c>
      <c r="E652" s="1">
        <v>42370</v>
      </c>
      <c r="G652">
        <v>337.9</v>
      </c>
      <c r="H652">
        <v>329</v>
      </c>
      <c r="I652">
        <v>8.9</v>
      </c>
      <c r="J652" t="s">
        <v>333</v>
      </c>
      <c r="K652" t="s">
        <v>64</v>
      </c>
      <c r="L652" t="s">
        <v>849</v>
      </c>
      <c r="M652">
        <v>11411362</v>
      </c>
    </row>
    <row r="653" spans="1:14" x14ac:dyDescent="0.25">
      <c r="A653" t="s">
        <v>855</v>
      </c>
      <c r="B653" t="str">
        <f>"0904955979591933"</f>
        <v>0904955979591933</v>
      </c>
      <c r="C653">
        <v>979591933</v>
      </c>
      <c r="D653" t="s">
        <v>356</v>
      </c>
      <c r="E653" s="1">
        <v>42370</v>
      </c>
      <c r="G653">
        <v>252.58</v>
      </c>
      <c r="H653">
        <v>225</v>
      </c>
      <c r="I653">
        <v>27.58</v>
      </c>
      <c r="J653" t="s">
        <v>528</v>
      </c>
      <c r="K653" t="s">
        <v>64</v>
      </c>
      <c r="L653" t="s">
        <v>849</v>
      </c>
      <c r="M653">
        <v>11411362</v>
      </c>
    </row>
    <row r="654" spans="1:14" x14ac:dyDescent="0.25">
      <c r="A654" t="s">
        <v>856</v>
      </c>
      <c r="B654" t="str">
        <f>"0904955932402043"</f>
        <v>0904955932402043</v>
      </c>
      <c r="C654">
        <v>932402043</v>
      </c>
      <c r="D654" t="s">
        <v>356</v>
      </c>
      <c r="E654" s="1">
        <v>42370</v>
      </c>
      <c r="G654">
        <v>282.85000000000002</v>
      </c>
      <c r="H654">
        <v>229</v>
      </c>
      <c r="I654">
        <v>53.85</v>
      </c>
      <c r="J654" t="s">
        <v>857</v>
      </c>
      <c r="K654" t="s">
        <v>64</v>
      </c>
      <c r="L654" t="s">
        <v>849</v>
      </c>
      <c r="M654">
        <v>11411362</v>
      </c>
    </row>
    <row r="655" spans="1:14" x14ac:dyDescent="0.25">
      <c r="A655" t="s">
        <v>858</v>
      </c>
      <c r="B655" t="str">
        <f>"0904955935511752"</f>
        <v>0904955935511752</v>
      </c>
      <c r="C655">
        <v>935511752</v>
      </c>
      <c r="D655" t="s">
        <v>356</v>
      </c>
      <c r="E655" s="1">
        <v>42370</v>
      </c>
      <c r="G655">
        <v>331.91</v>
      </c>
      <c r="H655">
        <v>260</v>
      </c>
      <c r="I655">
        <v>71.91</v>
      </c>
      <c r="J655" t="s">
        <v>857</v>
      </c>
      <c r="K655" t="s">
        <v>64</v>
      </c>
      <c r="L655" t="s">
        <v>849</v>
      </c>
      <c r="M655">
        <v>11411362</v>
      </c>
    </row>
    <row r="656" spans="1:14" x14ac:dyDescent="0.25">
      <c r="A656" t="s">
        <v>859</v>
      </c>
      <c r="B656" t="str">
        <f>"0902732977663487"</f>
        <v>0902732977663487</v>
      </c>
      <c r="C656">
        <v>977663487</v>
      </c>
      <c r="D656" t="s">
        <v>2</v>
      </c>
      <c r="E656" s="1">
        <v>42370</v>
      </c>
      <c r="G656">
        <v>630.89</v>
      </c>
      <c r="H656">
        <v>508</v>
      </c>
      <c r="I656">
        <v>122.89</v>
      </c>
      <c r="J656" t="s">
        <v>37</v>
      </c>
      <c r="K656" t="s">
        <v>64</v>
      </c>
      <c r="L656" t="s">
        <v>849</v>
      </c>
      <c r="M656">
        <v>11411362</v>
      </c>
    </row>
    <row r="657" spans="1:14" x14ac:dyDescent="0.25">
      <c r="A657" t="s">
        <v>860</v>
      </c>
      <c r="B657" t="str">
        <f>"0902732969424692"</f>
        <v>0902732969424692</v>
      </c>
      <c r="C657">
        <v>969424692</v>
      </c>
      <c r="D657" t="s">
        <v>2</v>
      </c>
      <c r="E657" s="1">
        <v>42370</v>
      </c>
      <c r="G657">
        <v>617.32000000000005</v>
      </c>
      <c r="H657">
        <v>297</v>
      </c>
      <c r="I657">
        <v>320.32</v>
      </c>
      <c r="J657" t="s">
        <v>33</v>
      </c>
      <c r="K657" t="s">
        <v>64</v>
      </c>
      <c r="L657" t="s">
        <v>849</v>
      </c>
      <c r="M657">
        <v>11411362</v>
      </c>
    </row>
    <row r="658" spans="1:14" x14ac:dyDescent="0.25">
      <c r="A658" t="s">
        <v>861</v>
      </c>
      <c r="B658" t="str">
        <f>"0902732941929855"</f>
        <v>0902732941929855</v>
      </c>
      <c r="C658">
        <v>941929855</v>
      </c>
      <c r="D658" t="s">
        <v>2</v>
      </c>
      <c r="E658" s="1">
        <v>42370</v>
      </c>
      <c r="G658">
        <v>464.83</v>
      </c>
      <c r="H658">
        <v>447</v>
      </c>
      <c r="I658">
        <v>17.829999999999998</v>
      </c>
      <c r="J658" t="s">
        <v>35</v>
      </c>
      <c r="K658" t="s">
        <v>64</v>
      </c>
      <c r="L658" t="s">
        <v>849</v>
      </c>
      <c r="M658">
        <v>11411362</v>
      </c>
    </row>
    <row r="659" spans="1:14" x14ac:dyDescent="0.25">
      <c r="A659" t="s">
        <v>862</v>
      </c>
      <c r="B659" t="str">
        <f>"0902732944415661"</f>
        <v>0902732944415661</v>
      </c>
      <c r="C659">
        <v>944415661</v>
      </c>
      <c r="D659" t="s">
        <v>2</v>
      </c>
      <c r="E659" s="1">
        <v>42370</v>
      </c>
      <c r="G659">
        <v>551.16999999999996</v>
      </c>
      <c r="H659">
        <v>518</v>
      </c>
      <c r="I659">
        <v>33.17</v>
      </c>
      <c r="J659" t="s">
        <v>35</v>
      </c>
      <c r="K659" t="s">
        <v>64</v>
      </c>
      <c r="L659" t="s">
        <v>849</v>
      </c>
      <c r="M659">
        <v>11411362</v>
      </c>
    </row>
    <row r="660" spans="1:14" x14ac:dyDescent="0.25">
      <c r="A660" t="s">
        <v>863</v>
      </c>
      <c r="B660" t="str">
        <f>"0902732919144212"</f>
        <v>0902732919144212</v>
      </c>
      <c r="C660">
        <v>919144212</v>
      </c>
      <c r="D660" t="s">
        <v>2</v>
      </c>
      <c r="E660" s="1">
        <v>42370</v>
      </c>
      <c r="G660">
        <v>664.8</v>
      </c>
      <c r="H660">
        <v>617</v>
      </c>
      <c r="I660">
        <v>47.8</v>
      </c>
      <c r="J660" t="s">
        <v>36</v>
      </c>
      <c r="K660" t="s">
        <v>64</v>
      </c>
      <c r="L660" t="s">
        <v>849</v>
      </c>
      <c r="M660">
        <v>11411362</v>
      </c>
    </row>
    <row r="661" spans="1:14" x14ac:dyDescent="0.25">
      <c r="A661" t="s">
        <v>864</v>
      </c>
      <c r="B661" t="str">
        <f>"0902732931668017"</f>
        <v>0902732931668017</v>
      </c>
      <c r="C661">
        <v>931668017</v>
      </c>
      <c r="D661" t="s">
        <v>2</v>
      </c>
      <c r="E661" s="1">
        <v>42370</v>
      </c>
      <c r="G661">
        <v>685.86</v>
      </c>
      <c r="H661">
        <v>677</v>
      </c>
      <c r="I661">
        <v>8.86</v>
      </c>
      <c r="J661" t="s">
        <v>40</v>
      </c>
      <c r="K661" t="s">
        <v>64</v>
      </c>
      <c r="L661" t="s">
        <v>849</v>
      </c>
      <c r="M661">
        <v>11411362</v>
      </c>
    </row>
    <row r="662" spans="1:14" x14ac:dyDescent="0.25">
      <c r="A662" t="s">
        <v>865</v>
      </c>
      <c r="B662" t="str">
        <f>"0902732910149238"</f>
        <v>0902732910149238</v>
      </c>
      <c r="C662">
        <v>910149238</v>
      </c>
      <c r="D662" t="s">
        <v>2</v>
      </c>
      <c r="E662" s="1">
        <v>42370</v>
      </c>
      <c r="G662">
        <v>212.28</v>
      </c>
      <c r="H662">
        <v>181</v>
      </c>
      <c r="I662">
        <v>31.28</v>
      </c>
      <c r="J662" t="s">
        <v>40</v>
      </c>
      <c r="K662" t="s">
        <v>64</v>
      </c>
      <c r="L662" t="s">
        <v>849</v>
      </c>
      <c r="M662">
        <v>11411362</v>
      </c>
    </row>
    <row r="663" spans="1:14" x14ac:dyDescent="0.25">
      <c r="A663" t="s">
        <v>866</v>
      </c>
      <c r="B663" t="str">
        <f>"0902732912789358"</f>
        <v>0902732912789358</v>
      </c>
      <c r="C663">
        <v>912789358</v>
      </c>
      <c r="D663" t="s">
        <v>2</v>
      </c>
      <c r="E663" s="1">
        <v>42370</v>
      </c>
      <c r="G663">
        <v>741.39</v>
      </c>
      <c r="H663">
        <v>612</v>
      </c>
      <c r="I663">
        <v>129.38999999999999</v>
      </c>
      <c r="J663" t="s">
        <v>33</v>
      </c>
      <c r="K663" t="s">
        <v>64</v>
      </c>
      <c r="L663" t="s">
        <v>849</v>
      </c>
      <c r="M663">
        <v>11411362</v>
      </c>
      <c r="N663" t="s">
        <v>867</v>
      </c>
    </row>
    <row r="664" spans="1:14" x14ac:dyDescent="0.25">
      <c r="A664" t="s">
        <v>868</v>
      </c>
      <c r="B664" t="str">
        <f>"0902730973355454"</f>
        <v>0902730973355454</v>
      </c>
      <c r="C664">
        <v>973355454</v>
      </c>
      <c r="D664" t="s">
        <v>38</v>
      </c>
      <c r="E664" s="1">
        <v>42370</v>
      </c>
      <c r="G664">
        <v>1074.77</v>
      </c>
      <c r="H664">
        <v>689</v>
      </c>
      <c r="I664">
        <v>385.77</v>
      </c>
      <c r="J664" t="s">
        <v>44</v>
      </c>
      <c r="K664" t="s">
        <v>64</v>
      </c>
      <c r="L664" t="s">
        <v>849</v>
      </c>
      <c r="M664">
        <v>11411362</v>
      </c>
    </row>
    <row r="665" spans="1:14" x14ac:dyDescent="0.25">
      <c r="A665" t="s">
        <v>869</v>
      </c>
      <c r="B665" t="str">
        <f>"0902728960575814"</f>
        <v>0902728960575814</v>
      </c>
      <c r="C665">
        <v>960575814</v>
      </c>
      <c r="D665" t="s">
        <v>12</v>
      </c>
      <c r="E665" s="1">
        <v>42370</v>
      </c>
      <c r="G665">
        <v>395.81</v>
      </c>
      <c r="H665">
        <v>277</v>
      </c>
      <c r="I665">
        <v>118.81</v>
      </c>
      <c r="J665" t="s">
        <v>13</v>
      </c>
      <c r="K665" t="s">
        <v>64</v>
      </c>
      <c r="L665" t="s">
        <v>849</v>
      </c>
      <c r="M665">
        <v>11411362</v>
      </c>
    </row>
    <row r="666" spans="1:14" x14ac:dyDescent="0.25">
      <c r="A666" t="s">
        <v>870</v>
      </c>
      <c r="B666" t="str">
        <f>"0904960936298740"</f>
        <v>0904960936298740</v>
      </c>
      <c r="C666">
        <v>936298740</v>
      </c>
      <c r="D666" t="s">
        <v>369</v>
      </c>
      <c r="E666" s="1">
        <v>42370</v>
      </c>
      <c r="G666">
        <v>450.27</v>
      </c>
      <c r="H666" t="str">
        <f>"0.00"</f>
        <v>0.00</v>
      </c>
      <c r="I666">
        <v>450.27</v>
      </c>
      <c r="J666" t="s">
        <v>17</v>
      </c>
      <c r="K666" t="s">
        <v>64</v>
      </c>
      <c r="L666" t="s">
        <v>849</v>
      </c>
      <c r="M666">
        <v>11411362</v>
      </c>
    </row>
    <row r="667" spans="1:14" x14ac:dyDescent="0.25">
      <c r="A667" t="s">
        <v>871</v>
      </c>
      <c r="B667" t="str">
        <f>"0904960953832171"</f>
        <v>0904960953832171</v>
      </c>
      <c r="C667">
        <v>953832171</v>
      </c>
      <c r="D667" t="s">
        <v>369</v>
      </c>
      <c r="E667" s="1">
        <v>42370</v>
      </c>
      <c r="G667">
        <v>264.43</v>
      </c>
      <c r="H667">
        <v>225</v>
      </c>
      <c r="I667">
        <v>39.43</v>
      </c>
      <c r="J667" t="s">
        <v>20</v>
      </c>
      <c r="K667" t="s">
        <v>64</v>
      </c>
      <c r="L667" t="s">
        <v>849</v>
      </c>
      <c r="M667">
        <v>11411362</v>
      </c>
      <c r="N667" t="s">
        <v>872</v>
      </c>
    </row>
    <row r="668" spans="1:14" x14ac:dyDescent="0.25">
      <c r="A668" t="s">
        <v>873</v>
      </c>
      <c r="B668" t="str">
        <f>"0904961905824243"</f>
        <v>0904961905824243</v>
      </c>
      <c r="C668">
        <v>905824243</v>
      </c>
      <c r="D668" t="s">
        <v>372</v>
      </c>
      <c r="E668" s="1">
        <v>42370</v>
      </c>
      <c r="G668">
        <v>626.12</v>
      </c>
      <c r="H668">
        <v>555</v>
      </c>
      <c r="I668">
        <v>71.12</v>
      </c>
      <c r="J668" t="s">
        <v>50</v>
      </c>
      <c r="K668" t="s">
        <v>64</v>
      </c>
      <c r="L668" t="s">
        <v>849</v>
      </c>
      <c r="M668">
        <v>11411362</v>
      </c>
    </row>
    <row r="669" spans="1:14" x14ac:dyDescent="0.25">
      <c r="A669" t="s">
        <v>874</v>
      </c>
      <c r="B669" t="str">
        <f>"0904957974730305"</f>
        <v>0904957974730305</v>
      </c>
      <c r="C669">
        <v>974730305</v>
      </c>
      <c r="D669" t="s">
        <v>317</v>
      </c>
      <c r="E669" s="1">
        <v>42370</v>
      </c>
      <c r="G669">
        <v>251.91</v>
      </c>
      <c r="H669">
        <v>139</v>
      </c>
      <c r="I669">
        <v>112.91</v>
      </c>
      <c r="J669" t="s">
        <v>875</v>
      </c>
      <c r="K669" t="s">
        <v>64</v>
      </c>
      <c r="L669" t="s">
        <v>849</v>
      </c>
      <c r="M669">
        <v>11411362</v>
      </c>
    </row>
    <row r="670" spans="1:14" x14ac:dyDescent="0.25">
      <c r="A670" t="s">
        <v>876</v>
      </c>
      <c r="B670" t="str">
        <f>"0904957956440075"</f>
        <v>0904957956440075</v>
      </c>
      <c r="C670">
        <v>956440075</v>
      </c>
      <c r="D670" t="s">
        <v>317</v>
      </c>
      <c r="E670" s="1">
        <v>42370</v>
      </c>
      <c r="G670">
        <v>317.11</v>
      </c>
      <c r="H670">
        <v>307</v>
      </c>
      <c r="I670">
        <v>10.11</v>
      </c>
      <c r="J670" t="s">
        <v>333</v>
      </c>
      <c r="K670" t="s">
        <v>64</v>
      </c>
      <c r="L670" t="s">
        <v>849</v>
      </c>
      <c r="M670">
        <v>11411362</v>
      </c>
    </row>
    <row r="671" spans="1:14" x14ac:dyDescent="0.25">
      <c r="A671" t="s">
        <v>877</v>
      </c>
      <c r="B671" t="str">
        <f>"0904957957941223"</f>
        <v>0904957957941223</v>
      </c>
      <c r="C671">
        <v>957941223</v>
      </c>
      <c r="D671" t="s">
        <v>317</v>
      </c>
      <c r="E671" s="1">
        <v>42370</v>
      </c>
      <c r="G671">
        <v>346.06</v>
      </c>
      <c r="H671">
        <v>238</v>
      </c>
      <c r="I671">
        <v>108.06</v>
      </c>
      <c r="J671" t="s">
        <v>333</v>
      </c>
      <c r="K671" t="s">
        <v>64</v>
      </c>
      <c r="L671" t="s">
        <v>849</v>
      </c>
      <c r="M671">
        <v>11411362</v>
      </c>
    </row>
    <row r="672" spans="1:14" x14ac:dyDescent="0.25">
      <c r="A672" t="s">
        <v>878</v>
      </c>
      <c r="B672" t="str">
        <f>"0904957958327464"</f>
        <v>0904957958327464</v>
      </c>
      <c r="C672">
        <v>958327464</v>
      </c>
      <c r="D672" t="s">
        <v>317</v>
      </c>
      <c r="E672" s="1">
        <v>42370</v>
      </c>
      <c r="G672">
        <v>596.23</v>
      </c>
      <c r="H672">
        <v>408</v>
      </c>
      <c r="I672">
        <v>188.23</v>
      </c>
      <c r="J672" t="s">
        <v>351</v>
      </c>
      <c r="K672" t="s">
        <v>64</v>
      </c>
      <c r="L672" t="s">
        <v>849</v>
      </c>
      <c r="M672">
        <v>11411362</v>
      </c>
    </row>
    <row r="673" spans="1:14" x14ac:dyDescent="0.25">
      <c r="A673" t="s">
        <v>879</v>
      </c>
      <c r="B673" t="str">
        <f>"0904957959531682"</f>
        <v>0904957959531682</v>
      </c>
      <c r="C673">
        <v>959531682</v>
      </c>
      <c r="D673" t="s">
        <v>317</v>
      </c>
      <c r="E673" s="1">
        <v>42370</v>
      </c>
      <c r="G673">
        <v>271.20999999999998</v>
      </c>
      <c r="H673">
        <v>258</v>
      </c>
      <c r="I673">
        <v>13.21</v>
      </c>
      <c r="J673" t="s">
        <v>333</v>
      </c>
      <c r="K673" t="s">
        <v>64</v>
      </c>
      <c r="L673" t="s">
        <v>849</v>
      </c>
      <c r="M673">
        <v>11411362</v>
      </c>
    </row>
    <row r="674" spans="1:14" x14ac:dyDescent="0.25">
      <c r="A674" t="s">
        <v>880</v>
      </c>
      <c r="B674" t="str">
        <f>"0904957946660127"</f>
        <v>0904957946660127</v>
      </c>
      <c r="C674">
        <v>946660127</v>
      </c>
      <c r="D674" t="s">
        <v>317</v>
      </c>
      <c r="E674" s="1">
        <v>42370</v>
      </c>
      <c r="G674">
        <v>327.06</v>
      </c>
      <c r="H674">
        <v>285</v>
      </c>
      <c r="I674">
        <v>42.06</v>
      </c>
      <c r="J674" t="s">
        <v>333</v>
      </c>
      <c r="K674" t="s">
        <v>64</v>
      </c>
      <c r="L674" t="s">
        <v>849</v>
      </c>
      <c r="M674">
        <v>11411362</v>
      </c>
    </row>
    <row r="675" spans="1:14" x14ac:dyDescent="0.25">
      <c r="A675" t="s">
        <v>881</v>
      </c>
      <c r="B675" t="str">
        <f>"0902719933601419"</f>
        <v>0902719933601419</v>
      </c>
      <c r="C675">
        <v>933601419</v>
      </c>
      <c r="D675" t="s">
        <v>7</v>
      </c>
      <c r="E675" s="1">
        <v>42370</v>
      </c>
      <c r="G675">
        <v>293.55</v>
      </c>
      <c r="H675">
        <v>273</v>
      </c>
      <c r="I675">
        <v>20.55</v>
      </c>
      <c r="J675" t="s">
        <v>30</v>
      </c>
      <c r="K675" t="s">
        <v>64</v>
      </c>
      <c r="L675" t="s">
        <v>849</v>
      </c>
      <c r="M675">
        <v>11411362</v>
      </c>
    </row>
    <row r="676" spans="1:14" x14ac:dyDescent="0.25">
      <c r="A676" t="s">
        <v>882</v>
      </c>
      <c r="B676" t="str">
        <f>"0902715927647630"</f>
        <v>0902715927647630</v>
      </c>
      <c r="C676">
        <v>927647630</v>
      </c>
      <c r="D676" t="s">
        <v>22</v>
      </c>
      <c r="E676" s="1">
        <v>42370</v>
      </c>
      <c r="G676">
        <v>689.98</v>
      </c>
      <c r="H676">
        <v>513</v>
      </c>
      <c r="I676">
        <v>176.98</v>
      </c>
      <c r="J676" t="s">
        <v>883</v>
      </c>
      <c r="K676" t="s">
        <v>64</v>
      </c>
      <c r="L676" t="s">
        <v>849</v>
      </c>
      <c r="M676">
        <v>11411362</v>
      </c>
    </row>
    <row r="677" spans="1:14" x14ac:dyDescent="0.25">
      <c r="A677" t="s">
        <v>884</v>
      </c>
      <c r="B677" t="str">
        <f>"0902715925843492"</f>
        <v>0902715925843492</v>
      </c>
      <c r="C677">
        <v>925843492</v>
      </c>
      <c r="D677" t="s">
        <v>22</v>
      </c>
      <c r="E677" s="1">
        <v>42370</v>
      </c>
      <c r="G677">
        <v>398.66</v>
      </c>
      <c r="H677">
        <v>335</v>
      </c>
      <c r="I677">
        <v>63.66</v>
      </c>
      <c r="J677" t="s">
        <v>24</v>
      </c>
      <c r="K677" t="s">
        <v>64</v>
      </c>
      <c r="L677" t="s">
        <v>849</v>
      </c>
      <c r="M677">
        <v>11411362</v>
      </c>
    </row>
    <row r="678" spans="1:14" x14ac:dyDescent="0.25">
      <c r="A678" t="s">
        <v>885</v>
      </c>
      <c r="B678" t="str">
        <f>"0902683973298908"</f>
        <v>0902683973298908</v>
      </c>
      <c r="C678">
        <v>973298908</v>
      </c>
      <c r="D678" t="s">
        <v>5</v>
      </c>
      <c r="E678" s="1">
        <v>42370</v>
      </c>
      <c r="G678">
        <v>1026.03</v>
      </c>
      <c r="H678">
        <v>1021.42</v>
      </c>
      <c r="I678">
        <v>4.6100000000000003</v>
      </c>
      <c r="J678" t="s">
        <v>6</v>
      </c>
      <c r="K678" t="s">
        <v>64</v>
      </c>
      <c r="L678" t="s">
        <v>849</v>
      </c>
      <c r="M678">
        <v>11411362</v>
      </c>
    </row>
    <row r="679" spans="1:14" x14ac:dyDescent="0.25">
      <c r="A679" t="s">
        <v>886</v>
      </c>
      <c r="B679" t="str">
        <f>"0902683932970901"</f>
        <v>0902683932970901</v>
      </c>
      <c r="C679">
        <v>932970901</v>
      </c>
      <c r="D679" t="s">
        <v>5</v>
      </c>
      <c r="E679" s="1">
        <v>42370</v>
      </c>
      <c r="G679">
        <v>241.62</v>
      </c>
      <c r="H679">
        <v>82</v>
      </c>
      <c r="I679">
        <v>159.62</v>
      </c>
      <c r="J679" t="s">
        <v>10</v>
      </c>
      <c r="K679" t="s">
        <v>64</v>
      </c>
      <c r="L679" t="s">
        <v>849</v>
      </c>
      <c r="M679">
        <v>11411362</v>
      </c>
    </row>
    <row r="680" spans="1:14" x14ac:dyDescent="0.25">
      <c r="A680" t="s">
        <v>887</v>
      </c>
      <c r="B680" t="str">
        <f>"0902683928272933"</f>
        <v>0902683928272933</v>
      </c>
      <c r="C680">
        <v>928272933</v>
      </c>
      <c r="D680" t="s">
        <v>5</v>
      </c>
      <c r="E680" s="1">
        <v>42370</v>
      </c>
      <c r="G680">
        <v>388.98</v>
      </c>
      <c r="H680">
        <v>371</v>
      </c>
      <c r="I680">
        <v>17.98</v>
      </c>
      <c r="J680" t="s">
        <v>6</v>
      </c>
      <c r="K680" t="s">
        <v>64</v>
      </c>
      <c r="L680" t="s">
        <v>849</v>
      </c>
      <c r="M680">
        <v>11411362</v>
      </c>
    </row>
    <row r="681" spans="1:14" x14ac:dyDescent="0.25">
      <c r="A681" t="s">
        <v>888</v>
      </c>
      <c r="B681" t="str">
        <f>"0902682969821754"</f>
        <v>0902682969821754</v>
      </c>
      <c r="C681">
        <v>969821754</v>
      </c>
      <c r="D681" t="s">
        <v>9</v>
      </c>
      <c r="E681" s="1">
        <v>42370</v>
      </c>
      <c r="G681">
        <v>324.70999999999998</v>
      </c>
      <c r="H681">
        <v>289</v>
      </c>
      <c r="I681">
        <v>35.71</v>
      </c>
      <c r="J681" t="s">
        <v>6</v>
      </c>
      <c r="K681" t="s">
        <v>64</v>
      </c>
      <c r="L681" t="s">
        <v>849</v>
      </c>
      <c r="M681">
        <v>11411362</v>
      </c>
    </row>
    <row r="682" spans="1:14" x14ac:dyDescent="0.25">
      <c r="A682" t="s">
        <v>889</v>
      </c>
      <c r="B682" t="str">
        <f>"0902682961289800"</f>
        <v>0902682961289800</v>
      </c>
      <c r="C682">
        <v>961289800</v>
      </c>
      <c r="D682" t="s">
        <v>9</v>
      </c>
      <c r="E682" s="1">
        <v>42370</v>
      </c>
      <c r="G682">
        <v>290.39999999999998</v>
      </c>
      <c r="H682">
        <v>290.25</v>
      </c>
      <c r="I682" t="str">
        <f>"0.15"</f>
        <v>0.15</v>
      </c>
      <c r="J682" t="s">
        <v>4</v>
      </c>
      <c r="K682" t="s">
        <v>64</v>
      </c>
      <c r="L682" t="s">
        <v>849</v>
      </c>
      <c r="M682">
        <v>11411362</v>
      </c>
    </row>
    <row r="683" spans="1:14" x14ac:dyDescent="0.25">
      <c r="A683" t="s">
        <v>890</v>
      </c>
      <c r="B683" t="str">
        <f>"0902682955802007"</f>
        <v>0902682955802007</v>
      </c>
      <c r="C683">
        <v>955802007</v>
      </c>
      <c r="D683" t="s">
        <v>9</v>
      </c>
      <c r="E683" s="1">
        <v>42370</v>
      </c>
      <c r="G683">
        <v>534.4</v>
      </c>
      <c r="H683">
        <v>510</v>
      </c>
      <c r="I683">
        <v>24.4</v>
      </c>
      <c r="J683" t="s">
        <v>6</v>
      </c>
      <c r="K683" t="s">
        <v>64</v>
      </c>
      <c r="L683" t="s">
        <v>849</v>
      </c>
      <c r="M683">
        <v>11411362</v>
      </c>
    </row>
    <row r="684" spans="1:14" x14ac:dyDescent="0.25">
      <c r="A684" t="s">
        <v>891</v>
      </c>
      <c r="B684" t="str">
        <f>"0902682955899223"</f>
        <v>0902682955899223</v>
      </c>
      <c r="C684">
        <v>955899223</v>
      </c>
      <c r="D684" t="s">
        <v>9</v>
      </c>
      <c r="E684" s="1">
        <v>42370</v>
      </c>
      <c r="G684">
        <v>302.72000000000003</v>
      </c>
      <c r="H684">
        <v>276</v>
      </c>
      <c r="I684">
        <v>26.72</v>
      </c>
      <c r="J684" t="s">
        <v>6</v>
      </c>
      <c r="K684" t="s">
        <v>64</v>
      </c>
      <c r="L684" t="s">
        <v>849</v>
      </c>
      <c r="M684">
        <v>11411362</v>
      </c>
    </row>
    <row r="685" spans="1:14" x14ac:dyDescent="0.25">
      <c r="A685" t="s">
        <v>892</v>
      </c>
      <c r="B685" t="str">
        <f>"0902682954139378"</f>
        <v>0902682954139378</v>
      </c>
      <c r="C685">
        <v>954139378</v>
      </c>
      <c r="D685" t="s">
        <v>9</v>
      </c>
      <c r="E685" s="1">
        <v>42370</v>
      </c>
      <c r="G685">
        <v>1524.02</v>
      </c>
      <c r="H685">
        <v>1484</v>
      </c>
      <c r="I685">
        <v>40.020000000000003</v>
      </c>
      <c r="J685" t="s">
        <v>10</v>
      </c>
      <c r="K685" t="s">
        <v>64</v>
      </c>
      <c r="L685" t="s">
        <v>849</v>
      </c>
      <c r="M685">
        <v>11411362</v>
      </c>
    </row>
    <row r="686" spans="1:14" x14ac:dyDescent="0.25">
      <c r="A686" t="s">
        <v>893</v>
      </c>
      <c r="B686" t="str">
        <f>"0902682946022193"</f>
        <v>0902682946022193</v>
      </c>
      <c r="C686">
        <v>946022193</v>
      </c>
      <c r="D686" t="s">
        <v>9</v>
      </c>
      <c r="E686" s="1">
        <v>42370</v>
      </c>
      <c r="G686">
        <v>189.43</v>
      </c>
      <c r="H686">
        <v>164</v>
      </c>
      <c r="I686">
        <v>25.43</v>
      </c>
      <c r="J686" t="s">
        <v>6</v>
      </c>
      <c r="K686" t="s">
        <v>64</v>
      </c>
      <c r="L686" t="s">
        <v>849</v>
      </c>
      <c r="M686">
        <v>11411362</v>
      </c>
      <c r="N686" t="s">
        <v>894</v>
      </c>
    </row>
    <row r="687" spans="1:14" x14ac:dyDescent="0.25">
      <c r="A687" t="s">
        <v>895</v>
      </c>
      <c r="B687" t="str">
        <f>"0902682949218345"</f>
        <v>0902682949218345</v>
      </c>
      <c r="C687">
        <v>949218345</v>
      </c>
      <c r="D687" t="s">
        <v>9</v>
      </c>
      <c r="E687" s="1">
        <v>42370</v>
      </c>
      <c r="G687">
        <v>548.87</v>
      </c>
      <c r="H687">
        <v>548.6</v>
      </c>
      <c r="I687" t="str">
        <f>"0.27"</f>
        <v>0.27</v>
      </c>
      <c r="J687" t="s">
        <v>4</v>
      </c>
      <c r="K687" t="s">
        <v>64</v>
      </c>
      <c r="L687" t="s">
        <v>849</v>
      </c>
      <c r="M687">
        <v>11411362</v>
      </c>
    </row>
    <row r="688" spans="1:14" x14ac:dyDescent="0.25">
      <c r="A688" t="s">
        <v>896</v>
      </c>
      <c r="B688" t="str">
        <f>"0902682944156634"</f>
        <v>0902682944156634</v>
      </c>
      <c r="C688">
        <v>944156634</v>
      </c>
      <c r="D688" t="s">
        <v>9</v>
      </c>
      <c r="E688" s="1">
        <v>42370</v>
      </c>
      <c r="G688">
        <v>809.63</v>
      </c>
      <c r="H688">
        <v>567</v>
      </c>
      <c r="I688">
        <v>242.63</v>
      </c>
      <c r="J688" t="s">
        <v>80</v>
      </c>
      <c r="K688" t="s">
        <v>64</v>
      </c>
      <c r="L688" t="s">
        <v>849</v>
      </c>
      <c r="M688">
        <v>11411362</v>
      </c>
    </row>
    <row r="689" spans="1:13" x14ac:dyDescent="0.25">
      <c r="A689" t="s">
        <v>897</v>
      </c>
      <c r="B689" t="str">
        <f>"0902682945319101"</f>
        <v>0902682945319101</v>
      </c>
      <c r="C689">
        <v>945319101</v>
      </c>
      <c r="D689" t="s">
        <v>9</v>
      </c>
      <c r="E689" s="1">
        <v>42370</v>
      </c>
      <c r="G689">
        <v>558.08000000000004</v>
      </c>
      <c r="H689">
        <v>557.79999999999995</v>
      </c>
      <c r="I689" t="str">
        <f>"0.28"</f>
        <v>0.28</v>
      </c>
      <c r="J689" t="s">
        <v>4</v>
      </c>
      <c r="K689" t="s">
        <v>64</v>
      </c>
      <c r="L689" t="s">
        <v>849</v>
      </c>
      <c r="M689">
        <v>11411362</v>
      </c>
    </row>
    <row r="690" spans="1:13" x14ac:dyDescent="0.25">
      <c r="A690" t="s">
        <v>898</v>
      </c>
      <c r="B690" t="str">
        <f>"0902682939726864"</f>
        <v>0902682939726864</v>
      </c>
      <c r="C690">
        <v>939726864</v>
      </c>
      <c r="D690" t="s">
        <v>9</v>
      </c>
      <c r="E690" s="1">
        <v>42370</v>
      </c>
      <c r="G690">
        <v>494.66</v>
      </c>
      <c r="H690">
        <v>416</v>
      </c>
      <c r="I690">
        <v>78.66</v>
      </c>
      <c r="J690" t="s">
        <v>10</v>
      </c>
      <c r="K690" t="s">
        <v>64</v>
      </c>
      <c r="L690" t="s">
        <v>849</v>
      </c>
      <c r="M690">
        <v>11411362</v>
      </c>
    </row>
    <row r="691" spans="1:13" x14ac:dyDescent="0.25">
      <c r="A691" t="s">
        <v>899</v>
      </c>
      <c r="B691" t="str">
        <f>"0902682936351512"</f>
        <v>0902682936351512</v>
      </c>
      <c r="C691">
        <v>936351512</v>
      </c>
      <c r="D691" t="s">
        <v>9</v>
      </c>
      <c r="E691" s="1">
        <v>42370</v>
      </c>
      <c r="G691">
        <v>946.31</v>
      </c>
      <c r="H691">
        <v>788</v>
      </c>
      <c r="I691">
        <v>158.31</v>
      </c>
      <c r="J691" t="s">
        <v>6</v>
      </c>
      <c r="K691" t="s">
        <v>64</v>
      </c>
      <c r="L691" t="s">
        <v>849</v>
      </c>
      <c r="M691">
        <v>11411362</v>
      </c>
    </row>
    <row r="692" spans="1:13" x14ac:dyDescent="0.25">
      <c r="A692" t="s">
        <v>900</v>
      </c>
      <c r="B692" t="str">
        <f>"0902682937757072"</f>
        <v>0902682937757072</v>
      </c>
      <c r="C692">
        <v>937757072</v>
      </c>
      <c r="D692" t="s">
        <v>9</v>
      </c>
      <c r="E692" s="1">
        <v>42370</v>
      </c>
      <c r="G692">
        <v>1645.93</v>
      </c>
      <c r="H692">
        <v>1618</v>
      </c>
      <c r="I692">
        <v>27.93</v>
      </c>
      <c r="J692" t="s">
        <v>6</v>
      </c>
      <c r="K692" t="s">
        <v>64</v>
      </c>
      <c r="L692" t="s">
        <v>849</v>
      </c>
      <c r="M692">
        <v>11411362</v>
      </c>
    </row>
    <row r="693" spans="1:13" x14ac:dyDescent="0.25">
      <c r="A693" t="s">
        <v>901</v>
      </c>
      <c r="B693" t="str">
        <f>"0902682923419870"</f>
        <v>0902682923419870</v>
      </c>
      <c r="C693">
        <v>923419870</v>
      </c>
      <c r="D693" t="s">
        <v>9</v>
      </c>
      <c r="E693" s="1">
        <v>42370</v>
      </c>
      <c r="G693">
        <v>350.79</v>
      </c>
      <c r="H693">
        <v>330</v>
      </c>
      <c r="I693">
        <v>20.79</v>
      </c>
      <c r="J693" t="s">
        <v>6</v>
      </c>
      <c r="K693" t="s">
        <v>64</v>
      </c>
      <c r="L693" t="s">
        <v>849</v>
      </c>
      <c r="M693">
        <v>11411362</v>
      </c>
    </row>
    <row r="694" spans="1:13" x14ac:dyDescent="0.25">
      <c r="A694" t="s">
        <v>902</v>
      </c>
      <c r="B694" t="str">
        <f>"0902682927744305"</f>
        <v>0902682927744305</v>
      </c>
      <c r="C694">
        <v>927744305</v>
      </c>
      <c r="D694" t="s">
        <v>9</v>
      </c>
      <c r="E694" s="1">
        <v>42370</v>
      </c>
      <c r="G694">
        <v>719.84</v>
      </c>
      <c r="H694">
        <v>706</v>
      </c>
      <c r="I694">
        <v>13.84</v>
      </c>
      <c r="J694" t="s">
        <v>6</v>
      </c>
      <c r="K694" t="s">
        <v>64</v>
      </c>
      <c r="L694" t="s">
        <v>849</v>
      </c>
      <c r="M694">
        <v>11411362</v>
      </c>
    </row>
    <row r="695" spans="1:13" x14ac:dyDescent="0.25">
      <c r="A695" t="s">
        <v>903</v>
      </c>
      <c r="B695" t="str">
        <f>"0902682928262943"</f>
        <v>0902682928262943</v>
      </c>
      <c r="C695">
        <v>928262943</v>
      </c>
      <c r="D695" t="s">
        <v>9</v>
      </c>
      <c r="E695" s="1">
        <v>42370</v>
      </c>
      <c r="G695">
        <v>804.74</v>
      </c>
      <c r="H695">
        <v>660</v>
      </c>
      <c r="I695">
        <v>144.74</v>
      </c>
      <c r="J695" t="s">
        <v>29</v>
      </c>
      <c r="K695" t="s">
        <v>64</v>
      </c>
      <c r="L695" t="s">
        <v>849</v>
      </c>
      <c r="M695">
        <v>11411362</v>
      </c>
    </row>
    <row r="696" spans="1:13" x14ac:dyDescent="0.25">
      <c r="A696" t="s">
        <v>904</v>
      </c>
      <c r="B696" t="str">
        <f>"0902682915805998"</f>
        <v>0902682915805998</v>
      </c>
      <c r="C696">
        <v>915805998</v>
      </c>
      <c r="D696" t="s">
        <v>9</v>
      </c>
      <c r="E696" s="1">
        <v>42370</v>
      </c>
      <c r="G696">
        <v>675.81</v>
      </c>
      <c r="H696">
        <v>602</v>
      </c>
      <c r="I696">
        <v>73.81</v>
      </c>
      <c r="J696" t="s">
        <v>10</v>
      </c>
      <c r="K696" t="s">
        <v>64</v>
      </c>
      <c r="L696" t="s">
        <v>849</v>
      </c>
      <c r="M696">
        <v>11411362</v>
      </c>
    </row>
    <row r="697" spans="1:13" x14ac:dyDescent="0.25">
      <c r="A697" t="s">
        <v>905</v>
      </c>
      <c r="B697" t="str">
        <f>"0902682916945389"</f>
        <v>0902682916945389</v>
      </c>
      <c r="C697">
        <v>916945389</v>
      </c>
      <c r="D697" t="s">
        <v>9</v>
      </c>
      <c r="E697" s="1">
        <v>42370</v>
      </c>
      <c r="G697">
        <v>339.67</v>
      </c>
      <c r="H697">
        <v>299</v>
      </c>
      <c r="I697">
        <v>40.67</v>
      </c>
      <c r="J697" t="s">
        <v>30</v>
      </c>
      <c r="K697" t="s">
        <v>64</v>
      </c>
      <c r="L697" t="s">
        <v>849</v>
      </c>
      <c r="M697">
        <v>11411362</v>
      </c>
    </row>
    <row r="698" spans="1:13" x14ac:dyDescent="0.25">
      <c r="A698" t="s">
        <v>906</v>
      </c>
      <c r="B698" t="str">
        <f>"0902682904948202"</f>
        <v>0902682904948202</v>
      </c>
      <c r="C698">
        <v>904948202</v>
      </c>
      <c r="D698" t="s">
        <v>9</v>
      </c>
      <c r="E698" s="1">
        <v>42370</v>
      </c>
      <c r="G698">
        <v>404.81</v>
      </c>
      <c r="H698">
        <v>366</v>
      </c>
      <c r="I698">
        <v>38.81</v>
      </c>
      <c r="J698" t="s">
        <v>6</v>
      </c>
      <c r="K698" t="s">
        <v>64</v>
      </c>
      <c r="L698" t="s">
        <v>849</v>
      </c>
      <c r="M698">
        <v>11411362</v>
      </c>
    </row>
    <row r="699" spans="1:13" x14ac:dyDescent="0.25">
      <c r="A699" t="s">
        <v>907</v>
      </c>
      <c r="B699" t="str">
        <f>"0902682903068684"</f>
        <v>0902682903068684</v>
      </c>
      <c r="C699">
        <v>903068684</v>
      </c>
      <c r="D699" t="s">
        <v>9</v>
      </c>
      <c r="E699" s="1">
        <v>42370</v>
      </c>
      <c r="G699">
        <v>726.99</v>
      </c>
      <c r="H699">
        <v>565</v>
      </c>
      <c r="I699">
        <v>161.99</v>
      </c>
      <c r="J699" t="s">
        <v>10</v>
      </c>
      <c r="K699" t="s">
        <v>64</v>
      </c>
      <c r="L699" t="s">
        <v>849</v>
      </c>
      <c r="M699">
        <v>11411362</v>
      </c>
    </row>
    <row r="700" spans="1:13" x14ac:dyDescent="0.25">
      <c r="A700" t="s">
        <v>908</v>
      </c>
      <c r="B700" t="str">
        <f>"0902728907042929"</f>
        <v>0902728907042929</v>
      </c>
      <c r="C700">
        <v>907042929</v>
      </c>
      <c r="D700" t="s">
        <v>12</v>
      </c>
      <c r="E700" s="1">
        <v>42370</v>
      </c>
      <c r="G700">
        <v>853.84</v>
      </c>
      <c r="H700">
        <v>853.41</v>
      </c>
      <c r="I700" t="str">
        <f>"0.43"</f>
        <v>0.43</v>
      </c>
      <c r="J700" t="s">
        <v>15</v>
      </c>
      <c r="K700" t="s">
        <v>64</v>
      </c>
      <c r="L700" t="s">
        <v>849</v>
      </c>
      <c r="M700">
        <v>11411362</v>
      </c>
    </row>
    <row r="701" spans="1:13" x14ac:dyDescent="0.25">
      <c r="A701" t="s">
        <v>909</v>
      </c>
      <c r="B701" t="str">
        <f>"0902726961466014"</f>
        <v>0902726961466014</v>
      </c>
      <c r="C701">
        <v>961466014</v>
      </c>
      <c r="D701" t="s">
        <v>16</v>
      </c>
      <c r="E701" s="1">
        <v>42370</v>
      </c>
      <c r="G701">
        <v>553.91999999999996</v>
      </c>
      <c r="H701">
        <v>506</v>
      </c>
      <c r="I701">
        <v>47.92</v>
      </c>
      <c r="J701" t="s">
        <v>21</v>
      </c>
      <c r="K701" t="s">
        <v>64</v>
      </c>
      <c r="L701" t="s">
        <v>849</v>
      </c>
      <c r="M701">
        <v>11411362</v>
      </c>
    </row>
    <row r="702" spans="1:13" x14ac:dyDescent="0.25">
      <c r="A702" t="s">
        <v>910</v>
      </c>
      <c r="B702" t="str">
        <f>"0902726965741703"</f>
        <v>0902726965741703</v>
      </c>
      <c r="C702">
        <v>965741703</v>
      </c>
      <c r="D702" t="s">
        <v>16</v>
      </c>
      <c r="E702" s="1">
        <v>42370</v>
      </c>
      <c r="G702">
        <v>803.56</v>
      </c>
      <c r="H702" t="str">
        <f>"0.00"</f>
        <v>0.00</v>
      </c>
      <c r="I702">
        <v>803.56</v>
      </c>
      <c r="J702" t="s">
        <v>17</v>
      </c>
      <c r="K702" t="s">
        <v>64</v>
      </c>
      <c r="L702" t="s">
        <v>849</v>
      </c>
      <c r="M702">
        <v>11411362</v>
      </c>
    </row>
    <row r="703" spans="1:13" x14ac:dyDescent="0.25">
      <c r="A703" t="s">
        <v>911</v>
      </c>
      <c r="B703" t="str">
        <f>"0902726975940037"</f>
        <v>0902726975940037</v>
      </c>
      <c r="C703">
        <v>975940037</v>
      </c>
      <c r="D703" t="s">
        <v>16</v>
      </c>
      <c r="E703" s="1">
        <v>42370</v>
      </c>
      <c r="G703">
        <v>870.57</v>
      </c>
      <c r="H703">
        <v>682</v>
      </c>
      <c r="I703">
        <v>188.57</v>
      </c>
      <c r="J703" t="s">
        <v>50</v>
      </c>
      <c r="K703" t="s">
        <v>64</v>
      </c>
      <c r="L703" t="s">
        <v>849</v>
      </c>
      <c r="M703">
        <v>11411362</v>
      </c>
    </row>
    <row r="704" spans="1:13" x14ac:dyDescent="0.25">
      <c r="A704" t="s">
        <v>912</v>
      </c>
      <c r="B704" t="str">
        <f>"0902725973993331"</f>
        <v>0902725973993331</v>
      </c>
      <c r="C704">
        <v>973993331</v>
      </c>
      <c r="D704" t="s">
        <v>110</v>
      </c>
      <c r="E704" s="1">
        <v>42370</v>
      </c>
      <c r="F704" s="1">
        <v>42400</v>
      </c>
      <c r="G704">
        <v>156.66999999999999</v>
      </c>
      <c r="H704">
        <v>104</v>
      </c>
      <c r="I704">
        <v>52.67</v>
      </c>
      <c r="J704" t="s">
        <v>6</v>
      </c>
      <c r="K704" t="s">
        <v>64</v>
      </c>
      <c r="L704" t="s">
        <v>849</v>
      </c>
      <c r="M704">
        <v>11411362</v>
      </c>
    </row>
    <row r="705" spans="1:13" x14ac:dyDescent="0.25">
      <c r="A705" t="s">
        <v>913</v>
      </c>
      <c r="B705" t="str">
        <f>"0902725960934635"</f>
        <v>0902725960934635</v>
      </c>
      <c r="C705">
        <v>960934635</v>
      </c>
      <c r="D705" t="s">
        <v>110</v>
      </c>
      <c r="E705" s="1">
        <v>42370</v>
      </c>
      <c r="G705">
        <v>294.7</v>
      </c>
      <c r="H705">
        <v>183</v>
      </c>
      <c r="I705">
        <v>111.7</v>
      </c>
      <c r="J705" t="s">
        <v>6</v>
      </c>
      <c r="K705" t="s">
        <v>64</v>
      </c>
      <c r="L705" t="s">
        <v>849</v>
      </c>
      <c r="M705">
        <v>11411362</v>
      </c>
    </row>
    <row r="706" spans="1:13" x14ac:dyDescent="0.25">
      <c r="A706" t="s">
        <v>914</v>
      </c>
      <c r="B706" t="str">
        <f>"0902725966911215"</f>
        <v>0902725966911215</v>
      </c>
      <c r="C706">
        <v>966911215</v>
      </c>
      <c r="D706" t="s">
        <v>110</v>
      </c>
      <c r="E706" s="1">
        <v>42370</v>
      </c>
      <c r="G706">
        <v>1210.6099999999999</v>
      </c>
      <c r="H706">
        <v>1209.4000000000001</v>
      </c>
      <c r="I706">
        <v>1.21</v>
      </c>
      <c r="J706" t="s">
        <v>6</v>
      </c>
      <c r="K706" t="s">
        <v>64</v>
      </c>
      <c r="L706" t="s">
        <v>849</v>
      </c>
      <c r="M706">
        <v>11411362</v>
      </c>
    </row>
    <row r="707" spans="1:13" x14ac:dyDescent="0.25">
      <c r="A707" t="s">
        <v>915</v>
      </c>
      <c r="B707" t="str">
        <f>"0902725955814733"</f>
        <v>0902725955814733</v>
      </c>
      <c r="C707">
        <v>955814733</v>
      </c>
      <c r="D707" t="s">
        <v>110</v>
      </c>
      <c r="E707" s="1">
        <v>42370</v>
      </c>
      <c r="G707">
        <v>294.82</v>
      </c>
      <c r="H707">
        <v>252</v>
      </c>
      <c r="I707">
        <v>42.82</v>
      </c>
      <c r="J707" t="s">
        <v>30</v>
      </c>
      <c r="K707" t="s">
        <v>64</v>
      </c>
      <c r="L707" t="s">
        <v>849</v>
      </c>
      <c r="M707">
        <v>11411362</v>
      </c>
    </row>
    <row r="708" spans="1:13" x14ac:dyDescent="0.25">
      <c r="A708" t="s">
        <v>916</v>
      </c>
      <c r="B708" t="str">
        <f>"0902725909857112"</f>
        <v>0902725909857112</v>
      </c>
      <c r="C708">
        <v>909857112</v>
      </c>
      <c r="D708" t="s">
        <v>110</v>
      </c>
      <c r="E708" s="1">
        <v>42370</v>
      </c>
      <c r="G708">
        <v>684.3</v>
      </c>
      <c r="H708">
        <v>634</v>
      </c>
      <c r="I708">
        <v>50.3</v>
      </c>
      <c r="J708" t="s">
        <v>4</v>
      </c>
      <c r="K708" t="s">
        <v>64</v>
      </c>
      <c r="L708" t="s">
        <v>849</v>
      </c>
      <c r="M708">
        <v>11411362</v>
      </c>
    </row>
    <row r="709" spans="1:13" x14ac:dyDescent="0.25">
      <c r="A709" t="s">
        <v>917</v>
      </c>
      <c r="B709" t="str">
        <f>"0902720905728504"</f>
        <v>0902720905728504</v>
      </c>
      <c r="C709">
        <v>905728504</v>
      </c>
      <c r="D709" t="s">
        <v>3</v>
      </c>
      <c r="E709" s="1">
        <v>42370</v>
      </c>
      <c r="F709" s="1">
        <v>42400</v>
      </c>
      <c r="G709">
        <v>786.58</v>
      </c>
      <c r="H709">
        <v>771</v>
      </c>
      <c r="I709">
        <v>15.58</v>
      </c>
      <c r="J709" t="s">
        <v>15</v>
      </c>
      <c r="K709" t="s">
        <v>64</v>
      </c>
      <c r="L709" t="s">
        <v>849</v>
      </c>
      <c r="M709">
        <v>11411362</v>
      </c>
    </row>
    <row r="710" spans="1:13" x14ac:dyDescent="0.25">
      <c r="A710" t="s">
        <v>918</v>
      </c>
      <c r="B710" t="str">
        <f>"0902724925496285"</f>
        <v>0902724925496285</v>
      </c>
      <c r="C710">
        <v>925496285</v>
      </c>
      <c r="D710" t="s">
        <v>28</v>
      </c>
      <c r="E710" s="1">
        <v>42370</v>
      </c>
      <c r="G710">
        <v>612.23</v>
      </c>
      <c r="H710">
        <v>459</v>
      </c>
      <c r="I710">
        <v>153.22999999999999</v>
      </c>
      <c r="J710" t="s">
        <v>50</v>
      </c>
      <c r="K710" t="s">
        <v>64</v>
      </c>
      <c r="L710" t="s">
        <v>849</v>
      </c>
      <c r="M710">
        <v>11411362</v>
      </c>
    </row>
    <row r="711" spans="1:13" x14ac:dyDescent="0.25">
      <c r="A711" t="s">
        <v>919</v>
      </c>
      <c r="B711" t="str">
        <f>"0902720918849626"</f>
        <v>0902720918849626</v>
      </c>
      <c r="C711">
        <v>918849626</v>
      </c>
      <c r="D711" t="s">
        <v>3</v>
      </c>
      <c r="E711" s="1">
        <v>42370</v>
      </c>
      <c r="G711">
        <v>638.25</v>
      </c>
      <c r="H711">
        <v>619</v>
      </c>
      <c r="I711">
        <v>19.25</v>
      </c>
      <c r="J711" t="s">
        <v>26</v>
      </c>
      <c r="K711" t="s">
        <v>64</v>
      </c>
      <c r="L711" t="s">
        <v>849</v>
      </c>
      <c r="M711">
        <v>11411362</v>
      </c>
    </row>
    <row r="712" spans="1:13" x14ac:dyDescent="0.25">
      <c r="A712" t="s">
        <v>920</v>
      </c>
      <c r="B712" t="str">
        <f>"0902720931718639"</f>
        <v>0902720931718639</v>
      </c>
      <c r="C712">
        <v>931718639</v>
      </c>
      <c r="D712" t="s">
        <v>3</v>
      </c>
      <c r="E712" s="1">
        <v>42370</v>
      </c>
      <c r="G712">
        <v>1574.37</v>
      </c>
      <c r="H712">
        <v>1498</v>
      </c>
      <c r="I712">
        <v>76.37</v>
      </c>
      <c r="J712" t="s">
        <v>15</v>
      </c>
      <c r="K712" t="s">
        <v>64</v>
      </c>
      <c r="L712" t="s">
        <v>849</v>
      </c>
      <c r="M712">
        <v>11411362</v>
      </c>
    </row>
    <row r="713" spans="1:13" x14ac:dyDescent="0.25">
      <c r="A713" t="s">
        <v>921</v>
      </c>
      <c r="B713" t="str">
        <f>"0902719971444853"</f>
        <v>0902719971444853</v>
      </c>
      <c r="C713">
        <v>971444853</v>
      </c>
      <c r="D713" t="s">
        <v>7</v>
      </c>
      <c r="E713" s="1">
        <v>42370</v>
      </c>
      <c r="G713">
        <v>322.76</v>
      </c>
      <c r="H713">
        <v>322.44</v>
      </c>
      <c r="I713" t="str">
        <f>"0.32"</f>
        <v>0.32</v>
      </c>
      <c r="J713" t="s">
        <v>8</v>
      </c>
      <c r="K713" t="s">
        <v>64</v>
      </c>
      <c r="L713" t="s">
        <v>849</v>
      </c>
      <c r="M713">
        <v>11411362</v>
      </c>
    </row>
    <row r="714" spans="1:13" x14ac:dyDescent="0.25">
      <c r="A714" t="s">
        <v>922</v>
      </c>
      <c r="B714" t="str">
        <f>"0902719959691522"</f>
        <v>0902719959691522</v>
      </c>
      <c r="C714">
        <v>959691522</v>
      </c>
      <c r="D714" t="s">
        <v>7</v>
      </c>
      <c r="E714" s="1">
        <v>42370</v>
      </c>
      <c r="G714">
        <v>532.84</v>
      </c>
      <c r="H714">
        <v>377</v>
      </c>
      <c r="I714">
        <v>155.84</v>
      </c>
      <c r="J714" t="s">
        <v>29</v>
      </c>
      <c r="K714" t="s">
        <v>64</v>
      </c>
      <c r="L714" t="s">
        <v>849</v>
      </c>
      <c r="M714">
        <v>11411362</v>
      </c>
    </row>
    <row r="715" spans="1:13" x14ac:dyDescent="0.25">
      <c r="A715" t="s">
        <v>923</v>
      </c>
      <c r="B715" t="str">
        <f>"0902728953279060"</f>
        <v>0902728953279060</v>
      </c>
      <c r="C715">
        <v>953279060</v>
      </c>
      <c r="D715" t="s">
        <v>12</v>
      </c>
      <c r="E715" s="1">
        <v>42370</v>
      </c>
      <c r="G715">
        <v>817.07</v>
      </c>
      <c r="H715" t="str">
        <f>"0.00"</f>
        <v>0.00</v>
      </c>
      <c r="I715">
        <v>817.07</v>
      </c>
      <c r="J715" t="s">
        <v>52</v>
      </c>
      <c r="K715" t="s">
        <v>64</v>
      </c>
      <c r="L715" t="s">
        <v>849</v>
      </c>
      <c r="M715">
        <v>11411362</v>
      </c>
    </row>
    <row r="716" spans="1:13" x14ac:dyDescent="0.25">
      <c r="A716" t="s">
        <v>924</v>
      </c>
      <c r="B716" t="str">
        <f>"0902728940046908"</f>
        <v>0902728940046908</v>
      </c>
      <c r="C716">
        <v>940046908</v>
      </c>
      <c r="D716" t="s">
        <v>12</v>
      </c>
      <c r="E716" s="1">
        <v>42370</v>
      </c>
      <c r="G716">
        <v>1235.6500000000001</v>
      </c>
      <c r="H716">
        <v>1235.03</v>
      </c>
      <c r="I716" t="str">
        <f>"0.62"</f>
        <v>0.62</v>
      </c>
      <c r="J716" t="s">
        <v>15</v>
      </c>
      <c r="K716" t="s">
        <v>64</v>
      </c>
      <c r="L716" t="s">
        <v>849</v>
      </c>
      <c r="M716">
        <v>11411362</v>
      </c>
    </row>
    <row r="717" spans="1:13" x14ac:dyDescent="0.25">
      <c r="A717" t="s">
        <v>925</v>
      </c>
      <c r="B717" t="str">
        <f>"0902728941884647"</f>
        <v>0902728941884647</v>
      </c>
      <c r="C717">
        <v>941884647</v>
      </c>
      <c r="D717" t="s">
        <v>12</v>
      </c>
      <c r="E717" s="1">
        <v>42370</v>
      </c>
      <c r="G717">
        <v>396.97</v>
      </c>
      <c r="H717">
        <v>386</v>
      </c>
      <c r="I717">
        <v>10.97</v>
      </c>
      <c r="J717" t="s">
        <v>8</v>
      </c>
      <c r="K717" t="s">
        <v>64</v>
      </c>
      <c r="L717" t="s">
        <v>849</v>
      </c>
      <c r="M717">
        <v>11411362</v>
      </c>
    </row>
    <row r="718" spans="1:13" x14ac:dyDescent="0.25">
      <c r="A718" t="s">
        <v>926</v>
      </c>
      <c r="B718" t="str">
        <f>"0902728941919408"</f>
        <v>0902728941919408</v>
      </c>
      <c r="C718">
        <v>941919408</v>
      </c>
      <c r="D718" t="s">
        <v>12</v>
      </c>
      <c r="E718" s="1">
        <v>42370</v>
      </c>
      <c r="G718">
        <v>711.36</v>
      </c>
      <c r="H718">
        <v>711</v>
      </c>
      <c r="I718" t="str">
        <f>"0.36"</f>
        <v>0.36</v>
      </c>
      <c r="J718" t="s">
        <v>15</v>
      </c>
      <c r="K718" t="s">
        <v>64</v>
      </c>
      <c r="L718" t="s">
        <v>849</v>
      </c>
      <c r="M718">
        <v>11411362</v>
      </c>
    </row>
    <row r="719" spans="1:13" x14ac:dyDescent="0.25">
      <c r="A719" t="s">
        <v>927</v>
      </c>
      <c r="B719" t="str">
        <f>"0902728925767496"</f>
        <v>0902728925767496</v>
      </c>
      <c r="C719">
        <v>925767496</v>
      </c>
      <c r="D719" t="s">
        <v>12</v>
      </c>
      <c r="E719" s="1">
        <v>42370</v>
      </c>
      <c r="G719">
        <v>590.61</v>
      </c>
      <c r="H719">
        <v>585</v>
      </c>
      <c r="I719">
        <v>5.61</v>
      </c>
      <c r="J719" t="s">
        <v>15</v>
      </c>
      <c r="K719" t="s">
        <v>64</v>
      </c>
      <c r="L719" t="s">
        <v>849</v>
      </c>
      <c r="M719">
        <v>11411362</v>
      </c>
    </row>
    <row r="720" spans="1:13" x14ac:dyDescent="0.25">
      <c r="A720" t="s">
        <v>928</v>
      </c>
      <c r="B720" t="str">
        <f>"0902728926797120"</f>
        <v>0902728926797120</v>
      </c>
      <c r="C720">
        <v>926797120</v>
      </c>
      <c r="D720" t="s">
        <v>12</v>
      </c>
      <c r="E720" s="1">
        <v>42370</v>
      </c>
      <c r="G720">
        <v>681.69</v>
      </c>
      <c r="H720">
        <v>159</v>
      </c>
      <c r="I720">
        <v>522.69000000000005</v>
      </c>
      <c r="J720" t="s">
        <v>44</v>
      </c>
      <c r="K720" t="s">
        <v>64</v>
      </c>
      <c r="L720" t="s">
        <v>849</v>
      </c>
      <c r="M720">
        <v>11411362</v>
      </c>
    </row>
    <row r="721" spans="1:14" x14ac:dyDescent="0.25">
      <c r="A721" t="s">
        <v>929</v>
      </c>
      <c r="B721" t="str">
        <f>"0902728956599590"</f>
        <v>0902728956599590</v>
      </c>
      <c r="C721">
        <v>956599590</v>
      </c>
      <c r="D721" t="s">
        <v>12</v>
      </c>
      <c r="E721" s="1">
        <v>42370</v>
      </c>
      <c r="G721">
        <v>691.44</v>
      </c>
      <c r="H721">
        <v>388</v>
      </c>
      <c r="I721">
        <v>303.44</v>
      </c>
      <c r="J721" t="s">
        <v>44</v>
      </c>
      <c r="K721" t="s">
        <v>64</v>
      </c>
      <c r="L721" t="s">
        <v>849</v>
      </c>
      <c r="M721">
        <v>11411362</v>
      </c>
    </row>
    <row r="722" spans="1:14" x14ac:dyDescent="0.25">
      <c r="A722" t="s">
        <v>930</v>
      </c>
      <c r="B722" t="str">
        <f>"0902730909053219"</f>
        <v>0902730909053219</v>
      </c>
      <c r="C722">
        <v>909053219</v>
      </c>
      <c r="D722" t="s">
        <v>38</v>
      </c>
      <c r="E722" s="1">
        <v>42370</v>
      </c>
      <c r="G722">
        <v>421.4</v>
      </c>
      <c r="H722">
        <v>326</v>
      </c>
      <c r="I722">
        <v>95.4</v>
      </c>
      <c r="J722" t="s">
        <v>520</v>
      </c>
      <c r="K722" t="s">
        <v>64</v>
      </c>
      <c r="L722" t="s">
        <v>849</v>
      </c>
      <c r="M722">
        <v>11411362</v>
      </c>
    </row>
    <row r="723" spans="1:14" x14ac:dyDescent="0.25">
      <c r="A723" t="s">
        <v>931</v>
      </c>
      <c r="B723" t="str">
        <f>"0902730946156741"</f>
        <v>0902730946156741</v>
      </c>
      <c r="C723">
        <v>946156741</v>
      </c>
      <c r="D723" t="s">
        <v>38</v>
      </c>
      <c r="E723" s="1">
        <v>42370</v>
      </c>
      <c r="G723">
        <v>409.98</v>
      </c>
      <c r="H723">
        <v>372</v>
      </c>
      <c r="I723">
        <v>37.979999999999997</v>
      </c>
      <c r="J723" t="s">
        <v>49</v>
      </c>
      <c r="K723" t="s">
        <v>64</v>
      </c>
      <c r="L723" t="s">
        <v>849</v>
      </c>
      <c r="M723">
        <v>11411362</v>
      </c>
    </row>
    <row r="724" spans="1:14" x14ac:dyDescent="0.25">
      <c r="A724" t="s">
        <v>932</v>
      </c>
      <c r="B724" t="str">
        <f>"0902730958294436"</f>
        <v>0902730958294436</v>
      </c>
      <c r="C724">
        <v>958294436</v>
      </c>
      <c r="D724" t="s">
        <v>38</v>
      </c>
      <c r="E724" s="1">
        <v>42370</v>
      </c>
      <c r="G724">
        <v>575.72</v>
      </c>
      <c r="H724">
        <v>467</v>
      </c>
      <c r="I724">
        <v>108.72</v>
      </c>
      <c r="J724" t="s">
        <v>520</v>
      </c>
      <c r="K724" t="s">
        <v>64</v>
      </c>
      <c r="L724" t="s">
        <v>849</v>
      </c>
      <c r="M724">
        <v>11411362</v>
      </c>
    </row>
    <row r="725" spans="1:14" x14ac:dyDescent="0.25">
      <c r="A725" t="s">
        <v>933</v>
      </c>
      <c r="B725" t="str">
        <f>"0902730958429418"</f>
        <v>0902730958429418</v>
      </c>
      <c r="C725">
        <v>958429418</v>
      </c>
      <c r="D725" t="s">
        <v>38</v>
      </c>
      <c r="E725" s="1">
        <v>42370</v>
      </c>
      <c r="G725">
        <v>371.45</v>
      </c>
      <c r="H725">
        <v>332</v>
      </c>
      <c r="I725">
        <v>39.450000000000003</v>
      </c>
      <c r="J725" t="s">
        <v>49</v>
      </c>
      <c r="K725" t="s">
        <v>64</v>
      </c>
      <c r="L725" t="s">
        <v>849</v>
      </c>
      <c r="M725">
        <v>11411362</v>
      </c>
    </row>
    <row r="726" spans="1:14" x14ac:dyDescent="0.25">
      <c r="A726" t="s">
        <v>934</v>
      </c>
      <c r="B726" t="str">
        <f>"0902682908722162"</f>
        <v>0902682908722162</v>
      </c>
      <c r="C726">
        <v>908722162</v>
      </c>
      <c r="D726" t="s">
        <v>9</v>
      </c>
      <c r="E726" s="1">
        <v>42309</v>
      </c>
      <c r="G726">
        <v>817.57</v>
      </c>
      <c r="H726" t="str">
        <f>"0.00"</f>
        <v>0.00</v>
      </c>
      <c r="I726">
        <v>967.36</v>
      </c>
      <c r="J726" t="s">
        <v>18</v>
      </c>
      <c r="K726" t="s">
        <v>64</v>
      </c>
      <c r="L726" t="s">
        <v>849</v>
      </c>
      <c r="M726">
        <v>11411362</v>
      </c>
    </row>
    <row r="727" spans="1:14" x14ac:dyDescent="0.25">
      <c r="A727" t="s">
        <v>935</v>
      </c>
      <c r="B727" t="str">
        <f>"0902728965235972"</f>
        <v>0902728965235972</v>
      </c>
      <c r="C727">
        <v>965235972</v>
      </c>
      <c r="D727" t="s">
        <v>12</v>
      </c>
      <c r="E727" s="1">
        <v>42401</v>
      </c>
      <c r="G727">
        <v>222.07</v>
      </c>
      <c r="H727">
        <v>221.96</v>
      </c>
      <c r="I727" t="str">
        <f>"0.11"</f>
        <v>0.11</v>
      </c>
      <c r="J727" t="s">
        <v>8</v>
      </c>
      <c r="K727" t="s">
        <v>64</v>
      </c>
      <c r="L727" t="s">
        <v>849</v>
      </c>
      <c r="M727">
        <v>11411362</v>
      </c>
    </row>
    <row r="728" spans="1:14" x14ac:dyDescent="0.25">
      <c r="A728" t="s">
        <v>936</v>
      </c>
      <c r="B728" t="str">
        <f>"0902726921589142"</f>
        <v>0902726921589142</v>
      </c>
      <c r="C728">
        <v>921589142</v>
      </c>
      <c r="D728" t="s">
        <v>16</v>
      </c>
      <c r="E728" s="1">
        <v>42401</v>
      </c>
      <c r="G728">
        <v>276.97000000000003</v>
      </c>
      <c r="H728">
        <v>168</v>
      </c>
      <c r="I728">
        <v>108.97</v>
      </c>
      <c r="J728" t="s">
        <v>59</v>
      </c>
      <c r="K728" t="s">
        <v>64</v>
      </c>
      <c r="L728" t="s">
        <v>849</v>
      </c>
      <c r="M728">
        <v>11411362</v>
      </c>
    </row>
    <row r="729" spans="1:14" x14ac:dyDescent="0.25">
      <c r="A729" t="s">
        <v>937</v>
      </c>
      <c r="B729" t="str">
        <f>"0902728949321796"</f>
        <v>0902728949321796</v>
      </c>
      <c r="C729">
        <v>949321796</v>
      </c>
      <c r="D729" t="s">
        <v>12</v>
      </c>
      <c r="E729" s="1">
        <v>42401</v>
      </c>
      <c r="G729">
        <v>846.47</v>
      </c>
      <c r="H729">
        <v>832</v>
      </c>
      <c r="I729">
        <v>14.47</v>
      </c>
      <c r="J729" t="s">
        <v>15</v>
      </c>
      <c r="K729" t="s">
        <v>64</v>
      </c>
      <c r="L729" t="s">
        <v>849</v>
      </c>
      <c r="M729">
        <v>11411362</v>
      </c>
      <c r="N729" t="s">
        <v>938</v>
      </c>
    </row>
    <row r="730" spans="1:14" x14ac:dyDescent="0.25">
      <c r="A730" t="s">
        <v>939</v>
      </c>
      <c r="B730" t="str">
        <f>"0902682902327877"</f>
        <v>0902682902327877</v>
      </c>
      <c r="C730">
        <v>902327877</v>
      </c>
      <c r="D730" t="s">
        <v>9</v>
      </c>
      <c r="E730" s="1">
        <v>42401</v>
      </c>
      <c r="G730">
        <v>854.97</v>
      </c>
      <c r="H730">
        <v>836</v>
      </c>
      <c r="I730">
        <v>18.97</v>
      </c>
      <c r="J730" t="s">
        <v>6</v>
      </c>
      <c r="K730" t="s">
        <v>64</v>
      </c>
      <c r="L730" t="s">
        <v>849</v>
      </c>
      <c r="M730">
        <v>11411362</v>
      </c>
      <c r="N730" t="s">
        <v>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2016-01-22T02:30:26Z</dcterms:created>
  <dcterms:modified xsi:type="dcterms:W3CDTF">2016-01-22T17:13:52Z</dcterms:modified>
</cp:coreProperties>
</file>