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GP\6th Semester\PED-2\"/>
    </mc:Choice>
  </mc:AlternateContent>
  <xr:revisionPtr revIDLastSave="0" documentId="13_ncr:1_{2ABFDFCD-09DA-45CA-9AE3-E539790FC8EE}" xr6:coauthVersionLast="47" xr6:coauthVersionMax="47" xr10:uidLastSave="{00000000-0000-0000-0000-000000000000}"/>
  <bookViews>
    <workbookView xWindow="-108" yWindow="-108" windowWidth="23256" windowHeight="12456" activeTab="5" xr2:uid="{AAD58C6C-B592-4E64-A01B-8F5EEC72F605}"/>
  </bookViews>
  <sheets>
    <sheet name="Code Data" sheetId="2" r:id="rId1"/>
    <sheet name="Calculation" sheetId="1" r:id="rId2"/>
    <sheet name="Design_cal" sheetId="4" r:id="rId3"/>
    <sheet name="Cost_table" sheetId="7" r:id="rId4"/>
    <sheet name="Design_cal (3)" sheetId="10" state="hidden" r:id="rId5"/>
    <sheet name="Tray Hydraulics" sheetId="8" r:id="rId6"/>
    <sheet name="Sheet1" sheetId="11" r:id="rId7"/>
    <sheet name="Calculation (2)" sheetId="5" state="hidden" r:id="rId8"/>
    <sheet name="Design_cal (2)" sheetId="6" state="hidden" r:id="rId9"/>
  </sheets>
  <definedNames>
    <definedName name="solver_adj" localSheetId="5" hidden="1">'Tray Hydraulics'!$B$130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'Tray Hydraulics'!$B$129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24.0401</definedName>
    <definedName name="solver_ver" localSheetId="5" hidden="1">3</definedName>
    <definedName name="Tray_space" localSheetId="8">'Design_cal (2)'!$A$36:$A$39</definedName>
    <definedName name="Tray_space" localSheetId="4">'Design_cal (3)'!$A$37:$A$40</definedName>
    <definedName name="Tray_space">Design_cal!$A$37:$A$40</definedName>
    <definedName name="TS_array" localSheetId="8">'Design_cal (2)'!$B$36:$E$39</definedName>
    <definedName name="TS_array" localSheetId="4">'Design_cal (3)'!$B$37:$E$40</definedName>
    <definedName name="TS_array">Design_cal!$B$37:$E$40</definedName>
    <definedName name="TS_constant" localSheetId="8">'Design_cal (2)'!$B$35:$E$35</definedName>
    <definedName name="TS_constant" localSheetId="4">'Design_cal (3)'!$B$36:$E$36</definedName>
    <definedName name="TS_constant">Design_cal!$B$36:$E$36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1" l="1"/>
  <c r="B24" i="11"/>
  <c r="B23" i="11"/>
  <c r="B22" i="11"/>
  <c r="C21" i="11"/>
  <c r="C20" i="11"/>
  <c r="C19" i="11"/>
  <c r="C18" i="11"/>
  <c r="C17" i="11"/>
  <c r="C16" i="11"/>
  <c r="C15" i="11"/>
  <c r="C14" i="11"/>
  <c r="C13" i="11"/>
  <c r="B12" i="11"/>
  <c r="B11" i="11"/>
  <c r="B10" i="11"/>
  <c r="B8" i="11"/>
  <c r="B7" i="11"/>
  <c r="B6" i="11"/>
  <c r="B4" i="11"/>
  <c r="B3" i="11"/>
  <c r="B2" i="11"/>
  <c r="B1" i="11"/>
  <c r="B71" i="8"/>
  <c r="B99" i="8"/>
  <c r="B79" i="8"/>
  <c r="B80" i="8" s="1"/>
  <c r="B58" i="8"/>
  <c r="B82" i="8"/>
  <c r="B62" i="8"/>
  <c r="B24" i="8"/>
  <c r="B26" i="8"/>
  <c r="B31" i="8" s="1"/>
  <c r="A66" i="8"/>
  <c r="A33" i="8"/>
  <c r="B173" i="4"/>
  <c r="B134" i="4" l="1"/>
  <c r="B119" i="4"/>
  <c r="M245" i="10"/>
  <c r="J245" i="10"/>
  <c r="I245" i="10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G24" i="7"/>
  <c r="E24" i="7"/>
  <c r="D24" i="7"/>
  <c r="C24" i="7"/>
  <c r="G23" i="7"/>
  <c r="E23" i="7"/>
  <c r="D23" i="7"/>
  <c r="C23" i="7"/>
  <c r="G22" i="7"/>
  <c r="E22" i="7"/>
  <c r="D22" i="7"/>
  <c r="C22" i="7"/>
  <c r="G21" i="7"/>
  <c r="E21" i="7"/>
  <c r="D21" i="7"/>
  <c r="C21" i="7"/>
  <c r="G20" i="7"/>
  <c r="E20" i="7"/>
  <c r="D20" i="7"/>
  <c r="C20" i="7"/>
  <c r="G19" i="7"/>
  <c r="E19" i="7"/>
  <c r="D19" i="7"/>
  <c r="C19" i="7"/>
  <c r="G18" i="7"/>
  <c r="E18" i="7"/>
  <c r="D18" i="7"/>
  <c r="C18" i="7"/>
  <c r="G17" i="7"/>
  <c r="E17" i="7"/>
  <c r="D17" i="7"/>
  <c r="C17" i="7"/>
  <c r="G16" i="7"/>
  <c r="E16" i="7"/>
  <c r="D16" i="7"/>
  <c r="C16" i="7"/>
  <c r="G15" i="7"/>
  <c r="E15" i="7"/>
  <c r="D15" i="7"/>
  <c r="C15" i="7"/>
  <c r="G14" i="7"/>
  <c r="E14" i="7"/>
  <c r="D14" i="7"/>
  <c r="C14" i="7"/>
  <c r="G13" i="7"/>
  <c r="E13" i="7"/>
  <c r="D13" i="7"/>
  <c r="C13" i="7"/>
  <c r="G12" i="7"/>
  <c r="E12" i="7"/>
  <c r="D12" i="7"/>
  <c r="C12" i="7"/>
  <c r="G11" i="7"/>
  <c r="E11" i="7"/>
  <c r="D11" i="7"/>
  <c r="C11" i="7"/>
  <c r="G10" i="7"/>
  <c r="E10" i="7"/>
  <c r="D10" i="7"/>
  <c r="C10" i="7"/>
  <c r="G9" i="7"/>
  <c r="E9" i="7"/>
  <c r="D9" i="7"/>
  <c r="C9" i="7"/>
  <c r="G8" i="7"/>
  <c r="E8" i="7"/>
  <c r="D8" i="7"/>
  <c r="C8" i="7"/>
  <c r="G7" i="7"/>
  <c r="E7" i="7"/>
  <c r="D7" i="7"/>
  <c r="C7" i="7"/>
  <c r="G6" i="7"/>
  <c r="E6" i="7"/>
  <c r="D6" i="7"/>
  <c r="C6" i="7"/>
  <c r="G5" i="7"/>
  <c r="E5" i="7"/>
  <c r="D5" i="7"/>
  <c r="C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16" i="1"/>
  <c r="B167" i="10"/>
  <c r="B160" i="10"/>
  <c r="B159" i="10"/>
  <c r="B158" i="10"/>
  <c r="B157" i="10"/>
  <c r="B156" i="10"/>
  <c r="B144" i="10"/>
  <c r="B143" i="10"/>
  <c r="B142" i="10"/>
  <c r="B141" i="10"/>
  <c r="B135" i="10"/>
  <c r="B134" i="10"/>
  <c r="C127" i="10"/>
  <c r="B127" i="10"/>
  <c r="B119" i="10"/>
  <c r="B118" i="10"/>
  <c r="B99" i="10"/>
  <c r="B98" i="10"/>
  <c r="B97" i="10"/>
  <c r="B96" i="10"/>
  <c r="B95" i="10"/>
  <c r="B91" i="10"/>
  <c r="B89" i="10"/>
  <c r="B83" i="10"/>
  <c r="B81" i="10"/>
  <c r="B79" i="10"/>
  <c r="M252" i="10" s="1"/>
  <c r="B77" i="10"/>
  <c r="B76" i="10"/>
  <c r="B58" i="10"/>
  <c r="B20" i="10"/>
  <c r="B8" i="10"/>
  <c r="B7" i="10"/>
  <c r="B4" i="10" s="1"/>
  <c r="B3" i="10"/>
  <c r="B176" i="8"/>
  <c r="A164" i="8"/>
  <c r="M258" i="10" l="1"/>
  <c r="B84" i="10"/>
  <c r="B85" i="10" s="1"/>
  <c r="M259" i="10"/>
  <c r="M251" i="10"/>
  <c r="M250" i="10"/>
  <c r="M257" i="10"/>
  <c r="M249" i="10"/>
  <c r="M264" i="10"/>
  <c r="M256" i="10"/>
  <c r="M248" i="10"/>
  <c r="M263" i="10"/>
  <c r="M255" i="10"/>
  <c r="M247" i="10"/>
  <c r="M262" i="10"/>
  <c r="M254" i="10"/>
  <c r="M246" i="10"/>
  <c r="M261" i="10"/>
  <c r="M253" i="10"/>
  <c r="M260" i="10"/>
  <c r="B25" i="10"/>
  <c r="B5" i="10"/>
  <c r="C7" i="10"/>
  <c r="B130" i="10" s="1"/>
  <c r="C8" i="10"/>
  <c r="B128" i="10"/>
  <c r="A156" i="8"/>
  <c r="B155" i="8"/>
  <c r="A151" i="8"/>
  <c r="B134" i="8"/>
  <c r="B117" i="8"/>
  <c r="A116" i="8"/>
  <c r="B98" i="8"/>
  <c r="A93" i="8"/>
  <c r="B8" i="8"/>
  <c r="B45" i="8"/>
  <c r="B72" i="8"/>
  <c r="B63" i="8"/>
  <c r="B51" i="8"/>
  <c r="B69" i="8" s="1"/>
  <c r="B46" i="8"/>
  <c r="B43" i="8"/>
  <c r="B42" i="8"/>
  <c r="B41" i="8"/>
  <c r="B40" i="8"/>
  <c r="B38" i="8"/>
  <c r="B36" i="8"/>
  <c r="B37" i="8" s="1"/>
  <c r="B34" i="8"/>
  <c r="B14" i="8"/>
  <c r="C29" i="1"/>
  <c r="B29" i="1"/>
  <c r="C44" i="1"/>
  <c r="B44" i="1"/>
  <c r="H208" i="6"/>
  <c r="B161" i="6"/>
  <c r="B154" i="6"/>
  <c r="B153" i="6"/>
  <c r="B152" i="6"/>
  <c r="B151" i="6"/>
  <c r="B150" i="6"/>
  <c r="B143" i="6"/>
  <c r="B142" i="6"/>
  <c r="B141" i="6"/>
  <c r="B140" i="6"/>
  <c r="B134" i="6"/>
  <c r="B133" i="6"/>
  <c r="C126" i="6"/>
  <c r="B126" i="6"/>
  <c r="B118" i="6"/>
  <c r="B117" i="6"/>
  <c r="B98" i="6"/>
  <c r="B97" i="6"/>
  <c r="B96" i="6"/>
  <c r="B95" i="6"/>
  <c r="B94" i="6"/>
  <c r="B90" i="6"/>
  <c r="B88" i="6"/>
  <c r="B82" i="6"/>
  <c r="B80" i="6"/>
  <c r="B78" i="6"/>
  <c r="H245" i="6" s="1"/>
  <c r="B76" i="6"/>
  <c r="B75" i="6"/>
  <c r="B83" i="6" s="1"/>
  <c r="B84" i="6" s="1"/>
  <c r="B56" i="6"/>
  <c r="B21" i="6"/>
  <c r="B8" i="6"/>
  <c r="B5" i="6" s="1"/>
  <c r="B7" i="6"/>
  <c r="A99" i="5"/>
  <c r="A100" i="5" s="1"/>
  <c r="A98" i="5"/>
  <c r="B90" i="5"/>
  <c r="B56" i="5"/>
  <c r="C55" i="5"/>
  <c r="B58" i="5" s="1"/>
  <c r="B55" i="5"/>
  <c r="C48" i="5"/>
  <c r="D56" i="5" s="1"/>
  <c r="B48" i="5"/>
  <c r="C56" i="5" s="1"/>
  <c r="B59" i="5" s="1"/>
  <c r="B42" i="5"/>
  <c r="C30" i="5"/>
  <c r="B30" i="5"/>
  <c r="C29" i="5"/>
  <c r="D55" i="5" s="1"/>
  <c r="B29" i="5"/>
  <c r="C28" i="5"/>
  <c r="B28" i="5"/>
  <c r="C27" i="5"/>
  <c r="B27" i="5"/>
  <c r="B7" i="5"/>
  <c r="B26" i="5" s="1"/>
  <c r="B6" i="5"/>
  <c r="B25" i="5" s="1"/>
  <c r="B1" i="5"/>
  <c r="B13" i="5" s="1"/>
  <c r="B99" i="4"/>
  <c r="B98" i="4"/>
  <c r="B97" i="4"/>
  <c r="B96" i="4"/>
  <c r="B95" i="4"/>
  <c r="B160" i="4"/>
  <c r="B159" i="4"/>
  <c r="B158" i="4"/>
  <c r="B157" i="4"/>
  <c r="B156" i="4"/>
  <c r="B144" i="4"/>
  <c r="B143" i="4"/>
  <c r="B142" i="4"/>
  <c r="B141" i="4"/>
  <c r="B135" i="4"/>
  <c r="B34" i="1"/>
  <c r="C127" i="4"/>
  <c r="B127" i="4"/>
  <c r="B17" i="8" l="1"/>
  <c r="B110" i="10"/>
  <c r="B131" i="10"/>
  <c r="B112" i="10"/>
  <c r="B111" i="10"/>
  <c r="B39" i="8"/>
  <c r="B70" i="8" s="1"/>
  <c r="B55" i="8"/>
  <c r="H230" i="6"/>
  <c r="H494" i="6"/>
  <c r="H486" i="6"/>
  <c r="H478" i="6"/>
  <c r="H470" i="6"/>
  <c r="H462" i="6"/>
  <c r="H454" i="6"/>
  <c r="H489" i="6"/>
  <c r="H481" i="6"/>
  <c r="H473" i="6"/>
  <c r="H465" i="6"/>
  <c r="H457" i="6"/>
  <c r="H490" i="6"/>
  <c r="H482" i="6"/>
  <c r="H474" i="6"/>
  <c r="H466" i="6"/>
  <c r="H458" i="6"/>
  <c r="H493" i="6"/>
  <c r="H485" i="6"/>
  <c r="H477" i="6"/>
  <c r="H469" i="6"/>
  <c r="H461" i="6"/>
  <c r="H453" i="6"/>
  <c r="H487" i="6"/>
  <c r="H471" i="6"/>
  <c r="H455" i="6"/>
  <c r="H450" i="6"/>
  <c r="H442" i="6"/>
  <c r="H434" i="6"/>
  <c r="H488" i="6"/>
  <c r="H472" i="6"/>
  <c r="H456" i="6"/>
  <c r="H451" i="6"/>
  <c r="H443" i="6"/>
  <c r="H435" i="6"/>
  <c r="H491" i="6"/>
  <c r="H475" i="6"/>
  <c r="H459" i="6"/>
  <c r="H444" i="6"/>
  <c r="H436" i="6"/>
  <c r="H492" i="6"/>
  <c r="H476" i="6"/>
  <c r="H460" i="6"/>
  <c r="H445" i="6"/>
  <c r="H437" i="6"/>
  <c r="H495" i="6"/>
  <c r="H479" i="6"/>
  <c r="H463" i="6"/>
  <c r="H446" i="6"/>
  <c r="H438" i="6"/>
  <c r="H430" i="6"/>
  <c r="H496" i="6"/>
  <c r="H480" i="6"/>
  <c r="H464" i="6"/>
  <c r="H447" i="6"/>
  <c r="H439" i="6"/>
  <c r="H431" i="6"/>
  <c r="H483" i="6"/>
  <c r="H467" i="6"/>
  <c r="H448" i="6"/>
  <c r="H440" i="6"/>
  <c r="H432" i="6"/>
  <c r="H484" i="6"/>
  <c r="H468" i="6"/>
  <c r="H452" i="6"/>
  <c r="H449" i="6"/>
  <c r="H441" i="6"/>
  <c r="H433" i="6"/>
  <c r="H426" i="6"/>
  <c r="H418" i="6"/>
  <c r="H410" i="6"/>
  <c r="H402" i="6"/>
  <c r="H394" i="6"/>
  <c r="H386" i="6"/>
  <c r="H427" i="6"/>
  <c r="H419" i="6"/>
  <c r="H411" i="6"/>
  <c r="H403" i="6"/>
  <c r="H395" i="6"/>
  <c r="H387" i="6"/>
  <c r="H428" i="6"/>
  <c r="H420" i="6"/>
  <c r="H412" i="6"/>
  <c r="H404" i="6"/>
  <c r="H396" i="6"/>
  <c r="H388" i="6"/>
  <c r="H429" i="6"/>
  <c r="H421" i="6"/>
  <c r="H413" i="6"/>
  <c r="H405" i="6"/>
  <c r="H397" i="6"/>
  <c r="H389" i="6"/>
  <c r="H422" i="6"/>
  <c r="H414" i="6"/>
  <c r="H406" i="6"/>
  <c r="H398" i="6"/>
  <c r="H390" i="6"/>
  <c r="H423" i="6"/>
  <c r="H415" i="6"/>
  <c r="H407" i="6"/>
  <c r="H399" i="6"/>
  <c r="H391" i="6"/>
  <c r="H424" i="6"/>
  <c r="H416" i="6"/>
  <c r="H408" i="6"/>
  <c r="H400" i="6"/>
  <c r="H392" i="6"/>
  <c r="H425" i="6"/>
  <c r="H417" i="6"/>
  <c r="H409" i="6"/>
  <c r="H401" i="6"/>
  <c r="H393" i="6"/>
  <c r="H382" i="6"/>
  <c r="H374" i="6"/>
  <c r="H366" i="6"/>
  <c r="H358" i="6"/>
  <c r="H350" i="6"/>
  <c r="H342" i="6"/>
  <c r="H383" i="6"/>
  <c r="H375" i="6"/>
  <c r="H367" i="6"/>
  <c r="H359" i="6"/>
  <c r="H351" i="6"/>
  <c r="H343" i="6"/>
  <c r="H385" i="6"/>
  <c r="H376" i="6"/>
  <c r="H368" i="6"/>
  <c r="H360" i="6"/>
  <c r="H352" i="6"/>
  <c r="H344" i="6"/>
  <c r="H384" i="6"/>
  <c r="H377" i="6"/>
  <c r="H369" i="6"/>
  <c r="H361" i="6"/>
  <c r="H353" i="6"/>
  <c r="H345" i="6"/>
  <c r="H378" i="6"/>
  <c r="H370" i="6"/>
  <c r="H362" i="6"/>
  <c r="H354" i="6"/>
  <c r="H346" i="6"/>
  <c r="H379" i="6"/>
  <c r="H371" i="6"/>
  <c r="H363" i="6"/>
  <c r="H355" i="6"/>
  <c r="H347" i="6"/>
  <c r="H380" i="6"/>
  <c r="H372" i="6"/>
  <c r="H364" i="6"/>
  <c r="H356" i="6"/>
  <c r="H348" i="6"/>
  <c r="H381" i="6"/>
  <c r="H337" i="6"/>
  <c r="H329" i="6"/>
  <c r="H321" i="6"/>
  <c r="H313" i="6"/>
  <c r="H305" i="6"/>
  <c r="H338" i="6"/>
  <c r="H330" i="6"/>
  <c r="H322" i="6"/>
  <c r="H314" i="6"/>
  <c r="H306" i="6"/>
  <c r="H339" i="6"/>
  <c r="H331" i="6"/>
  <c r="H323" i="6"/>
  <c r="H315" i="6"/>
  <c r="H307" i="6"/>
  <c r="H341" i="6"/>
  <c r="H340" i="6"/>
  <c r="H332" i="6"/>
  <c r="H324" i="6"/>
  <c r="H316" i="6"/>
  <c r="H308" i="6"/>
  <c r="H349" i="6"/>
  <c r="H333" i="6"/>
  <c r="H325" i="6"/>
  <c r="H317" i="6"/>
  <c r="H309" i="6"/>
  <c r="H301" i="6"/>
  <c r="H357" i="6"/>
  <c r="H334" i="6"/>
  <c r="H326" i="6"/>
  <c r="H318" i="6"/>
  <c r="H310" i="6"/>
  <c r="H365" i="6"/>
  <c r="H335" i="6"/>
  <c r="H327" i="6"/>
  <c r="H319" i="6"/>
  <c r="H311" i="6"/>
  <c r="H320" i="6"/>
  <c r="H295" i="6"/>
  <c r="H287" i="6"/>
  <c r="H279" i="6"/>
  <c r="H271" i="6"/>
  <c r="H263" i="6"/>
  <c r="H255" i="6"/>
  <c r="H328" i="6"/>
  <c r="H296" i="6"/>
  <c r="H288" i="6"/>
  <c r="H280" i="6"/>
  <c r="H272" i="6"/>
  <c r="H264" i="6"/>
  <c r="H256" i="6"/>
  <c r="H373" i="6"/>
  <c r="H336" i="6"/>
  <c r="H297" i="6"/>
  <c r="H289" i="6"/>
  <c r="H281" i="6"/>
  <c r="H273" i="6"/>
  <c r="H265" i="6"/>
  <c r="H257" i="6"/>
  <c r="H304" i="6"/>
  <c r="H298" i="6"/>
  <c r="H290" i="6"/>
  <c r="H282" i="6"/>
  <c r="H274" i="6"/>
  <c r="H266" i="6"/>
  <c r="H302" i="6"/>
  <c r="H299" i="6"/>
  <c r="H291" i="6"/>
  <c r="H283" i="6"/>
  <c r="H275" i="6"/>
  <c r="H267" i="6"/>
  <c r="H259" i="6"/>
  <c r="H251" i="6"/>
  <c r="H300" i="6"/>
  <c r="H292" i="6"/>
  <c r="H284" i="6"/>
  <c r="H276" i="6"/>
  <c r="H268" i="6"/>
  <c r="H293" i="6"/>
  <c r="H285" i="6"/>
  <c r="H277" i="6"/>
  <c r="H269" i="6"/>
  <c r="H294" i="6"/>
  <c r="H247" i="6"/>
  <c r="H239" i="6"/>
  <c r="H231" i="6"/>
  <c r="H223" i="6"/>
  <c r="H215" i="6"/>
  <c r="H260" i="6"/>
  <c r="H248" i="6"/>
  <c r="H240" i="6"/>
  <c r="H232" i="6"/>
  <c r="H224" i="6"/>
  <c r="H303" i="6"/>
  <c r="H252" i="6"/>
  <c r="H249" i="6"/>
  <c r="H241" i="6"/>
  <c r="H233" i="6"/>
  <c r="H225" i="6"/>
  <c r="H217" i="6"/>
  <c r="H253" i="6"/>
  <c r="H250" i="6"/>
  <c r="H242" i="6"/>
  <c r="H234" i="6"/>
  <c r="H226" i="6"/>
  <c r="H261" i="6"/>
  <c r="H254" i="6"/>
  <c r="H243" i="6"/>
  <c r="H235" i="6"/>
  <c r="H227" i="6"/>
  <c r="H270" i="6"/>
  <c r="H258" i="6"/>
  <c r="H244" i="6"/>
  <c r="H236" i="6"/>
  <c r="H228" i="6"/>
  <c r="H220" i="6"/>
  <c r="H262" i="6"/>
  <c r="H237" i="6"/>
  <c r="H278" i="6"/>
  <c r="C7" i="6"/>
  <c r="B109" i="6" s="1"/>
  <c r="H216" i="6"/>
  <c r="H212" i="6"/>
  <c r="H246" i="6"/>
  <c r="H207" i="6"/>
  <c r="H213" i="6"/>
  <c r="H211" i="6"/>
  <c r="H229" i="6"/>
  <c r="B110" i="6"/>
  <c r="B4" i="6"/>
  <c r="B129" i="6"/>
  <c r="H210" i="6"/>
  <c r="H218" i="6"/>
  <c r="H238" i="6"/>
  <c r="H286" i="6"/>
  <c r="H312" i="6"/>
  <c r="H222" i="6"/>
  <c r="C8" i="6"/>
  <c r="B130" i="6" s="1"/>
  <c r="H209" i="6"/>
  <c r="H214" i="6"/>
  <c r="H219" i="6"/>
  <c r="H221" i="6"/>
  <c r="B61" i="5"/>
  <c r="C26" i="5"/>
  <c r="C51" i="5" s="1"/>
  <c r="B44" i="5"/>
  <c r="B46" i="5" s="1"/>
  <c r="B43" i="5"/>
  <c r="C25" i="5"/>
  <c r="C46" i="5" s="1"/>
  <c r="A101" i="5"/>
  <c r="B9" i="5"/>
  <c r="B10" i="5"/>
  <c r="B4" i="5"/>
  <c r="B118" i="4"/>
  <c r="B91" i="4"/>
  <c r="B89" i="4"/>
  <c r="C52" i="1"/>
  <c r="B33" i="1"/>
  <c r="C33" i="1"/>
  <c r="B76" i="4"/>
  <c r="B81" i="4"/>
  <c r="B83" i="4"/>
  <c r="B79" i="4"/>
  <c r="M249" i="4" s="1"/>
  <c r="I5" i="7" s="1"/>
  <c r="B77" i="4"/>
  <c r="B58" i="4"/>
  <c r="B8" i="4"/>
  <c r="C8" i="4" s="1"/>
  <c r="B7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" i="2"/>
  <c r="A104" i="1"/>
  <c r="A105" i="1" s="1"/>
  <c r="B96" i="1"/>
  <c r="B10" i="1"/>
  <c r="C51" i="1"/>
  <c r="G65" i="2"/>
  <c r="B52" i="1"/>
  <c r="B51" i="1"/>
  <c r="M253" i="4" l="1"/>
  <c r="I9" i="7" s="1"/>
  <c r="M261" i="4"/>
  <c r="I17" i="7" s="1"/>
  <c r="M252" i="4"/>
  <c r="I8" i="7" s="1"/>
  <c r="M260" i="4"/>
  <c r="I16" i="7" s="1"/>
  <c r="M268" i="4"/>
  <c r="I24" i="7" s="1"/>
  <c r="M251" i="4"/>
  <c r="I7" i="7" s="1"/>
  <c r="M259" i="4"/>
  <c r="I15" i="7" s="1"/>
  <c r="M267" i="4"/>
  <c r="I23" i="7" s="1"/>
  <c r="M250" i="4"/>
  <c r="I6" i="7" s="1"/>
  <c r="M258" i="4"/>
  <c r="I14" i="7" s="1"/>
  <c r="M266" i="4"/>
  <c r="I22" i="7" s="1"/>
  <c r="M256" i="4"/>
  <c r="I12" i="7" s="1"/>
  <c r="M264" i="4"/>
  <c r="I20" i="7" s="1"/>
  <c r="M255" i="4"/>
  <c r="I11" i="7" s="1"/>
  <c r="M263" i="4"/>
  <c r="I19" i="7" s="1"/>
  <c r="M262" i="4"/>
  <c r="I18" i="7" s="1"/>
  <c r="M254" i="4"/>
  <c r="I10" i="7" s="1"/>
  <c r="M265" i="4"/>
  <c r="I21" i="7" s="1"/>
  <c r="M257" i="4"/>
  <c r="I13" i="7" s="1"/>
  <c r="C97" i="8"/>
  <c r="B102" i="8"/>
  <c r="B57" i="8"/>
  <c r="B91" i="8"/>
  <c r="C7" i="4"/>
  <c r="B110" i="4" s="1"/>
  <c r="B111" i="6"/>
  <c r="B78" i="5"/>
  <c r="B101" i="5" s="1"/>
  <c r="B5" i="5"/>
  <c r="B12" i="5"/>
  <c r="B14" i="5" s="1"/>
  <c r="B77" i="5"/>
  <c r="A102" i="5"/>
  <c r="B131" i="4"/>
  <c r="B130" i="4"/>
  <c r="B4" i="4"/>
  <c r="B84" i="4"/>
  <c r="B85" i="4" s="1"/>
  <c r="B5" i="4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C34" i="1"/>
  <c r="D51" i="1" s="1"/>
  <c r="B54" i="1" s="1"/>
  <c r="B11" i="1"/>
  <c r="B14" i="1" s="1"/>
  <c r="B13" i="1"/>
  <c r="B17" i="1"/>
  <c r="D52" i="1"/>
  <c r="B55" i="1" s="1"/>
  <c r="B111" i="4" l="1"/>
  <c r="B112" i="4"/>
  <c r="B102" i="5"/>
  <c r="A103" i="5"/>
  <c r="C101" i="5"/>
  <c r="C102" i="5"/>
  <c r="B15" i="5"/>
  <c r="B16" i="5" s="1"/>
  <c r="B8" i="5"/>
  <c r="B11" i="5" s="1"/>
  <c r="B51" i="5" s="1"/>
  <c r="B86" i="5"/>
  <c r="B80" i="5"/>
  <c r="B81" i="5" s="1"/>
  <c r="B82" i="5" s="1"/>
  <c r="B98" i="5"/>
  <c r="C98" i="5" s="1"/>
  <c r="D98" i="5" s="1"/>
  <c r="B100" i="5"/>
  <c r="C100" i="5" s="1"/>
  <c r="D100" i="5" s="1"/>
  <c r="B99" i="5"/>
  <c r="C99" i="5" s="1"/>
  <c r="D99" i="5" s="1"/>
  <c r="B32" i="1"/>
  <c r="B31" i="1"/>
  <c r="B57" i="1"/>
  <c r="B8" i="1"/>
  <c r="C42" i="1" l="1"/>
  <c r="C32" i="1"/>
  <c r="C47" i="1" s="1"/>
  <c r="E100" i="5"/>
  <c r="F100" i="5" s="1"/>
  <c r="B93" i="5"/>
  <c r="B92" i="5"/>
  <c r="E99" i="5"/>
  <c r="F99" i="5" s="1"/>
  <c r="E98" i="5"/>
  <c r="F98" i="5" s="1"/>
  <c r="D101" i="5"/>
  <c r="A104" i="5"/>
  <c r="B103" i="5"/>
  <c r="C103" i="5" s="1"/>
  <c r="D103" i="5" s="1"/>
  <c r="D102" i="5"/>
  <c r="B18" i="1"/>
  <c r="B10" i="10" s="1"/>
  <c r="B11" i="10" s="1"/>
  <c r="C31" i="1"/>
  <c r="B40" i="1" s="1"/>
  <c r="B42" i="1" s="1"/>
  <c r="B9" i="1"/>
  <c r="B127" i="6" s="1"/>
  <c r="B19" i="1" l="1"/>
  <c r="B12" i="10" s="1"/>
  <c r="B3" i="4"/>
  <c r="B3" i="6"/>
  <c r="E102" i="5"/>
  <c r="F102" i="5" s="1"/>
  <c r="E103" i="5"/>
  <c r="F103" i="5" s="1"/>
  <c r="B104" i="5"/>
  <c r="C104" i="5" s="1"/>
  <c r="D104" i="5" s="1"/>
  <c r="A105" i="5"/>
  <c r="E101" i="5"/>
  <c r="F101" i="5" s="1"/>
  <c r="B12" i="1"/>
  <c r="B15" i="1" s="1"/>
  <c r="B128" i="4"/>
  <c r="B83" i="1"/>
  <c r="B84" i="1"/>
  <c r="B20" i="6" s="1"/>
  <c r="B92" i="1"/>
  <c r="B16" i="10" l="1"/>
  <c r="B17" i="10" s="1"/>
  <c r="B23" i="10"/>
  <c r="B27" i="10" s="1"/>
  <c r="B24" i="10"/>
  <c r="B26" i="10"/>
  <c r="I255" i="10" s="1"/>
  <c r="J255" i="10" s="1"/>
  <c r="K255" i="10" s="1"/>
  <c r="L255" i="10" s="1"/>
  <c r="N255" i="10" s="1"/>
  <c r="B114" i="10"/>
  <c r="B113" i="10"/>
  <c r="B47" i="1"/>
  <c r="B10" i="4"/>
  <c r="B11" i="4" s="1"/>
  <c r="B10" i="6"/>
  <c r="B11" i="6" s="1"/>
  <c r="B25" i="4"/>
  <c r="B25" i="6"/>
  <c r="F104" i="5"/>
  <c r="E104" i="5"/>
  <c r="B105" i="5"/>
  <c r="C105" i="5" s="1"/>
  <c r="D105" i="5" s="1"/>
  <c r="A106" i="5"/>
  <c r="B12" i="6"/>
  <c r="B112" i="6" s="1"/>
  <c r="B126" i="1"/>
  <c r="C126" i="1" s="1"/>
  <c r="D126" i="1" s="1"/>
  <c r="E126" i="1" s="1"/>
  <c r="F126" i="1" s="1"/>
  <c r="B20" i="4"/>
  <c r="B86" i="1"/>
  <c r="B87" i="1" s="1"/>
  <c r="B88" i="1" s="1"/>
  <c r="B104" i="1"/>
  <c r="C104" i="1" s="1"/>
  <c r="D104" i="1" s="1"/>
  <c r="B105" i="1"/>
  <c r="C105" i="1" s="1"/>
  <c r="D105" i="1" s="1"/>
  <c r="E105" i="1" s="1"/>
  <c r="F105" i="1" s="1"/>
  <c r="B109" i="1"/>
  <c r="C109" i="1" s="1"/>
  <c r="D109" i="1" s="1"/>
  <c r="E109" i="1" s="1"/>
  <c r="F109" i="1" s="1"/>
  <c r="B107" i="1"/>
  <c r="C107" i="1" s="1"/>
  <c r="D107" i="1" s="1"/>
  <c r="B110" i="1"/>
  <c r="C110" i="1" s="1"/>
  <c r="D110" i="1" s="1"/>
  <c r="E110" i="1" s="1"/>
  <c r="F110" i="1" s="1"/>
  <c r="B119" i="1"/>
  <c r="C119" i="1" s="1"/>
  <c r="D119" i="1" s="1"/>
  <c r="E119" i="1" s="1"/>
  <c r="F119" i="1" s="1"/>
  <c r="B117" i="1"/>
  <c r="C117" i="1" s="1"/>
  <c r="D117" i="1" s="1"/>
  <c r="E117" i="1" s="1"/>
  <c r="F117" i="1" s="1"/>
  <c r="B120" i="1"/>
  <c r="C120" i="1" s="1"/>
  <c r="D120" i="1" s="1"/>
  <c r="B122" i="1"/>
  <c r="C122" i="1" s="1"/>
  <c r="D122" i="1" s="1"/>
  <c r="B113" i="1"/>
  <c r="C113" i="1" s="1"/>
  <c r="D113" i="1" s="1"/>
  <c r="E113" i="1" s="1"/>
  <c r="F113" i="1" s="1"/>
  <c r="B116" i="1"/>
  <c r="C116" i="1" s="1"/>
  <c r="D116" i="1" s="1"/>
  <c r="E116" i="1" s="1"/>
  <c r="F116" i="1" s="1"/>
  <c r="B124" i="1"/>
  <c r="C124" i="1" s="1"/>
  <c r="D124" i="1" s="1"/>
  <c r="E124" i="1" s="1"/>
  <c r="F124" i="1" s="1"/>
  <c r="B111" i="1"/>
  <c r="C111" i="1" s="1"/>
  <c r="D111" i="1" s="1"/>
  <c r="E111" i="1" s="1"/>
  <c r="F111" i="1" s="1"/>
  <c r="B112" i="1"/>
  <c r="C112" i="1" s="1"/>
  <c r="D112" i="1" s="1"/>
  <c r="E112" i="1" s="1"/>
  <c r="F112" i="1" s="1"/>
  <c r="B114" i="1"/>
  <c r="C114" i="1" s="1"/>
  <c r="D114" i="1" s="1"/>
  <c r="B115" i="1"/>
  <c r="C115" i="1" s="1"/>
  <c r="D115" i="1" s="1"/>
  <c r="E115" i="1" s="1"/>
  <c r="F115" i="1" s="1"/>
  <c r="B121" i="1"/>
  <c r="C121" i="1" s="1"/>
  <c r="D121" i="1" s="1"/>
  <c r="E121" i="1" s="1"/>
  <c r="F121" i="1" s="1"/>
  <c r="B118" i="1"/>
  <c r="C118" i="1" s="1"/>
  <c r="D118" i="1" s="1"/>
  <c r="E118" i="1" s="1"/>
  <c r="F118" i="1" s="1"/>
  <c r="B106" i="1"/>
  <c r="C106" i="1" s="1"/>
  <c r="D106" i="1" s="1"/>
  <c r="E106" i="1" s="1"/>
  <c r="F106" i="1" s="1"/>
  <c r="B108" i="1"/>
  <c r="C108" i="1" s="1"/>
  <c r="D108" i="1" s="1"/>
  <c r="E108" i="1" s="1"/>
  <c r="F108" i="1" s="1"/>
  <c r="B123" i="1"/>
  <c r="C123" i="1" s="1"/>
  <c r="D123" i="1" s="1"/>
  <c r="E123" i="1" s="1"/>
  <c r="F123" i="1" s="1"/>
  <c r="B125" i="1"/>
  <c r="C125" i="1" s="1"/>
  <c r="D125" i="1" s="1"/>
  <c r="E125" i="1" s="1"/>
  <c r="F125" i="1" s="1"/>
  <c r="B127" i="1"/>
  <c r="C127" i="1" s="1"/>
  <c r="D127" i="1" s="1"/>
  <c r="I258" i="10" l="1"/>
  <c r="J258" i="10" s="1"/>
  <c r="K258" i="10" s="1"/>
  <c r="L258" i="10" s="1"/>
  <c r="N258" i="10" s="1"/>
  <c r="I253" i="10"/>
  <c r="J253" i="10" s="1"/>
  <c r="K253" i="10" s="1"/>
  <c r="L253" i="10" s="1"/>
  <c r="N253" i="10" s="1"/>
  <c r="I247" i="10"/>
  <c r="J247" i="10" s="1"/>
  <c r="K247" i="10" s="1"/>
  <c r="L247" i="10" s="1"/>
  <c r="N247" i="10" s="1"/>
  <c r="I259" i="10"/>
  <c r="J259" i="10" s="1"/>
  <c r="K259" i="10" s="1"/>
  <c r="L259" i="10" s="1"/>
  <c r="N259" i="10" s="1"/>
  <c r="I264" i="10"/>
  <c r="J264" i="10" s="1"/>
  <c r="K264" i="10" s="1"/>
  <c r="L264" i="10" s="1"/>
  <c r="N264" i="10" s="1"/>
  <c r="I260" i="10"/>
  <c r="J260" i="10" s="1"/>
  <c r="K260" i="10" s="1"/>
  <c r="L260" i="10" s="1"/>
  <c r="N260" i="10" s="1"/>
  <c r="I263" i="10"/>
  <c r="J263" i="10" s="1"/>
  <c r="K263" i="10" s="1"/>
  <c r="L263" i="10" s="1"/>
  <c r="N263" i="10" s="1"/>
  <c r="I252" i="10"/>
  <c r="J252" i="10" s="1"/>
  <c r="K252" i="10" s="1"/>
  <c r="L252" i="10" s="1"/>
  <c r="N252" i="10" s="1"/>
  <c r="B32" i="10"/>
  <c r="B33" i="10" s="1"/>
  <c r="B45" i="10" s="1"/>
  <c r="B46" i="10" s="1"/>
  <c r="B56" i="10" s="1"/>
  <c r="B62" i="10" s="1"/>
  <c r="B63" i="10" s="1"/>
  <c r="B67" i="10" s="1"/>
  <c r="B28" i="10"/>
  <c r="B29" i="10" s="1"/>
  <c r="I261" i="10"/>
  <c r="J261" i="10" s="1"/>
  <c r="K261" i="10" s="1"/>
  <c r="L261" i="10" s="1"/>
  <c r="N261" i="10" s="1"/>
  <c r="I256" i="10"/>
  <c r="J256" i="10" s="1"/>
  <c r="K256" i="10" s="1"/>
  <c r="L256" i="10" s="1"/>
  <c r="N256" i="10" s="1"/>
  <c r="I248" i="10"/>
  <c r="J248" i="10" s="1"/>
  <c r="K248" i="10" s="1"/>
  <c r="L248" i="10" s="1"/>
  <c r="N248" i="10" s="1"/>
  <c r="I257" i="10"/>
  <c r="J257" i="10" s="1"/>
  <c r="K257" i="10" s="1"/>
  <c r="L257" i="10" s="1"/>
  <c r="N257" i="10" s="1"/>
  <c r="I250" i="10"/>
  <c r="J250" i="10" s="1"/>
  <c r="K250" i="10" s="1"/>
  <c r="L250" i="10" s="1"/>
  <c r="N250" i="10" s="1"/>
  <c r="I249" i="10"/>
  <c r="J249" i="10" s="1"/>
  <c r="K249" i="10" s="1"/>
  <c r="L249" i="10" s="1"/>
  <c r="N249" i="10" s="1"/>
  <c r="I246" i="10"/>
  <c r="J246" i="10" s="1"/>
  <c r="K246" i="10" s="1"/>
  <c r="L246" i="10" s="1"/>
  <c r="N246" i="10" s="1"/>
  <c r="I262" i="10"/>
  <c r="J262" i="10" s="1"/>
  <c r="K262" i="10" s="1"/>
  <c r="L262" i="10" s="1"/>
  <c r="N262" i="10" s="1"/>
  <c r="I254" i="10"/>
  <c r="J254" i="10" s="1"/>
  <c r="K254" i="10" s="1"/>
  <c r="L254" i="10" s="1"/>
  <c r="N254" i="10" s="1"/>
  <c r="B115" i="10"/>
  <c r="I251" i="10"/>
  <c r="J251" i="10" s="1"/>
  <c r="K251" i="10" s="1"/>
  <c r="L251" i="10" s="1"/>
  <c r="N251" i="10" s="1"/>
  <c r="B24" i="6"/>
  <c r="B26" i="6"/>
  <c r="D305" i="6" s="1"/>
  <c r="E305" i="6" s="1"/>
  <c r="F305" i="6" s="1"/>
  <c r="G305" i="6" s="1"/>
  <c r="I305" i="6" s="1"/>
  <c r="B23" i="6"/>
  <c r="B16" i="6"/>
  <c r="B17" i="6" s="1"/>
  <c r="D286" i="6"/>
  <c r="E286" i="6" s="1"/>
  <c r="F286" i="6" s="1"/>
  <c r="G286" i="6" s="1"/>
  <c r="I286" i="6" s="1"/>
  <c r="D452" i="6"/>
  <c r="E452" i="6" s="1"/>
  <c r="F452" i="6" s="1"/>
  <c r="G452" i="6" s="1"/>
  <c r="I452" i="6" s="1"/>
  <c r="D470" i="6"/>
  <c r="E470" i="6" s="1"/>
  <c r="F470" i="6" s="1"/>
  <c r="G470" i="6" s="1"/>
  <c r="I470" i="6" s="1"/>
  <c r="D237" i="6"/>
  <c r="E237" i="6" s="1"/>
  <c r="F237" i="6" s="1"/>
  <c r="G237" i="6" s="1"/>
  <c r="I237" i="6" s="1"/>
  <c r="D402" i="6"/>
  <c r="E402" i="6" s="1"/>
  <c r="F402" i="6" s="1"/>
  <c r="G402" i="6" s="1"/>
  <c r="I402" i="6" s="1"/>
  <c r="D432" i="6"/>
  <c r="E432" i="6" s="1"/>
  <c r="F432" i="6" s="1"/>
  <c r="G432" i="6" s="1"/>
  <c r="I432" i="6" s="1"/>
  <c r="D219" i="6"/>
  <c r="E219" i="6" s="1"/>
  <c r="F219" i="6" s="1"/>
  <c r="G219" i="6" s="1"/>
  <c r="I219" i="6" s="1"/>
  <c r="D322" i="6"/>
  <c r="E322" i="6" s="1"/>
  <c r="F322" i="6" s="1"/>
  <c r="G322" i="6" s="1"/>
  <c r="I322" i="6" s="1"/>
  <c r="D357" i="6"/>
  <c r="E357" i="6" s="1"/>
  <c r="F357" i="6" s="1"/>
  <c r="G357" i="6" s="1"/>
  <c r="I357" i="6" s="1"/>
  <c r="D339" i="6"/>
  <c r="E339" i="6" s="1"/>
  <c r="F339" i="6" s="1"/>
  <c r="G339" i="6" s="1"/>
  <c r="I339" i="6" s="1"/>
  <c r="D367" i="6"/>
  <c r="E367" i="6" s="1"/>
  <c r="F367" i="6" s="1"/>
  <c r="G367" i="6" s="1"/>
  <c r="I367" i="6" s="1"/>
  <c r="D210" i="6"/>
  <c r="E210" i="6" s="1"/>
  <c r="F210" i="6" s="1"/>
  <c r="G210" i="6" s="1"/>
  <c r="I210" i="6" s="1"/>
  <c r="D296" i="6"/>
  <c r="E296" i="6" s="1"/>
  <c r="F296" i="6" s="1"/>
  <c r="G296" i="6" s="1"/>
  <c r="I296" i="6" s="1"/>
  <c r="D487" i="6"/>
  <c r="E487" i="6" s="1"/>
  <c r="F487" i="6" s="1"/>
  <c r="G487" i="6" s="1"/>
  <c r="I487" i="6" s="1"/>
  <c r="D311" i="6"/>
  <c r="E311" i="6" s="1"/>
  <c r="F311" i="6" s="1"/>
  <c r="G311" i="6" s="1"/>
  <c r="I311" i="6" s="1"/>
  <c r="D321" i="6"/>
  <c r="E321" i="6" s="1"/>
  <c r="F321" i="6" s="1"/>
  <c r="G321" i="6" s="1"/>
  <c r="I321" i="6" s="1"/>
  <c r="D479" i="6"/>
  <c r="E479" i="6" s="1"/>
  <c r="F479" i="6" s="1"/>
  <c r="G479" i="6" s="1"/>
  <c r="I479" i="6" s="1"/>
  <c r="D355" i="6"/>
  <c r="E355" i="6" s="1"/>
  <c r="F355" i="6" s="1"/>
  <c r="G355" i="6" s="1"/>
  <c r="I355" i="6" s="1"/>
  <c r="D234" i="6"/>
  <c r="E234" i="6" s="1"/>
  <c r="F234" i="6" s="1"/>
  <c r="G234" i="6" s="1"/>
  <c r="I234" i="6" s="1"/>
  <c r="D276" i="6"/>
  <c r="E276" i="6" s="1"/>
  <c r="F276" i="6" s="1"/>
  <c r="G276" i="6" s="1"/>
  <c r="I276" i="6" s="1"/>
  <c r="D401" i="6"/>
  <c r="E401" i="6" s="1"/>
  <c r="F401" i="6" s="1"/>
  <c r="G401" i="6" s="1"/>
  <c r="I401" i="6" s="1"/>
  <c r="D446" i="6"/>
  <c r="E446" i="6" s="1"/>
  <c r="F446" i="6" s="1"/>
  <c r="G446" i="6" s="1"/>
  <c r="I446" i="6" s="1"/>
  <c r="D245" i="6"/>
  <c r="E245" i="6" s="1"/>
  <c r="F245" i="6" s="1"/>
  <c r="G245" i="6" s="1"/>
  <c r="I245" i="6" s="1"/>
  <c r="D476" i="6"/>
  <c r="E476" i="6" s="1"/>
  <c r="F476" i="6" s="1"/>
  <c r="G476" i="6" s="1"/>
  <c r="I476" i="6" s="1"/>
  <c r="D412" i="6"/>
  <c r="E412" i="6" s="1"/>
  <c r="F412" i="6" s="1"/>
  <c r="G412" i="6" s="1"/>
  <c r="I412" i="6" s="1"/>
  <c r="D405" i="6"/>
  <c r="E405" i="6" s="1"/>
  <c r="F405" i="6" s="1"/>
  <c r="G405" i="6" s="1"/>
  <c r="I405" i="6" s="1"/>
  <c r="D459" i="6"/>
  <c r="E459" i="6" s="1"/>
  <c r="F459" i="6" s="1"/>
  <c r="G459" i="6" s="1"/>
  <c r="I459" i="6" s="1"/>
  <c r="D468" i="6"/>
  <c r="E468" i="6" s="1"/>
  <c r="F468" i="6" s="1"/>
  <c r="G468" i="6" s="1"/>
  <c r="I468" i="6" s="1"/>
  <c r="D371" i="6"/>
  <c r="E371" i="6" s="1"/>
  <c r="F371" i="6" s="1"/>
  <c r="G371" i="6" s="1"/>
  <c r="I371" i="6" s="1"/>
  <c r="D227" i="6"/>
  <c r="E227" i="6" s="1"/>
  <c r="F227" i="6" s="1"/>
  <c r="G227" i="6" s="1"/>
  <c r="I227" i="6" s="1"/>
  <c r="D330" i="6"/>
  <c r="E330" i="6" s="1"/>
  <c r="F330" i="6" s="1"/>
  <c r="G330" i="6" s="1"/>
  <c r="I330" i="6" s="1"/>
  <c r="D462" i="6"/>
  <c r="E462" i="6" s="1"/>
  <c r="F462" i="6" s="1"/>
  <c r="G462" i="6" s="1"/>
  <c r="I462" i="6" s="1"/>
  <c r="D445" i="6"/>
  <c r="E445" i="6" s="1"/>
  <c r="F445" i="6" s="1"/>
  <c r="G445" i="6" s="1"/>
  <c r="I445" i="6" s="1"/>
  <c r="D266" i="6"/>
  <c r="E266" i="6" s="1"/>
  <c r="F266" i="6" s="1"/>
  <c r="G266" i="6" s="1"/>
  <c r="I266" i="6" s="1"/>
  <c r="D215" i="6"/>
  <c r="E215" i="6" s="1"/>
  <c r="F215" i="6" s="1"/>
  <c r="G215" i="6" s="1"/>
  <c r="I215" i="6" s="1"/>
  <c r="D475" i="6"/>
  <c r="E475" i="6" s="1"/>
  <c r="F475" i="6" s="1"/>
  <c r="G475" i="6" s="1"/>
  <c r="I475" i="6" s="1"/>
  <c r="D250" i="6"/>
  <c r="E250" i="6" s="1"/>
  <c r="F250" i="6" s="1"/>
  <c r="G250" i="6" s="1"/>
  <c r="I250" i="6" s="1"/>
  <c r="D378" i="6"/>
  <c r="E378" i="6" s="1"/>
  <c r="F378" i="6" s="1"/>
  <c r="G378" i="6" s="1"/>
  <c r="I378" i="6" s="1"/>
  <c r="D324" i="6"/>
  <c r="E324" i="6" s="1"/>
  <c r="F324" i="6" s="1"/>
  <c r="G324" i="6" s="1"/>
  <c r="I324" i="6" s="1"/>
  <c r="D410" i="6"/>
  <c r="E410" i="6" s="1"/>
  <c r="F410" i="6" s="1"/>
  <c r="G410" i="6" s="1"/>
  <c r="I410" i="6" s="1"/>
  <c r="D480" i="6"/>
  <c r="E480" i="6" s="1"/>
  <c r="F480" i="6" s="1"/>
  <c r="G480" i="6" s="1"/>
  <c r="I480" i="6" s="1"/>
  <c r="D300" i="6"/>
  <c r="E300" i="6" s="1"/>
  <c r="F300" i="6" s="1"/>
  <c r="G300" i="6" s="1"/>
  <c r="I300" i="6" s="1"/>
  <c r="D453" i="6"/>
  <c r="E453" i="6" s="1"/>
  <c r="F453" i="6" s="1"/>
  <c r="G453" i="6" s="1"/>
  <c r="I453" i="6" s="1"/>
  <c r="D289" i="6"/>
  <c r="E289" i="6" s="1"/>
  <c r="F289" i="6" s="1"/>
  <c r="G289" i="6" s="1"/>
  <c r="I289" i="6" s="1"/>
  <c r="D294" i="6"/>
  <c r="E294" i="6" s="1"/>
  <c r="F294" i="6" s="1"/>
  <c r="G294" i="6" s="1"/>
  <c r="I294" i="6" s="1"/>
  <c r="D312" i="6"/>
  <c r="E312" i="6" s="1"/>
  <c r="F312" i="6" s="1"/>
  <c r="G312" i="6" s="1"/>
  <c r="I312" i="6" s="1"/>
  <c r="D314" i="6"/>
  <c r="E314" i="6" s="1"/>
  <c r="F314" i="6" s="1"/>
  <c r="G314" i="6" s="1"/>
  <c r="I314" i="6" s="1"/>
  <c r="D221" i="6"/>
  <c r="E221" i="6" s="1"/>
  <c r="F221" i="6" s="1"/>
  <c r="G221" i="6" s="1"/>
  <c r="I221" i="6" s="1"/>
  <c r="D302" i="6"/>
  <c r="E302" i="6" s="1"/>
  <c r="F302" i="6" s="1"/>
  <c r="G302" i="6" s="1"/>
  <c r="I302" i="6" s="1"/>
  <c r="D231" i="6"/>
  <c r="E231" i="6" s="1"/>
  <c r="F231" i="6" s="1"/>
  <c r="G231" i="6" s="1"/>
  <c r="I231" i="6" s="1"/>
  <c r="D376" i="6"/>
  <c r="E376" i="6" s="1"/>
  <c r="F376" i="6" s="1"/>
  <c r="G376" i="6" s="1"/>
  <c r="I376" i="6" s="1"/>
  <c r="D240" i="6"/>
  <c r="E240" i="6" s="1"/>
  <c r="F240" i="6" s="1"/>
  <c r="G240" i="6" s="1"/>
  <c r="I240" i="6" s="1"/>
  <c r="D399" i="6"/>
  <c r="E399" i="6" s="1"/>
  <c r="F399" i="6" s="1"/>
  <c r="G399" i="6" s="1"/>
  <c r="I399" i="6" s="1"/>
  <c r="D385" i="6"/>
  <c r="E385" i="6" s="1"/>
  <c r="F385" i="6" s="1"/>
  <c r="G385" i="6" s="1"/>
  <c r="I385" i="6" s="1"/>
  <c r="D288" i="6"/>
  <c r="E288" i="6" s="1"/>
  <c r="F288" i="6" s="1"/>
  <c r="G288" i="6" s="1"/>
  <c r="I288" i="6" s="1"/>
  <c r="D217" i="6"/>
  <c r="E217" i="6" s="1"/>
  <c r="F217" i="6" s="1"/>
  <c r="G217" i="6" s="1"/>
  <c r="I217" i="6" s="1"/>
  <c r="D370" i="6"/>
  <c r="E370" i="6" s="1"/>
  <c r="F370" i="6" s="1"/>
  <c r="G370" i="6" s="1"/>
  <c r="I370" i="6" s="1"/>
  <c r="B113" i="6"/>
  <c r="B114" i="6" s="1"/>
  <c r="B106" i="5"/>
  <c r="C106" i="5" s="1"/>
  <c r="D106" i="5" s="1"/>
  <c r="A107" i="5"/>
  <c r="E105" i="5"/>
  <c r="F105" i="5" s="1"/>
  <c r="B20" i="1"/>
  <c r="B13" i="10" s="1"/>
  <c r="B18" i="10" s="1"/>
  <c r="B19" i="10" s="1"/>
  <c r="B12" i="4"/>
  <c r="E114" i="1"/>
  <c r="F114" i="1" s="1"/>
  <c r="E107" i="1"/>
  <c r="F107" i="1" s="1"/>
  <c r="E122" i="1"/>
  <c r="F122" i="1" s="1"/>
  <c r="E104" i="1"/>
  <c r="F104" i="1" s="1"/>
  <c r="E120" i="1"/>
  <c r="F120" i="1" s="1"/>
  <c r="B98" i="1"/>
  <c r="B99" i="1"/>
  <c r="E127" i="1"/>
  <c r="F127" i="1" s="1"/>
  <c r="B128" i="1"/>
  <c r="C128" i="1" s="1"/>
  <c r="D128" i="1" s="1"/>
  <c r="E128" i="1" s="1"/>
  <c r="F128" i="1" s="1"/>
  <c r="B113" i="4" l="1"/>
  <c r="B114" i="4"/>
  <c r="B23" i="4"/>
  <c r="B27" i="4" s="1"/>
  <c r="B16" i="4"/>
  <c r="K245" i="10"/>
  <c r="L245" i="10" s="1"/>
  <c r="D233" i="6"/>
  <c r="E233" i="6" s="1"/>
  <c r="F233" i="6" s="1"/>
  <c r="G233" i="6" s="1"/>
  <c r="I233" i="6" s="1"/>
  <c r="D394" i="6"/>
  <c r="E394" i="6" s="1"/>
  <c r="F394" i="6" s="1"/>
  <c r="G394" i="6" s="1"/>
  <c r="I394" i="6" s="1"/>
  <c r="D280" i="6"/>
  <c r="E280" i="6" s="1"/>
  <c r="F280" i="6" s="1"/>
  <c r="G280" i="6" s="1"/>
  <c r="I280" i="6" s="1"/>
  <c r="D421" i="6"/>
  <c r="E421" i="6" s="1"/>
  <c r="F421" i="6" s="1"/>
  <c r="G421" i="6" s="1"/>
  <c r="I421" i="6" s="1"/>
  <c r="D436" i="6"/>
  <c r="E436" i="6" s="1"/>
  <c r="F436" i="6" s="1"/>
  <c r="G436" i="6" s="1"/>
  <c r="I436" i="6" s="1"/>
  <c r="D262" i="6"/>
  <c r="E262" i="6" s="1"/>
  <c r="F262" i="6" s="1"/>
  <c r="G262" i="6" s="1"/>
  <c r="I262" i="6" s="1"/>
  <c r="D472" i="6"/>
  <c r="E472" i="6" s="1"/>
  <c r="F472" i="6" s="1"/>
  <c r="G472" i="6" s="1"/>
  <c r="I472" i="6" s="1"/>
  <c r="D327" i="6"/>
  <c r="E327" i="6" s="1"/>
  <c r="F327" i="6" s="1"/>
  <c r="G327" i="6" s="1"/>
  <c r="I327" i="6" s="1"/>
  <c r="D455" i="6"/>
  <c r="E455" i="6" s="1"/>
  <c r="F455" i="6" s="1"/>
  <c r="G455" i="6" s="1"/>
  <c r="I455" i="6" s="1"/>
  <c r="B87" i="10"/>
  <c r="B92" i="10"/>
  <c r="B68" i="10"/>
  <c r="D67" i="10"/>
  <c r="B102" i="10" s="1"/>
  <c r="D310" i="6"/>
  <c r="E310" i="6" s="1"/>
  <c r="F310" i="6" s="1"/>
  <c r="G310" i="6" s="1"/>
  <c r="I310" i="6" s="1"/>
  <c r="D482" i="6"/>
  <c r="E482" i="6" s="1"/>
  <c r="F482" i="6" s="1"/>
  <c r="G482" i="6" s="1"/>
  <c r="I482" i="6" s="1"/>
  <c r="D230" i="6"/>
  <c r="E230" i="6" s="1"/>
  <c r="F230" i="6" s="1"/>
  <c r="G230" i="6" s="1"/>
  <c r="I230" i="6" s="1"/>
  <c r="D393" i="6"/>
  <c r="E393" i="6" s="1"/>
  <c r="F393" i="6" s="1"/>
  <c r="G393" i="6" s="1"/>
  <c r="I393" i="6" s="1"/>
  <c r="O262" i="10"/>
  <c r="O248" i="10"/>
  <c r="O259" i="10"/>
  <c r="O254" i="10"/>
  <c r="O250" i="10"/>
  <c r="O257" i="10"/>
  <c r="O264" i="10"/>
  <c r="O251" i="10"/>
  <c r="O246" i="10"/>
  <c r="O258" i="10"/>
  <c r="B133" i="10"/>
  <c r="O260" i="10"/>
  <c r="O263" i="10"/>
  <c r="O249" i="10"/>
  <c r="O261" i="10"/>
  <c r="O253" i="10"/>
  <c r="O252" i="10"/>
  <c r="O255" i="10"/>
  <c r="B120" i="10"/>
  <c r="B121" i="10" s="1"/>
  <c r="B146" i="10" s="1"/>
  <c r="O247" i="10"/>
  <c r="O245" i="10"/>
  <c r="O256" i="10"/>
  <c r="D209" i="6"/>
  <c r="E209" i="6" s="1"/>
  <c r="F209" i="6" s="1"/>
  <c r="G209" i="6" s="1"/>
  <c r="I209" i="6" s="1"/>
  <c r="D308" i="6"/>
  <c r="E308" i="6" s="1"/>
  <c r="F308" i="6" s="1"/>
  <c r="G308" i="6" s="1"/>
  <c r="I308" i="6" s="1"/>
  <c r="D249" i="6"/>
  <c r="E249" i="6" s="1"/>
  <c r="F249" i="6" s="1"/>
  <c r="G249" i="6" s="1"/>
  <c r="I249" i="6" s="1"/>
  <c r="D360" i="6"/>
  <c r="E360" i="6" s="1"/>
  <c r="F360" i="6" s="1"/>
  <c r="G360" i="6" s="1"/>
  <c r="I360" i="6" s="1"/>
  <c r="D315" i="6"/>
  <c r="E315" i="6" s="1"/>
  <c r="F315" i="6" s="1"/>
  <c r="G315" i="6" s="1"/>
  <c r="I315" i="6" s="1"/>
  <c r="D218" i="6"/>
  <c r="E218" i="6" s="1"/>
  <c r="F218" i="6" s="1"/>
  <c r="G218" i="6" s="1"/>
  <c r="I218" i="6" s="1"/>
  <c r="D323" i="6"/>
  <c r="E323" i="6" s="1"/>
  <c r="F323" i="6" s="1"/>
  <c r="G323" i="6" s="1"/>
  <c r="I323" i="6" s="1"/>
  <c r="D364" i="6"/>
  <c r="E364" i="6" s="1"/>
  <c r="F364" i="6" s="1"/>
  <c r="G364" i="6" s="1"/>
  <c r="I364" i="6" s="1"/>
  <c r="D299" i="6"/>
  <c r="E299" i="6" s="1"/>
  <c r="F299" i="6" s="1"/>
  <c r="G299" i="6" s="1"/>
  <c r="I299" i="6" s="1"/>
  <c r="D423" i="6"/>
  <c r="E423" i="6" s="1"/>
  <c r="F423" i="6" s="1"/>
  <c r="G423" i="6" s="1"/>
  <c r="I423" i="6" s="1"/>
  <c r="D489" i="6"/>
  <c r="E489" i="6" s="1"/>
  <c r="F489" i="6" s="1"/>
  <c r="G489" i="6" s="1"/>
  <c r="I489" i="6" s="1"/>
  <c r="D335" i="6"/>
  <c r="E335" i="6" s="1"/>
  <c r="F335" i="6" s="1"/>
  <c r="G335" i="6" s="1"/>
  <c r="I335" i="6" s="1"/>
  <c r="D232" i="6"/>
  <c r="E232" i="6" s="1"/>
  <c r="F232" i="6" s="1"/>
  <c r="G232" i="6" s="1"/>
  <c r="I232" i="6" s="1"/>
  <c r="D283" i="6"/>
  <c r="E283" i="6" s="1"/>
  <c r="F283" i="6" s="1"/>
  <c r="G283" i="6" s="1"/>
  <c r="I283" i="6" s="1"/>
  <c r="D224" i="6"/>
  <c r="E224" i="6" s="1"/>
  <c r="F224" i="6" s="1"/>
  <c r="G224" i="6" s="1"/>
  <c r="I224" i="6" s="1"/>
  <c r="D259" i="6"/>
  <c r="E259" i="6" s="1"/>
  <c r="F259" i="6" s="1"/>
  <c r="G259" i="6" s="1"/>
  <c r="I259" i="6" s="1"/>
  <c r="D433" i="6"/>
  <c r="E433" i="6" s="1"/>
  <c r="F433" i="6" s="1"/>
  <c r="G433" i="6" s="1"/>
  <c r="I433" i="6" s="1"/>
  <c r="D424" i="6"/>
  <c r="E424" i="6" s="1"/>
  <c r="F424" i="6" s="1"/>
  <c r="G424" i="6" s="1"/>
  <c r="I424" i="6" s="1"/>
  <c r="D379" i="6"/>
  <c r="E379" i="6" s="1"/>
  <c r="F379" i="6" s="1"/>
  <c r="G379" i="6" s="1"/>
  <c r="I379" i="6" s="1"/>
  <c r="D450" i="6"/>
  <c r="E450" i="6" s="1"/>
  <c r="F450" i="6" s="1"/>
  <c r="G450" i="6" s="1"/>
  <c r="I450" i="6" s="1"/>
  <c r="D297" i="6"/>
  <c r="E297" i="6" s="1"/>
  <c r="F297" i="6" s="1"/>
  <c r="G297" i="6" s="1"/>
  <c r="I297" i="6" s="1"/>
  <c r="D306" i="6"/>
  <c r="E306" i="6" s="1"/>
  <c r="F306" i="6" s="1"/>
  <c r="G306" i="6" s="1"/>
  <c r="I306" i="6" s="1"/>
  <c r="D411" i="6"/>
  <c r="E411" i="6" s="1"/>
  <c r="F411" i="6" s="1"/>
  <c r="G411" i="6" s="1"/>
  <c r="I411" i="6" s="1"/>
  <c r="D451" i="6"/>
  <c r="E451" i="6" s="1"/>
  <c r="F451" i="6" s="1"/>
  <c r="G451" i="6" s="1"/>
  <c r="I451" i="6" s="1"/>
  <c r="D326" i="6"/>
  <c r="E326" i="6" s="1"/>
  <c r="F326" i="6" s="1"/>
  <c r="G326" i="6" s="1"/>
  <c r="I326" i="6" s="1"/>
  <c r="D332" i="6"/>
  <c r="E332" i="6" s="1"/>
  <c r="F332" i="6" s="1"/>
  <c r="G332" i="6" s="1"/>
  <c r="I332" i="6" s="1"/>
  <c r="D229" i="6"/>
  <c r="E229" i="6" s="1"/>
  <c r="F229" i="6" s="1"/>
  <c r="G229" i="6" s="1"/>
  <c r="I229" i="6" s="1"/>
  <c r="D272" i="6"/>
  <c r="E272" i="6" s="1"/>
  <c r="F272" i="6" s="1"/>
  <c r="G272" i="6" s="1"/>
  <c r="I272" i="6" s="1"/>
  <c r="D382" i="6"/>
  <c r="E382" i="6" s="1"/>
  <c r="F382" i="6" s="1"/>
  <c r="G382" i="6" s="1"/>
  <c r="I382" i="6" s="1"/>
  <c r="D236" i="6"/>
  <c r="E236" i="6" s="1"/>
  <c r="F236" i="6" s="1"/>
  <c r="G236" i="6" s="1"/>
  <c r="I236" i="6" s="1"/>
  <c r="D415" i="6"/>
  <c r="E415" i="6" s="1"/>
  <c r="F415" i="6" s="1"/>
  <c r="G415" i="6" s="1"/>
  <c r="I415" i="6" s="1"/>
  <c r="D287" i="6"/>
  <c r="E287" i="6" s="1"/>
  <c r="F287" i="6" s="1"/>
  <c r="G287" i="6" s="1"/>
  <c r="I287" i="6" s="1"/>
  <c r="D444" i="6"/>
  <c r="E444" i="6" s="1"/>
  <c r="F444" i="6" s="1"/>
  <c r="G444" i="6" s="1"/>
  <c r="I444" i="6" s="1"/>
  <c r="D213" i="6"/>
  <c r="E213" i="6" s="1"/>
  <c r="F213" i="6" s="1"/>
  <c r="G213" i="6" s="1"/>
  <c r="I213" i="6" s="1"/>
  <c r="D269" i="6"/>
  <c r="E269" i="6" s="1"/>
  <c r="F269" i="6" s="1"/>
  <c r="G269" i="6" s="1"/>
  <c r="I269" i="6" s="1"/>
  <c r="D390" i="6"/>
  <c r="E390" i="6" s="1"/>
  <c r="F390" i="6" s="1"/>
  <c r="G390" i="6" s="1"/>
  <c r="I390" i="6" s="1"/>
  <c r="D295" i="6"/>
  <c r="E295" i="6" s="1"/>
  <c r="F295" i="6" s="1"/>
  <c r="G295" i="6" s="1"/>
  <c r="I295" i="6" s="1"/>
  <c r="D342" i="6"/>
  <c r="E342" i="6" s="1"/>
  <c r="F342" i="6" s="1"/>
  <c r="G342" i="6" s="1"/>
  <c r="I342" i="6" s="1"/>
  <c r="D252" i="6"/>
  <c r="E252" i="6" s="1"/>
  <c r="F252" i="6" s="1"/>
  <c r="G252" i="6" s="1"/>
  <c r="I252" i="6" s="1"/>
  <c r="D473" i="6"/>
  <c r="E473" i="6" s="1"/>
  <c r="F473" i="6" s="1"/>
  <c r="G473" i="6" s="1"/>
  <c r="I473" i="6" s="1"/>
  <c r="D426" i="6"/>
  <c r="E426" i="6" s="1"/>
  <c r="F426" i="6" s="1"/>
  <c r="G426" i="6" s="1"/>
  <c r="I426" i="6" s="1"/>
  <c r="D403" i="6"/>
  <c r="E403" i="6" s="1"/>
  <c r="F403" i="6" s="1"/>
  <c r="G403" i="6" s="1"/>
  <c r="I403" i="6" s="1"/>
  <c r="D248" i="6"/>
  <c r="E248" i="6" s="1"/>
  <c r="F248" i="6" s="1"/>
  <c r="G248" i="6" s="1"/>
  <c r="I248" i="6" s="1"/>
  <c r="D281" i="6"/>
  <c r="E281" i="6" s="1"/>
  <c r="F281" i="6" s="1"/>
  <c r="G281" i="6" s="1"/>
  <c r="I281" i="6" s="1"/>
  <c r="D226" i="6"/>
  <c r="E226" i="6" s="1"/>
  <c r="F226" i="6" s="1"/>
  <c r="G226" i="6" s="1"/>
  <c r="I226" i="6" s="1"/>
  <c r="D388" i="6"/>
  <c r="E388" i="6" s="1"/>
  <c r="F388" i="6" s="1"/>
  <c r="G388" i="6" s="1"/>
  <c r="I388" i="6" s="1"/>
  <c r="D441" i="6"/>
  <c r="E441" i="6" s="1"/>
  <c r="F441" i="6" s="1"/>
  <c r="G441" i="6" s="1"/>
  <c r="I441" i="6" s="1"/>
  <c r="D494" i="6"/>
  <c r="E494" i="6" s="1"/>
  <c r="F494" i="6" s="1"/>
  <c r="G494" i="6" s="1"/>
  <c r="I494" i="6" s="1"/>
  <c r="D461" i="6"/>
  <c r="E461" i="6" s="1"/>
  <c r="F461" i="6" s="1"/>
  <c r="G461" i="6" s="1"/>
  <c r="I461" i="6" s="1"/>
  <c r="D366" i="6"/>
  <c r="E366" i="6" s="1"/>
  <c r="F366" i="6" s="1"/>
  <c r="G366" i="6" s="1"/>
  <c r="I366" i="6" s="1"/>
  <c r="D419" i="6"/>
  <c r="E419" i="6" s="1"/>
  <c r="F419" i="6" s="1"/>
  <c r="G419" i="6" s="1"/>
  <c r="I419" i="6" s="1"/>
  <c r="D439" i="6"/>
  <c r="E439" i="6" s="1"/>
  <c r="F439" i="6" s="1"/>
  <c r="G439" i="6" s="1"/>
  <c r="I439" i="6" s="1"/>
  <c r="D270" i="6"/>
  <c r="E270" i="6" s="1"/>
  <c r="F270" i="6" s="1"/>
  <c r="G270" i="6" s="1"/>
  <c r="I270" i="6" s="1"/>
  <c r="D291" i="6"/>
  <c r="E291" i="6" s="1"/>
  <c r="F291" i="6" s="1"/>
  <c r="G291" i="6" s="1"/>
  <c r="I291" i="6" s="1"/>
  <c r="D492" i="6"/>
  <c r="E492" i="6" s="1"/>
  <c r="F492" i="6" s="1"/>
  <c r="G492" i="6" s="1"/>
  <c r="I492" i="6" s="1"/>
  <c r="D486" i="6"/>
  <c r="E486" i="6" s="1"/>
  <c r="F486" i="6" s="1"/>
  <c r="G486" i="6" s="1"/>
  <c r="I486" i="6" s="1"/>
  <c r="D265" i="6"/>
  <c r="E265" i="6" s="1"/>
  <c r="F265" i="6" s="1"/>
  <c r="G265" i="6" s="1"/>
  <c r="I265" i="6" s="1"/>
  <c r="D374" i="6"/>
  <c r="E374" i="6" s="1"/>
  <c r="F374" i="6" s="1"/>
  <c r="G374" i="6" s="1"/>
  <c r="I374" i="6" s="1"/>
  <c r="D333" i="6"/>
  <c r="E333" i="6" s="1"/>
  <c r="F333" i="6" s="1"/>
  <c r="G333" i="6" s="1"/>
  <c r="I333" i="6" s="1"/>
  <c r="D338" i="6"/>
  <c r="E338" i="6" s="1"/>
  <c r="F338" i="6" s="1"/>
  <c r="G338" i="6" s="1"/>
  <c r="I338" i="6" s="1"/>
  <c r="D242" i="6"/>
  <c r="E242" i="6" s="1"/>
  <c r="F242" i="6" s="1"/>
  <c r="G242" i="6" s="1"/>
  <c r="I242" i="6" s="1"/>
  <c r="D257" i="6"/>
  <c r="E257" i="6" s="1"/>
  <c r="F257" i="6" s="1"/>
  <c r="G257" i="6" s="1"/>
  <c r="I257" i="6" s="1"/>
  <c r="D228" i="6"/>
  <c r="E228" i="6" s="1"/>
  <c r="F228" i="6" s="1"/>
  <c r="G228" i="6" s="1"/>
  <c r="I228" i="6" s="1"/>
  <c r="D422" i="6"/>
  <c r="E422" i="6" s="1"/>
  <c r="F422" i="6" s="1"/>
  <c r="G422" i="6" s="1"/>
  <c r="I422" i="6" s="1"/>
  <c r="D471" i="6"/>
  <c r="E471" i="6" s="1"/>
  <c r="F471" i="6" s="1"/>
  <c r="G471" i="6" s="1"/>
  <c r="I471" i="6" s="1"/>
  <c r="D222" i="6"/>
  <c r="E222" i="6" s="1"/>
  <c r="F222" i="6" s="1"/>
  <c r="G222" i="6" s="1"/>
  <c r="I222" i="6" s="1"/>
  <c r="D414" i="6"/>
  <c r="E414" i="6" s="1"/>
  <c r="F414" i="6" s="1"/>
  <c r="G414" i="6" s="1"/>
  <c r="I414" i="6" s="1"/>
  <c r="D343" i="6"/>
  <c r="E343" i="6" s="1"/>
  <c r="F343" i="6" s="1"/>
  <c r="G343" i="6" s="1"/>
  <c r="I343" i="6" s="1"/>
  <c r="D256" i="6"/>
  <c r="E256" i="6" s="1"/>
  <c r="F256" i="6" s="1"/>
  <c r="G256" i="6" s="1"/>
  <c r="I256" i="6" s="1"/>
  <c r="D386" i="6"/>
  <c r="E386" i="6" s="1"/>
  <c r="F386" i="6" s="1"/>
  <c r="G386" i="6" s="1"/>
  <c r="I386" i="6" s="1"/>
  <c r="D392" i="6"/>
  <c r="E392" i="6" s="1"/>
  <c r="F392" i="6" s="1"/>
  <c r="G392" i="6" s="1"/>
  <c r="I392" i="6" s="1"/>
  <c r="D406" i="6"/>
  <c r="E406" i="6" s="1"/>
  <c r="F406" i="6" s="1"/>
  <c r="G406" i="6" s="1"/>
  <c r="I406" i="6" s="1"/>
  <c r="D448" i="6"/>
  <c r="E448" i="6" s="1"/>
  <c r="F448" i="6" s="1"/>
  <c r="G448" i="6" s="1"/>
  <c r="I448" i="6" s="1"/>
  <c r="D349" i="6"/>
  <c r="E349" i="6" s="1"/>
  <c r="F349" i="6" s="1"/>
  <c r="G349" i="6" s="1"/>
  <c r="I349" i="6" s="1"/>
  <c r="D341" i="6"/>
  <c r="E341" i="6" s="1"/>
  <c r="F341" i="6" s="1"/>
  <c r="G341" i="6" s="1"/>
  <c r="I341" i="6" s="1"/>
  <c r="D317" i="6"/>
  <c r="E317" i="6" s="1"/>
  <c r="F317" i="6" s="1"/>
  <c r="G317" i="6" s="1"/>
  <c r="I317" i="6" s="1"/>
  <c r="D365" i="6"/>
  <c r="E365" i="6" s="1"/>
  <c r="F365" i="6" s="1"/>
  <c r="G365" i="6" s="1"/>
  <c r="I365" i="6" s="1"/>
  <c r="D279" i="6"/>
  <c r="E279" i="6" s="1"/>
  <c r="F279" i="6" s="1"/>
  <c r="G279" i="6" s="1"/>
  <c r="I279" i="6" s="1"/>
  <c r="D243" i="6"/>
  <c r="E243" i="6" s="1"/>
  <c r="F243" i="6" s="1"/>
  <c r="G243" i="6" s="1"/>
  <c r="I243" i="6" s="1"/>
  <c r="D387" i="6"/>
  <c r="E387" i="6" s="1"/>
  <c r="F387" i="6" s="1"/>
  <c r="G387" i="6" s="1"/>
  <c r="I387" i="6" s="1"/>
  <c r="D275" i="6"/>
  <c r="E275" i="6" s="1"/>
  <c r="F275" i="6" s="1"/>
  <c r="G275" i="6" s="1"/>
  <c r="I275" i="6" s="1"/>
  <c r="D263" i="6"/>
  <c r="E263" i="6" s="1"/>
  <c r="F263" i="6" s="1"/>
  <c r="G263" i="6" s="1"/>
  <c r="I263" i="6" s="1"/>
  <c r="D292" i="6"/>
  <c r="E292" i="6" s="1"/>
  <c r="F292" i="6" s="1"/>
  <c r="G292" i="6" s="1"/>
  <c r="I292" i="6" s="1"/>
  <c r="D223" i="6"/>
  <c r="E223" i="6" s="1"/>
  <c r="F223" i="6" s="1"/>
  <c r="G223" i="6" s="1"/>
  <c r="I223" i="6" s="1"/>
  <c r="D483" i="6"/>
  <c r="E483" i="6" s="1"/>
  <c r="F483" i="6" s="1"/>
  <c r="G483" i="6" s="1"/>
  <c r="I483" i="6" s="1"/>
  <c r="D389" i="6"/>
  <c r="E389" i="6" s="1"/>
  <c r="F389" i="6" s="1"/>
  <c r="G389" i="6" s="1"/>
  <c r="I389" i="6" s="1"/>
  <c r="D383" i="6"/>
  <c r="E383" i="6" s="1"/>
  <c r="F383" i="6" s="1"/>
  <c r="G383" i="6" s="1"/>
  <c r="I383" i="6" s="1"/>
  <c r="D334" i="6"/>
  <c r="E334" i="6" s="1"/>
  <c r="F334" i="6" s="1"/>
  <c r="G334" i="6" s="1"/>
  <c r="I334" i="6" s="1"/>
  <c r="D458" i="6"/>
  <c r="E458" i="6" s="1"/>
  <c r="F458" i="6" s="1"/>
  <c r="G458" i="6" s="1"/>
  <c r="I458" i="6" s="1"/>
  <c r="D320" i="6"/>
  <c r="E320" i="6" s="1"/>
  <c r="F320" i="6" s="1"/>
  <c r="G320" i="6" s="1"/>
  <c r="I320" i="6" s="1"/>
  <c r="D356" i="6"/>
  <c r="E356" i="6" s="1"/>
  <c r="F356" i="6" s="1"/>
  <c r="G356" i="6" s="1"/>
  <c r="I356" i="6" s="1"/>
  <c r="D478" i="6"/>
  <c r="E478" i="6" s="1"/>
  <c r="F478" i="6" s="1"/>
  <c r="G478" i="6" s="1"/>
  <c r="I478" i="6" s="1"/>
  <c r="D407" i="6"/>
  <c r="E407" i="6" s="1"/>
  <c r="F407" i="6" s="1"/>
  <c r="G407" i="6" s="1"/>
  <c r="I407" i="6" s="1"/>
  <c r="D351" i="6"/>
  <c r="E351" i="6" s="1"/>
  <c r="F351" i="6" s="1"/>
  <c r="G351" i="6" s="1"/>
  <c r="I351" i="6" s="1"/>
  <c r="D373" i="6"/>
  <c r="E373" i="6" s="1"/>
  <c r="F373" i="6" s="1"/>
  <c r="G373" i="6" s="1"/>
  <c r="I373" i="6" s="1"/>
  <c r="D264" i="6"/>
  <c r="E264" i="6" s="1"/>
  <c r="F264" i="6" s="1"/>
  <c r="G264" i="6" s="1"/>
  <c r="I264" i="6" s="1"/>
  <c r="D214" i="6"/>
  <c r="E214" i="6" s="1"/>
  <c r="F214" i="6" s="1"/>
  <c r="G214" i="6" s="1"/>
  <c r="I214" i="6" s="1"/>
  <c r="D425" i="6"/>
  <c r="E425" i="6" s="1"/>
  <c r="F425" i="6" s="1"/>
  <c r="G425" i="6" s="1"/>
  <c r="I425" i="6" s="1"/>
  <c r="D430" i="6"/>
  <c r="E430" i="6" s="1"/>
  <c r="F430" i="6" s="1"/>
  <c r="G430" i="6" s="1"/>
  <c r="I430" i="6" s="1"/>
  <c r="D274" i="6"/>
  <c r="E274" i="6" s="1"/>
  <c r="F274" i="6" s="1"/>
  <c r="G274" i="6" s="1"/>
  <c r="I274" i="6" s="1"/>
  <c r="D336" i="6"/>
  <c r="E336" i="6" s="1"/>
  <c r="F336" i="6" s="1"/>
  <c r="G336" i="6" s="1"/>
  <c r="I336" i="6" s="1"/>
  <c r="D384" i="6"/>
  <c r="E384" i="6" s="1"/>
  <c r="F384" i="6" s="1"/>
  <c r="G384" i="6" s="1"/>
  <c r="I384" i="6" s="1"/>
  <c r="D420" i="6"/>
  <c r="E420" i="6" s="1"/>
  <c r="F420" i="6" s="1"/>
  <c r="G420" i="6" s="1"/>
  <c r="I420" i="6" s="1"/>
  <c r="D447" i="6"/>
  <c r="E447" i="6" s="1"/>
  <c r="F447" i="6" s="1"/>
  <c r="G447" i="6" s="1"/>
  <c r="I447" i="6" s="1"/>
  <c r="D417" i="6"/>
  <c r="E417" i="6" s="1"/>
  <c r="F417" i="6" s="1"/>
  <c r="G417" i="6" s="1"/>
  <c r="I417" i="6" s="1"/>
  <c r="D358" i="6"/>
  <c r="E358" i="6" s="1"/>
  <c r="F358" i="6" s="1"/>
  <c r="G358" i="6" s="1"/>
  <c r="I358" i="6" s="1"/>
  <c r="D316" i="6"/>
  <c r="E316" i="6" s="1"/>
  <c r="F316" i="6" s="1"/>
  <c r="G316" i="6" s="1"/>
  <c r="I316" i="6" s="1"/>
  <c r="D347" i="6"/>
  <c r="E347" i="6" s="1"/>
  <c r="F347" i="6" s="1"/>
  <c r="G347" i="6" s="1"/>
  <c r="I347" i="6" s="1"/>
  <c r="D268" i="6"/>
  <c r="E268" i="6" s="1"/>
  <c r="F268" i="6" s="1"/>
  <c r="G268" i="6" s="1"/>
  <c r="I268" i="6" s="1"/>
  <c r="D348" i="6"/>
  <c r="E348" i="6" s="1"/>
  <c r="F348" i="6" s="1"/>
  <c r="G348" i="6" s="1"/>
  <c r="I348" i="6" s="1"/>
  <c r="D309" i="6"/>
  <c r="E309" i="6" s="1"/>
  <c r="F309" i="6" s="1"/>
  <c r="G309" i="6" s="1"/>
  <c r="I309" i="6" s="1"/>
  <c r="D437" i="6"/>
  <c r="E437" i="6" s="1"/>
  <c r="F437" i="6" s="1"/>
  <c r="G437" i="6" s="1"/>
  <c r="I437" i="6" s="1"/>
  <c r="D313" i="6"/>
  <c r="E313" i="6" s="1"/>
  <c r="F313" i="6" s="1"/>
  <c r="G313" i="6" s="1"/>
  <c r="I313" i="6" s="1"/>
  <c r="D254" i="6"/>
  <c r="E254" i="6" s="1"/>
  <c r="F254" i="6" s="1"/>
  <c r="G254" i="6" s="1"/>
  <c r="I254" i="6" s="1"/>
  <c r="D361" i="6"/>
  <c r="E361" i="6" s="1"/>
  <c r="F361" i="6" s="1"/>
  <c r="G361" i="6" s="1"/>
  <c r="I361" i="6" s="1"/>
  <c r="D207" i="6"/>
  <c r="E207" i="6" s="1"/>
  <c r="F207" i="6" s="1"/>
  <c r="G207" i="6" s="1"/>
  <c r="I207" i="6" s="1"/>
  <c r="D241" i="6"/>
  <c r="E241" i="6" s="1"/>
  <c r="F241" i="6" s="1"/>
  <c r="G241" i="6" s="1"/>
  <c r="I241" i="6" s="1"/>
  <c r="D293" i="6"/>
  <c r="E293" i="6" s="1"/>
  <c r="F293" i="6" s="1"/>
  <c r="G293" i="6" s="1"/>
  <c r="I293" i="6" s="1"/>
  <c r="D416" i="6"/>
  <c r="E416" i="6" s="1"/>
  <c r="F416" i="6" s="1"/>
  <c r="G416" i="6" s="1"/>
  <c r="I416" i="6" s="1"/>
  <c r="D329" i="6"/>
  <c r="E329" i="6" s="1"/>
  <c r="F329" i="6" s="1"/>
  <c r="G329" i="6" s="1"/>
  <c r="I329" i="6" s="1"/>
  <c r="D435" i="6"/>
  <c r="E435" i="6" s="1"/>
  <c r="F435" i="6" s="1"/>
  <c r="G435" i="6" s="1"/>
  <c r="I435" i="6" s="1"/>
  <c r="D398" i="6"/>
  <c r="E398" i="6" s="1"/>
  <c r="F398" i="6" s="1"/>
  <c r="G398" i="6" s="1"/>
  <c r="I398" i="6" s="1"/>
  <c r="D282" i="6"/>
  <c r="E282" i="6" s="1"/>
  <c r="F282" i="6" s="1"/>
  <c r="G282" i="6" s="1"/>
  <c r="I282" i="6" s="1"/>
  <c r="D303" i="6"/>
  <c r="E303" i="6" s="1"/>
  <c r="F303" i="6" s="1"/>
  <c r="G303" i="6" s="1"/>
  <c r="I303" i="6" s="1"/>
  <c r="D485" i="6"/>
  <c r="E485" i="6" s="1"/>
  <c r="F485" i="6" s="1"/>
  <c r="G485" i="6" s="1"/>
  <c r="I485" i="6" s="1"/>
  <c r="D490" i="6"/>
  <c r="E490" i="6" s="1"/>
  <c r="F490" i="6" s="1"/>
  <c r="G490" i="6" s="1"/>
  <c r="I490" i="6" s="1"/>
  <c r="D261" i="6"/>
  <c r="E261" i="6" s="1"/>
  <c r="F261" i="6" s="1"/>
  <c r="G261" i="6" s="1"/>
  <c r="I261" i="6" s="1"/>
  <c r="D469" i="6"/>
  <c r="E469" i="6" s="1"/>
  <c r="F469" i="6" s="1"/>
  <c r="G469" i="6" s="1"/>
  <c r="I469" i="6" s="1"/>
  <c r="D496" i="6"/>
  <c r="E496" i="6" s="1"/>
  <c r="F496" i="6" s="1"/>
  <c r="G496" i="6" s="1"/>
  <c r="I496" i="6" s="1"/>
  <c r="D278" i="6"/>
  <c r="E278" i="6" s="1"/>
  <c r="F278" i="6" s="1"/>
  <c r="G278" i="6" s="1"/>
  <c r="I278" i="6" s="1"/>
  <c r="D258" i="6"/>
  <c r="E258" i="6" s="1"/>
  <c r="F258" i="6" s="1"/>
  <c r="G258" i="6" s="1"/>
  <c r="I258" i="6" s="1"/>
  <c r="D220" i="6"/>
  <c r="E220" i="6" s="1"/>
  <c r="F220" i="6" s="1"/>
  <c r="G220" i="6" s="1"/>
  <c r="I220" i="6" s="1"/>
  <c r="D255" i="6"/>
  <c r="E255" i="6" s="1"/>
  <c r="F255" i="6" s="1"/>
  <c r="G255" i="6" s="1"/>
  <c r="I255" i="6" s="1"/>
  <c r="D397" i="6"/>
  <c r="E397" i="6" s="1"/>
  <c r="F397" i="6" s="1"/>
  <c r="G397" i="6" s="1"/>
  <c r="I397" i="6" s="1"/>
  <c r="D337" i="6"/>
  <c r="E337" i="6" s="1"/>
  <c r="F337" i="6" s="1"/>
  <c r="G337" i="6" s="1"/>
  <c r="I337" i="6" s="1"/>
  <c r="D457" i="6"/>
  <c r="E457" i="6" s="1"/>
  <c r="F457" i="6" s="1"/>
  <c r="G457" i="6" s="1"/>
  <c r="I457" i="6" s="1"/>
  <c r="D267" i="6"/>
  <c r="E267" i="6" s="1"/>
  <c r="F267" i="6" s="1"/>
  <c r="G267" i="6" s="1"/>
  <c r="I267" i="6" s="1"/>
  <c r="D431" i="6"/>
  <c r="E431" i="6" s="1"/>
  <c r="F431" i="6" s="1"/>
  <c r="G431" i="6" s="1"/>
  <c r="I431" i="6" s="1"/>
  <c r="D211" i="6"/>
  <c r="E211" i="6" s="1"/>
  <c r="F211" i="6" s="1"/>
  <c r="G211" i="6" s="1"/>
  <c r="I211" i="6" s="1"/>
  <c r="D319" i="6"/>
  <c r="E319" i="6" s="1"/>
  <c r="F319" i="6" s="1"/>
  <c r="G319" i="6" s="1"/>
  <c r="I319" i="6" s="1"/>
  <c r="D395" i="6"/>
  <c r="E395" i="6" s="1"/>
  <c r="F395" i="6" s="1"/>
  <c r="G395" i="6" s="1"/>
  <c r="I395" i="6" s="1"/>
  <c r="D212" i="6"/>
  <c r="E212" i="6" s="1"/>
  <c r="F212" i="6" s="1"/>
  <c r="G212" i="6" s="1"/>
  <c r="I212" i="6" s="1"/>
  <c r="D404" i="6"/>
  <c r="E404" i="6" s="1"/>
  <c r="F404" i="6" s="1"/>
  <c r="G404" i="6" s="1"/>
  <c r="I404" i="6" s="1"/>
  <c r="D493" i="6"/>
  <c r="E493" i="6" s="1"/>
  <c r="F493" i="6" s="1"/>
  <c r="G493" i="6" s="1"/>
  <c r="I493" i="6" s="1"/>
  <c r="D380" i="6"/>
  <c r="E380" i="6" s="1"/>
  <c r="F380" i="6" s="1"/>
  <c r="G380" i="6" s="1"/>
  <c r="I380" i="6" s="1"/>
  <c r="D484" i="6"/>
  <c r="E484" i="6" s="1"/>
  <c r="F484" i="6" s="1"/>
  <c r="G484" i="6" s="1"/>
  <c r="I484" i="6" s="1"/>
  <c r="D225" i="6"/>
  <c r="E225" i="6" s="1"/>
  <c r="F225" i="6" s="1"/>
  <c r="G225" i="6" s="1"/>
  <c r="I225" i="6" s="1"/>
  <c r="D318" i="6"/>
  <c r="E318" i="6" s="1"/>
  <c r="F318" i="6" s="1"/>
  <c r="G318" i="6" s="1"/>
  <c r="I318" i="6" s="1"/>
  <c r="D396" i="6"/>
  <c r="E396" i="6" s="1"/>
  <c r="F396" i="6" s="1"/>
  <c r="G396" i="6" s="1"/>
  <c r="I396" i="6" s="1"/>
  <c r="D434" i="6"/>
  <c r="E434" i="6" s="1"/>
  <c r="F434" i="6" s="1"/>
  <c r="G434" i="6" s="1"/>
  <c r="I434" i="6" s="1"/>
  <c r="D301" i="6"/>
  <c r="E301" i="6" s="1"/>
  <c r="F301" i="6" s="1"/>
  <c r="G301" i="6" s="1"/>
  <c r="I301" i="6" s="1"/>
  <c r="D251" i="6"/>
  <c r="E251" i="6" s="1"/>
  <c r="F251" i="6" s="1"/>
  <c r="G251" i="6" s="1"/>
  <c r="I251" i="6" s="1"/>
  <c r="D377" i="6"/>
  <c r="E377" i="6" s="1"/>
  <c r="F377" i="6" s="1"/>
  <c r="G377" i="6" s="1"/>
  <c r="I377" i="6" s="1"/>
  <c r="D271" i="6"/>
  <c r="E271" i="6" s="1"/>
  <c r="F271" i="6" s="1"/>
  <c r="G271" i="6" s="1"/>
  <c r="I271" i="6" s="1"/>
  <c r="D244" i="6"/>
  <c r="E244" i="6" s="1"/>
  <c r="F244" i="6" s="1"/>
  <c r="G244" i="6" s="1"/>
  <c r="I244" i="6" s="1"/>
  <c r="D345" i="6"/>
  <c r="E345" i="6" s="1"/>
  <c r="F345" i="6" s="1"/>
  <c r="G345" i="6" s="1"/>
  <c r="I345" i="6" s="1"/>
  <c r="D246" i="6"/>
  <c r="E246" i="6" s="1"/>
  <c r="F246" i="6" s="1"/>
  <c r="G246" i="6" s="1"/>
  <c r="I246" i="6" s="1"/>
  <c r="D409" i="6"/>
  <c r="E409" i="6" s="1"/>
  <c r="F409" i="6" s="1"/>
  <c r="G409" i="6" s="1"/>
  <c r="I409" i="6" s="1"/>
  <c r="D235" i="6"/>
  <c r="E235" i="6" s="1"/>
  <c r="F235" i="6" s="1"/>
  <c r="G235" i="6" s="1"/>
  <c r="I235" i="6" s="1"/>
  <c r="D464" i="6"/>
  <c r="E464" i="6" s="1"/>
  <c r="F464" i="6" s="1"/>
  <c r="G464" i="6" s="1"/>
  <c r="I464" i="6" s="1"/>
  <c r="D208" i="6"/>
  <c r="E208" i="6" s="1"/>
  <c r="F208" i="6" s="1"/>
  <c r="G208" i="6" s="1"/>
  <c r="I208" i="6" s="1"/>
  <c r="D372" i="6"/>
  <c r="E372" i="6" s="1"/>
  <c r="F372" i="6" s="1"/>
  <c r="G372" i="6" s="1"/>
  <c r="I372" i="6" s="1"/>
  <c r="D369" i="6"/>
  <c r="E369" i="6" s="1"/>
  <c r="F369" i="6" s="1"/>
  <c r="G369" i="6" s="1"/>
  <c r="I369" i="6" s="1"/>
  <c r="D474" i="6"/>
  <c r="E474" i="6" s="1"/>
  <c r="F474" i="6" s="1"/>
  <c r="G474" i="6" s="1"/>
  <c r="I474" i="6" s="1"/>
  <c r="D340" i="6"/>
  <c r="E340" i="6" s="1"/>
  <c r="F340" i="6" s="1"/>
  <c r="G340" i="6" s="1"/>
  <c r="I340" i="6" s="1"/>
  <c r="D460" i="6"/>
  <c r="E460" i="6" s="1"/>
  <c r="F460" i="6" s="1"/>
  <c r="G460" i="6" s="1"/>
  <c r="I460" i="6" s="1"/>
  <c r="D304" i="6"/>
  <c r="E304" i="6" s="1"/>
  <c r="F304" i="6" s="1"/>
  <c r="G304" i="6" s="1"/>
  <c r="I304" i="6" s="1"/>
  <c r="D477" i="6"/>
  <c r="E477" i="6" s="1"/>
  <c r="F477" i="6" s="1"/>
  <c r="G477" i="6" s="1"/>
  <c r="I477" i="6" s="1"/>
  <c r="D353" i="6"/>
  <c r="E353" i="6" s="1"/>
  <c r="F353" i="6" s="1"/>
  <c r="G353" i="6" s="1"/>
  <c r="I353" i="6" s="1"/>
  <c r="D362" i="6"/>
  <c r="E362" i="6" s="1"/>
  <c r="F362" i="6" s="1"/>
  <c r="G362" i="6" s="1"/>
  <c r="I362" i="6" s="1"/>
  <c r="D391" i="6"/>
  <c r="E391" i="6" s="1"/>
  <c r="F391" i="6" s="1"/>
  <c r="G391" i="6" s="1"/>
  <c r="I391" i="6" s="1"/>
  <c r="D273" i="6"/>
  <c r="E273" i="6" s="1"/>
  <c r="F273" i="6" s="1"/>
  <c r="G273" i="6" s="1"/>
  <c r="I273" i="6" s="1"/>
  <c r="D481" i="6"/>
  <c r="E481" i="6" s="1"/>
  <c r="F481" i="6" s="1"/>
  <c r="G481" i="6" s="1"/>
  <c r="I481" i="6" s="1"/>
  <c r="D239" i="6"/>
  <c r="E239" i="6" s="1"/>
  <c r="F239" i="6" s="1"/>
  <c r="G239" i="6" s="1"/>
  <c r="I239" i="6" s="1"/>
  <c r="D418" i="6"/>
  <c r="E418" i="6" s="1"/>
  <c r="F418" i="6" s="1"/>
  <c r="G418" i="6" s="1"/>
  <c r="I418" i="6" s="1"/>
  <c r="D465" i="6"/>
  <c r="E465" i="6" s="1"/>
  <c r="F465" i="6" s="1"/>
  <c r="G465" i="6" s="1"/>
  <c r="I465" i="6" s="1"/>
  <c r="D429" i="6"/>
  <c r="E429" i="6" s="1"/>
  <c r="F429" i="6" s="1"/>
  <c r="G429" i="6" s="1"/>
  <c r="I429" i="6" s="1"/>
  <c r="D400" i="6"/>
  <c r="E400" i="6" s="1"/>
  <c r="F400" i="6" s="1"/>
  <c r="G400" i="6" s="1"/>
  <c r="I400" i="6" s="1"/>
  <c r="D413" i="6"/>
  <c r="E413" i="6" s="1"/>
  <c r="F413" i="6" s="1"/>
  <c r="G413" i="6" s="1"/>
  <c r="I413" i="6" s="1"/>
  <c r="D449" i="6"/>
  <c r="E449" i="6" s="1"/>
  <c r="F449" i="6" s="1"/>
  <c r="G449" i="6" s="1"/>
  <c r="I449" i="6" s="1"/>
  <c r="D325" i="6"/>
  <c r="E325" i="6" s="1"/>
  <c r="F325" i="6" s="1"/>
  <c r="G325" i="6" s="1"/>
  <c r="I325" i="6" s="1"/>
  <c r="D438" i="6"/>
  <c r="E438" i="6" s="1"/>
  <c r="F438" i="6" s="1"/>
  <c r="G438" i="6" s="1"/>
  <c r="I438" i="6" s="1"/>
  <c r="D381" i="6"/>
  <c r="E381" i="6" s="1"/>
  <c r="F381" i="6" s="1"/>
  <c r="G381" i="6" s="1"/>
  <c r="I381" i="6" s="1"/>
  <c r="D253" i="6"/>
  <c r="E253" i="6" s="1"/>
  <c r="F253" i="6" s="1"/>
  <c r="G253" i="6" s="1"/>
  <c r="I253" i="6" s="1"/>
  <c r="D408" i="6"/>
  <c r="E408" i="6" s="1"/>
  <c r="F408" i="6" s="1"/>
  <c r="G408" i="6" s="1"/>
  <c r="I408" i="6" s="1"/>
  <c r="D427" i="6"/>
  <c r="E427" i="6" s="1"/>
  <c r="F427" i="6" s="1"/>
  <c r="G427" i="6" s="1"/>
  <c r="I427" i="6" s="1"/>
  <c r="D463" i="6"/>
  <c r="E463" i="6" s="1"/>
  <c r="F463" i="6" s="1"/>
  <c r="G463" i="6" s="1"/>
  <c r="I463" i="6" s="1"/>
  <c r="D368" i="6"/>
  <c r="E368" i="6" s="1"/>
  <c r="F368" i="6" s="1"/>
  <c r="G368" i="6" s="1"/>
  <c r="I368" i="6" s="1"/>
  <c r="D346" i="6"/>
  <c r="E346" i="6" s="1"/>
  <c r="F346" i="6" s="1"/>
  <c r="G346" i="6" s="1"/>
  <c r="I346" i="6" s="1"/>
  <c r="D428" i="6"/>
  <c r="E428" i="6" s="1"/>
  <c r="F428" i="6" s="1"/>
  <c r="G428" i="6" s="1"/>
  <c r="I428" i="6" s="1"/>
  <c r="D495" i="6"/>
  <c r="E495" i="6" s="1"/>
  <c r="F495" i="6" s="1"/>
  <c r="G495" i="6" s="1"/>
  <c r="I495" i="6" s="1"/>
  <c r="D443" i="6"/>
  <c r="E443" i="6" s="1"/>
  <c r="F443" i="6" s="1"/>
  <c r="G443" i="6" s="1"/>
  <c r="I443" i="6" s="1"/>
  <c r="D277" i="6"/>
  <c r="E277" i="6" s="1"/>
  <c r="F277" i="6" s="1"/>
  <c r="G277" i="6" s="1"/>
  <c r="I277" i="6" s="1"/>
  <c r="D238" i="6"/>
  <c r="E238" i="6" s="1"/>
  <c r="F238" i="6" s="1"/>
  <c r="G238" i="6" s="1"/>
  <c r="I238" i="6" s="1"/>
  <c r="D307" i="6"/>
  <c r="E307" i="6" s="1"/>
  <c r="F307" i="6" s="1"/>
  <c r="G307" i="6" s="1"/>
  <c r="I307" i="6" s="1"/>
  <c r="D488" i="6"/>
  <c r="E488" i="6" s="1"/>
  <c r="F488" i="6" s="1"/>
  <c r="G488" i="6" s="1"/>
  <c r="I488" i="6" s="1"/>
  <c r="D284" i="6"/>
  <c r="E284" i="6" s="1"/>
  <c r="F284" i="6" s="1"/>
  <c r="G284" i="6" s="1"/>
  <c r="I284" i="6" s="1"/>
  <c r="D466" i="6"/>
  <c r="E466" i="6" s="1"/>
  <c r="F466" i="6" s="1"/>
  <c r="G466" i="6" s="1"/>
  <c r="I466" i="6" s="1"/>
  <c r="D467" i="6"/>
  <c r="E467" i="6" s="1"/>
  <c r="F467" i="6" s="1"/>
  <c r="G467" i="6" s="1"/>
  <c r="I467" i="6" s="1"/>
  <c r="D290" i="6"/>
  <c r="E290" i="6" s="1"/>
  <c r="F290" i="6" s="1"/>
  <c r="G290" i="6" s="1"/>
  <c r="I290" i="6" s="1"/>
  <c r="D260" i="6"/>
  <c r="E260" i="6" s="1"/>
  <c r="F260" i="6" s="1"/>
  <c r="G260" i="6" s="1"/>
  <c r="I260" i="6" s="1"/>
  <c r="D298" i="6"/>
  <c r="E298" i="6" s="1"/>
  <c r="F298" i="6" s="1"/>
  <c r="G298" i="6" s="1"/>
  <c r="I298" i="6" s="1"/>
  <c r="D331" i="6"/>
  <c r="E331" i="6" s="1"/>
  <c r="F331" i="6" s="1"/>
  <c r="G331" i="6" s="1"/>
  <c r="I331" i="6" s="1"/>
  <c r="D344" i="6"/>
  <c r="E344" i="6" s="1"/>
  <c r="F344" i="6" s="1"/>
  <c r="G344" i="6" s="1"/>
  <c r="I344" i="6" s="1"/>
  <c r="D285" i="6"/>
  <c r="E285" i="6" s="1"/>
  <c r="F285" i="6" s="1"/>
  <c r="G285" i="6" s="1"/>
  <c r="I285" i="6" s="1"/>
  <c r="D247" i="6"/>
  <c r="E247" i="6" s="1"/>
  <c r="F247" i="6" s="1"/>
  <c r="G247" i="6" s="1"/>
  <c r="I247" i="6" s="1"/>
  <c r="D352" i="6"/>
  <c r="E352" i="6" s="1"/>
  <c r="F352" i="6" s="1"/>
  <c r="G352" i="6" s="1"/>
  <c r="I352" i="6" s="1"/>
  <c r="D363" i="6"/>
  <c r="E363" i="6" s="1"/>
  <c r="F363" i="6" s="1"/>
  <c r="G363" i="6" s="1"/>
  <c r="I363" i="6" s="1"/>
  <c r="D359" i="6"/>
  <c r="E359" i="6" s="1"/>
  <c r="F359" i="6" s="1"/>
  <c r="G359" i="6" s="1"/>
  <c r="I359" i="6" s="1"/>
  <c r="D442" i="6"/>
  <c r="E442" i="6" s="1"/>
  <c r="F442" i="6" s="1"/>
  <c r="G442" i="6" s="1"/>
  <c r="I442" i="6" s="1"/>
  <c r="D440" i="6"/>
  <c r="E440" i="6" s="1"/>
  <c r="F440" i="6" s="1"/>
  <c r="G440" i="6" s="1"/>
  <c r="I440" i="6" s="1"/>
  <c r="D216" i="6"/>
  <c r="E216" i="6" s="1"/>
  <c r="F216" i="6" s="1"/>
  <c r="G216" i="6" s="1"/>
  <c r="I216" i="6" s="1"/>
  <c r="D350" i="6"/>
  <c r="E350" i="6" s="1"/>
  <c r="F350" i="6" s="1"/>
  <c r="G350" i="6" s="1"/>
  <c r="I350" i="6" s="1"/>
  <c r="D454" i="6"/>
  <c r="E454" i="6" s="1"/>
  <c r="F454" i="6" s="1"/>
  <c r="G454" i="6" s="1"/>
  <c r="I454" i="6" s="1"/>
  <c r="D456" i="6"/>
  <c r="E456" i="6" s="1"/>
  <c r="F456" i="6" s="1"/>
  <c r="G456" i="6" s="1"/>
  <c r="I456" i="6" s="1"/>
  <c r="D354" i="6"/>
  <c r="E354" i="6" s="1"/>
  <c r="F354" i="6" s="1"/>
  <c r="G354" i="6" s="1"/>
  <c r="I354" i="6" s="1"/>
  <c r="D375" i="6"/>
  <c r="E375" i="6" s="1"/>
  <c r="F375" i="6" s="1"/>
  <c r="G375" i="6" s="1"/>
  <c r="I375" i="6" s="1"/>
  <c r="D328" i="6"/>
  <c r="E328" i="6" s="1"/>
  <c r="F328" i="6" s="1"/>
  <c r="G328" i="6" s="1"/>
  <c r="I328" i="6" s="1"/>
  <c r="J483" i="6"/>
  <c r="J460" i="6"/>
  <c r="J489" i="6"/>
  <c r="J445" i="6"/>
  <c r="J430" i="6"/>
  <c r="J465" i="6"/>
  <c r="J433" i="6"/>
  <c r="J470" i="6"/>
  <c r="J404" i="6"/>
  <c r="J422" i="6"/>
  <c r="J399" i="6"/>
  <c r="J417" i="6"/>
  <c r="J402" i="6"/>
  <c r="J376" i="6"/>
  <c r="J361" i="6"/>
  <c r="J386" i="6"/>
  <c r="J364" i="6"/>
  <c r="J341" i="6"/>
  <c r="J339" i="6"/>
  <c r="J324" i="6"/>
  <c r="J301" i="6"/>
  <c r="J335" i="6"/>
  <c r="J312" i="6"/>
  <c r="J281" i="6"/>
  <c r="J274" i="6"/>
  <c r="J267" i="6"/>
  <c r="J268" i="6"/>
  <c r="J253" i="6"/>
  <c r="J287" i="6"/>
  <c r="J225" i="6"/>
  <c r="J280" i="6"/>
  <c r="J251" i="6"/>
  <c r="J237" i="6"/>
  <c r="J218" i="6"/>
  <c r="J231" i="6"/>
  <c r="J216" i="6"/>
  <c r="J496" i="6"/>
  <c r="J475" i="6"/>
  <c r="J452" i="6"/>
  <c r="J473" i="6"/>
  <c r="J437" i="6"/>
  <c r="J494" i="6"/>
  <c r="J448" i="6"/>
  <c r="J485" i="6"/>
  <c r="J454" i="6"/>
  <c r="J396" i="6"/>
  <c r="J414" i="6"/>
  <c r="J391" i="6"/>
  <c r="J409" i="6"/>
  <c r="J394" i="6"/>
  <c r="J368" i="6"/>
  <c r="J353" i="6"/>
  <c r="J379" i="6"/>
  <c r="J356" i="6"/>
  <c r="J382" i="6"/>
  <c r="J331" i="6"/>
  <c r="J316" i="6"/>
  <c r="J375" i="6"/>
  <c r="J327" i="6"/>
  <c r="J337" i="6"/>
  <c r="J273" i="6"/>
  <c r="J266" i="6"/>
  <c r="J259" i="6"/>
  <c r="J260" i="6"/>
  <c r="J330" i="6"/>
  <c r="J279" i="6"/>
  <c r="J217" i="6"/>
  <c r="J254" i="6"/>
  <c r="J244" i="6"/>
  <c r="J229" i="6"/>
  <c r="J211" i="6"/>
  <c r="J248" i="6"/>
  <c r="J247" i="6"/>
  <c r="J488" i="6"/>
  <c r="J467" i="6"/>
  <c r="J495" i="6"/>
  <c r="J457" i="6"/>
  <c r="J429" i="6"/>
  <c r="J478" i="6"/>
  <c r="J440" i="6"/>
  <c r="J469" i="6"/>
  <c r="J451" i="6"/>
  <c r="J388" i="6"/>
  <c r="J406" i="6"/>
  <c r="J424" i="6"/>
  <c r="J401" i="6"/>
  <c r="J427" i="6"/>
  <c r="J360" i="6"/>
  <c r="J345" i="6"/>
  <c r="J371" i="6"/>
  <c r="J348" i="6"/>
  <c r="J374" i="6"/>
  <c r="J323" i="6"/>
  <c r="J308" i="6"/>
  <c r="J334" i="6"/>
  <c r="J319" i="6"/>
  <c r="J329" i="6"/>
  <c r="J265" i="6"/>
  <c r="J258" i="6"/>
  <c r="J314" i="6"/>
  <c r="J322" i="6"/>
  <c r="J294" i="6"/>
  <c r="J271" i="6"/>
  <c r="J272" i="6"/>
  <c r="J243" i="6"/>
  <c r="J236" i="6"/>
  <c r="J221" i="6"/>
  <c r="J207" i="6"/>
  <c r="J213" i="6"/>
  <c r="J214" i="6"/>
  <c r="J480" i="6"/>
  <c r="J459" i="6"/>
  <c r="J487" i="6"/>
  <c r="J444" i="6"/>
  <c r="J493" i="6"/>
  <c r="J462" i="6"/>
  <c r="J432" i="6"/>
  <c r="J453" i="6"/>
  <c r="J443" i="6"/>
  <c r="J421" i="6"/>
  <c r="J398" i="6"/>
  <c r="J416" i="6"/>
  <c r="J393" i="6"/>
  <c r="J419" i="6"/>
  <c r="J352" i="6"/>
  <c r="J378" i="6"/>
  <c r="J363" i="6"/>
  <c r="J381" i="6"/>
  <c r="J366" i="6"/>
  <c r="J315" i="6"/>
  <c r="J367" i="6"/>
  <c r="J326" i="6"/>
  <c r="J311" i="6"/>
  <c r="J321" i="6"/>
  <c r="J257" i="6"/>
  <c r="J304" i="6"/>
  <c r="J306" i="6"/>
  <c r="J293" i="6"/>
  <c r="J286" i="6"/>
  <c r="J263" i="6"/>
  <c r="J252" i="6"/>
  <c r="J235" i="6"/>
  <c r="J228" i="6"/>
  <c r="J246" i="6"/>
  <c r="B119" i="6"/>
  <c r="B120" i="6" s="1"/>
  <c r="B145" i="6" s="1"/>
  <c r="J224" i="6"/>
  <c r="J209" i="6"/>
  <c r="J472" i="6"/>
  <c r="J492" i="6"/>
  <c r="J479" i="6"/>
  <c r="J436" i="6"/>
  <c r="J477" i="6"/>
  <c r="J447" i="6"/>
  <c r="J482" i="6"/>
  <c r="J450" i="6"/>
  <c r="J435" i="6"/>
  <c r="J413" i="6"/>
  <c r="J390" i="6"/>
  <c r="J408" i="6"/>
  <c r="J385" i="6"/>
  <c r="J411" i="6"/>
  <c r="J344" i="6"/>
  <c r="J370" i="6"/>
  <c r="J355" i="6"/>
  <c r="J373" i="6"/>
  <c r="J358" i="6"/>
  <c r="J307" i="6"/>
  <c r="J333" i="6"/>
  <c r="J318" i="6"/>
  <c r="J303" i="6"/>
  <c r="J313" i="6"/>
  <c r="J343" i="6"/>
  <c r="J299" i="6"/>
  <c r="J300" i="6"/>
  <c r="J285" i="6"/>
  <c r="J278" i="6"/>
  <c r="J264" i="6"/>
  <c r="J250" i="6"/>
  <c r="J227" i="6"/>
  <c r="J220" i="6"/>
  <c r="J238" i="6"/>
  <c r="J210" i="6"/>
  <c r="J208" i="6"/>
  <c r="J232" i="6"/>
  <c r="J484" i="6"/>
  <c r="J458" i="6"/>
  <c r="J449" i="6"/>
  <c r="J405" i="6"/>
  <c r="J425" i="6"/>
  <c r="J377" i="6"/>
  <c r="J365" i="6"/>
  <c r="J332" i="6"/>
  <c r="J328" i="6"/>
  <c r="J291" i="6"/>
  <c r="J261" i="6"/>
  <c r="J234" i="6"/>
  <c r="J230" i="6"/>
  <c r="J239" i="6"/>
  <c r="J347" i="6"/>
  <c r="J212" i="6"/>
  <c r="J490" i="6"/>
  <c r="J383" i="6"/>
  <c r="J384" i="6"/>
  <c r="J282" i="6"/>
  <c r="J476" i="6"/>
  <c r="J461" i="6"/>
  <c r="J441" i="6"/>
  <c r="J397" i="6"/>
  <c r="J426" i="6"/>
  <c r="J369" i="6"/>
  <c r="J357" i="6"/>
  <c r="J325" i="6"/>
  <c r="J320" i="6"/>
  <c r="J283" i="6"/>
  <c r="J270" i="6"/>
  <c r="J226" i="6"/>
  <c r="J222" i="6"/>
  <c r="J464" i="6"/>
  <c r="J407" i="6"/>
  <c r="J302" i="6"/>
  <c r="J481" i="6"/>
  <c r="J380" i="6"/>
  <c r="J233" i="6"/>
  <c r="J474" i="6"/>
  <c r="J412" i="6"/>
  <c r="J340" i="6"/>
  <c r="J242" i="6"/>
  <c r="J262" i="6"/>
  <c r="J468" i="6"/>
  <c r="J446" i="6"/>
  <c r="J442" i="6"/>
  <c r="J389" i="6"/>
  <c r="J418" i="6"/>
  <c r="J362" i="6"/>
  <c r="J349" i="6"/>
  <c r="J317" i="6"/>
  <c r="J305" i="6"/>
  <c r="J275" i="6"/>
  <c r="J338" i="6"/>
  <c r="J219" i="6"/>
  <c r="J223" i="6"/>
  <c r="J431" i="6"/>
  <c r="J428" i="6"/>
  <c r="J351" i="6"/>
  <c r="J276" i="6"/>
  <c r="J296" i="6"/>
  <c r="J456" i="6"/>
  <c r="J400" i="6"/>
  <c r="J290" i="6"/>
  <c r="J491" i="6"/>
  <c r="J392" i="6"/>
  <c r="J269" i="6"/>
  <c r="J471" i="6"/>
  <c r="J438" i="6"/>
  <c r="J434" i="6"/>
  <c r="J423" i="6"/>
  <c r="J410" i="6"/>
  <c r="J354" i="6"/>
  <c r="J350" i="6"/>
  <c r="J309" i="6"/>
  <c r="J297" i="6"/>
  <c r="J292" i="6"/>
  <c r="J295" i="6"/>
  <c r="J288" i="6"/>
  <c r="J240" i="6"/>
  <c r="J298" i="6"/>
  <c r="J387" i="6"/>
  <c r="J256" i="6"/>
  <c r="J463" i="6"/>
  <c r="J439" i="6"/>
  <c r="J486" i="6"/>
  <c r="J415" i="6"/>
  <c r="J403" i="6"/>
  <c r="J346" i="6"/>
  <c r="J342" i="6"/>
  <c r="J310" i="6"/>
  <c r="J289" i="6"/>
  <c r="J284" i="6"/>
  <c r="J249" i="6"/>
  <c r="J255" i="6"/>
  <c r="J215" i="6"/>
  <c r="J455" i="6"/>
  <c r="J395" i="6"/>
  <c r="J241" i="6"/>
  <c r="J420" i="6"/>
  <c r="J359" i="6"/>
  <c r="J277" i="6"/>
  <c r="J466" i="6"/>
  <c r="J372" i="6"/>
  <c r="J336" i="6"/>
  <c r="J245" i="6"/>
  <c r="B27" i="6"/>
  <c r="B28" i="6"/>
  <c r="B31" i="6"/>
  <c r="B32" i="6" s="1"/>
  <c r="B44" i="6" s="1"/>
  <c r="B45" i="6" s="1"/>
  <c r="B54" i="6" s="1"/>
  <c r="B61" i="6" s="1"/>
  <c r="B62" i="6" s="1"/>
  <c r="B66" i="6" s="1"/>
  <c r="D491" i="6"/>
  <c r="E491" i="6" s="1"/>
  <c r="F491" i="6" s="1"/>
  <c r="G491" i="6" s="1"/>
  <c r="I491" i="6" s="1"/>
  <c r="B13" i="4"/>
  <c r="B18" i="4" s="1"/>
  <c r="B19" i="4" s="1"/>
  <c r="B13" i="6"/>
  <c r="B18" i="6" s="1"/>
  <c r="B19" i="6" s="1"/>
  <c r="F106" i="5"/>
  <c r="E106" i="5"/>
  <c r="A108" i="5"/>
  <c r="B107" i="5"/>
  <c r="C107" i="5" s="1"/>
  <c r="D107" i="5" s="1"/>
  <c r="B24" i="4"/>
  <c r="B17" i="4"/>
  <c r="B26" i="4"/>
  <c r="B75" i="8" s="1"/>
  <c r="B129" i="1"/>
  <c r="C129" i="1" s="1"/>
  <c r="D129" i="1" s="1"/>
  <c r="B5" i="8" l="1"/>
  <c r="I249" i="4"/>
  <c r="I266" i="4"/>
  <c r="J266" i="4" s="1"/>
  <c r="K266" i="4" s="1"/>
  <c r="L266" i="4" s="1"/>
  <c r="I263" i="4"/>
  <c r="J263" i="4" s="1"/>
  <c r="K263" i="4" s="1"/>
  <c r="L263" i="4" s="1"/>
  <c r="I259" i="4"/>
  <c r="J259" i="4" s="1"/>
  <c r="K259" i="4" s="1"/>
  <c r="L259" i="4" s="1"/>
  <c r="I268" i="4"/>
  <c r="J268" i="4" s="1"/>
  <c r="K268" i="4" s="1"/>
  <c r="L268" i="4" s="1"/>
  <c r="I255" i="4"/>
  <c r="J255" i="4" s="1"/>
  <c r="K255" i="4" s="1"/>
  <c r="L255" i="4" s="1"/>
  <c r="I264" i="4"/>
  <c r="J264" i="4" s="1"/>
  <c r="K264" i="4" s="1"/>
  <c r="L264" i="4" s="1"/>
  <c r="I251" i="4"/>
  <c r="J251" i="4" s="1"/>
  <c r="K251" i="4" s="1"/>
  <c r="L251" i="4" s="1"/>
  <c r="I265" i="4"/>
  <c r="J265" i="4" s="1"/>
  <c r="K265" i="4" s="1"/>
  <c r="L265" i="4" s="1"/>
  <c r="I260" i="4"/>
  <c r="J260" i="4" s="1"/>
  <c r="K260" i="4" s="1"/>
  <c r="L260" i="4" s="1"/>
  <c r="I256" i="4"/>
  <c r="J256" i="4" s="1"/>
  <c r="K256" i="4" s="1"/>
  <c r="L256" i="4" s="1"/>
  <c r="I258" i="4"/>
  <c r="J258" i="4" s="1"/>
  <c r="K258" i="4" s="1"/>
  <c r="L258" i="4" s="1"/>
  <c r="I262" i="4"/>
  <c r="J262" i="4" s="1"/>
  <c r="K262" i="4" s="1"/>
  <c r="L262" i="4" s="1"/>
  <c r="I257" i="4"/>
  <c r="J257" i="4" s="1"/>
  <c r="K257" i="4" s="1"/>
  <c r="L257" i="4" s="1"/>
  <c r="I261" i="4"/>
  <c r="J261" i="4" s="1"/>
  <c r="K261" i="4" s="1"/>
  <c r="L261" i="4" s="1"/>
  <c r="I252" i="4"/>
  <c r="J252" i="4" s="1"/>
  <c r="K252" i="4" s="1"/>
  <c r="L252" i="4" s="1"/>
  <c r="I253" i="4"/>
  <c r="J253" i="4" s="1"/>
  <c r="K253" i="4" s="1"/>
  <c r="L253" i="4" s="1"/>
  <c r="I250" i="4"/>
  <c r="J250" i="4" s="1"/>
  <c r="K250" i="4" s="1"/>
  <c r="L250" i="4" s="1"/>
  <c r="I267" i="4"/>
  <c r="J267" i="4" s="1"/>
  <c r="K267" i="4" s="1"/>
  <c r="L267" i="4" s="1"/>
  <c r="I254" i="4"/>
  <c r="J254" i="4" s="1"/>
  <c r="K254" i="4" s="1"/>
  <c r="L254" i="4" s="1"/>
  <c r="J249" i="4"/>
  <c r="K249" i="4" s="1"/>
  <c r="L249" i="4" s="1"/>
  <c r="N245" i="10"/>
  <c r="B103" i="10"/>
  <c r="Q261" i="10"/>
  <c r="R261" i="10" s="1"/>
  <c r="P261" i="10"/>
  <c r="Q264" i="10"/>
  <c r="R264" i="10" s="1"/>
  <c r="P264" i="10"/>
  <c r="Q256" i="10"/>
  <c r="R256" i="10" s="1"/>
  <c r="P256" i="10"/>
  <c r="Q249" i="10"/>
  <c r="R249" i="10" s="1"/>
  <c r="P249" i="10"/>
  <c r="Q257" i="10"/>
  <c r="R257" i="10" s="1"/>
  <c r="P257" i="10"/>
  <c r="Q245" i="10"/>
  <c r="R245" i="10" s="1"/>
  <c r="P245" i="10"/>
  <c r="Q263" i="10"/>
  <c r="R263" i="10" s="1"/>
  <c r="P263" i="10"/>
  <c r="P250" i="10"/>
  <c r="Q250" i="10"/>
  <c r="R250" i="10" s="1"/>
  <c r="Q247" i="10"/>
  <c r="R247" i="10" s="1"/>
  <c r="P247" i="10"/>
  <c r="P260" i="10"/>
  <c r="Q260" i="10"/>
  <c r="R260" i="10" s="1"/>
  <c r="Q254" i="10"/>
  <c r="R254" i="10" s="1"/>
  <c r="P254" i="10"/>
  <c r="B136" i="10"/>
  <c r="B137" i="10" s="1"/>
  <c r="B162" i="10" s="1"/>
  <c r="B165" i="10" s="1"/>
  <c r="B168" i="10" s="1"/>
  <c r="B172" i="10"/>
  <c r="B174" i="10" s="1"/>
  <c r="Q259" i="10"/>
  <c r="R259" i="10" s="1"/>
  <c r="P259" i="10"/>
  <c r="Q255" i="10"/>
  <c r="R255" i="10" s="1"/>
  <c r="P255" i="10"/>
  <c r="Q258" i="10"/>
  <c r="R258" i="10" s="1"/>
  <c r="P258" i="10"/>
  <c r="Q248" i="10"/>
  <c r="R248" i="10" s="1"/>
  <c r="P248" i="10"/>
  <c r="P252" i="10"/>
  <c r="Q252" i="10"/>
  <c r="R252" i="10" s="1"/>
  <c r="Q246" i="10"/>
  <c r="R246" i="10" s="1"/>
  <c r="P246" i="10"/>
  <c r="Q262" i="10"/>
  <c r="R262" i="10" s="1"/>
  <c r="P262" i="10"/>
  <c r="Q253" i="10"/>
  <c r="R253" i="10" s="1"/>
  <c r="P253" i="10"/>
  <c r="P251" i="10"/>
  <c r="Q251" i="10"/>
  <c r="R251" i="10" s="1"/>
  <c r="B67" i="6"/>
  <c r="D66" i="6"/>
  <c r="B91" i="6"/>
  <c r="B86" i="6"/>
  <c r="L277" i="6"/>
  <c r="M277" i="6" s="1"/>
  <c r="L249" i="6"/>
  <c r="M249" i="6" s="1"/>
  <c r="L486" i="6"/>
  <c r="M486" i="6" s="1"/>
  <c r="L295" i="6"/>
  <c r="M295" i="6" s="1"/>
  <c r="L434" i="6"/>
  <c r="M434" i="6" s="1"/>
  <c r="L456" i="6"/>
  <c r="M456" i="6" s="1"/>
  <c r="L338" i="6"/>
  <c r="M338" i="6" s="1"/>
  <c r="L442" i="6"/>
  <c r="M442" i="6" s="1"/>
  <c r="L233" i="6"/>
  <c r="M233" i="6" s="1"/>
  <c r="L270" i="6"/>
  <c r="M270" i="6" s="1"/>
  <c r="L441" i="6"/>
  <c r="M441" i="6" s="1"/>
  <c r="L212" i="6"/>
  <c r="M212" i="6" s="1"/>
  <c r="L332" i="6"/>
  <c r="M332" i="6" s="1"/>
  <c r="L232" i="6"/>
  <c r="M232" i="6" s="1"/>
  <c r="L278" i="6"/>
  <c r="M278" i="6" s="1"/>
  <c r="L333" i="6"/>
  <c r="M333" i="6" s="1"/>
  <c r="L385" i="6"/>
  <c r="M385" i="6" s="1"/>
  <c r="L477" i="6"/>
  <c r="M477" i="6" s="1"/>
  <c r="L246" i="6"/>
  <c r="M246" i="6" s="1"/>
  <c r="L304" i="6"/>
  <c r="M304" i="6" s="1"/>
  <c r="L381" i="6"/>
  <c r="M381" i="6" s="1"/>
  <c r="L421" i="6"/>
  <c r="M421" i="6" s="1"/>
  <c r="L459" i="6"/>
  <c r="M459" i="6" s="1"/>
  <c r="L272" i="6"/>
  <c r="M272" i="6" s="1"/>
  <c r="L319" i="6"/>
  <c r="M319" i="6" s="1"/>
  <c r="L360" i="6"/>
  <c r="M360" i="6" s="1"/>
  <c r="L440" i="6"/>
  <c r="M440" i="6" s="1"/>
  <c r="L248" i="6"/>
  <c r="M248" i="6" s="1"/>
  <c r="L260" i="6"/>
  <c r="M260" i="6" s="1"/>
  <c r="L331" i="6"/>
  <c r="M331" i="6" s="1"/>
  <c r="L391" i="6"/>
  <c r="M391" i="6" s="1"/>
  <c r="L473" i="6"/>
  <c r="M473" i="6" s="1"/>
  <c r="L251" i="6"/>
  <c r="M251" i="6" s="1"/>
  <c r="L281" i="6"/>
  <c r="M281" i="6" s="1"/>
  <c r="L386" i="6"/>
  <c r="M386" i="6" s="1"/>
  <c r="L470" i="6"/>
  <c r="M470" i="6" s="1"/>
  <c r="L284" i="6"/>
  <c r="M284" i="6" s="1"/>
  <c r="L439" i="6"/>
  <c r="M439" i="6" s="1"/>
  <c r="L292" i="6"/>
  <c r="M292" i="6" s="1"/>
  <c r="L438" i="6"/>
  <c r="M438" i="6" s="1"/>
  <c r="L296" i="6"/>
  <c r="M296" i="6" s="1"/>
  <c r="L275" i="6"/>
  <c r="M275" i="6" s="1"/>
  <c r="L446" i="6"/>
  <c r="M446" i="6" s="1"/>
  <c r="L380" i="6"/>
  <c r="M380" i="6" s="1"/>
  <c r="L283" i="6"/>
  <c r="M283" i="6" s="1"/>
  <c r="L461" i="6"/>
  <c r="M461" i="6" s="1"/>
  <c r="L347" i="6"/>
  <c r="M347" i="6" s="1"/>
  <c r="L365" i="6"/>
  <c r="M365" i="6" s="1"/>
  <c r="L208" i="6"/>
  <c r="M208" i="6" s="1"/>
  <c r="L285" i="6"/>
  <c r="M285" i="6" s="1"/>
  <c r="L307" i="6"/>
  <c r="M307" i="6" s="1"/>
  <c r="L408" i="6"/>
  <c r="M408" i="6" s="1"/>
  <c r="L436" i="6"/>
  <c r="M436" i="6" s="1"/>
  <c r="L228" i="6"/>
  <c r="M228" i="6" s="1"/>
  <c r="L257" i="6"/>
  <c r="M257" i="6" s="1"/>
  <c r="L363" i="6"/>
  <c r="M363" i="6" s="1"/>
  <c r="L443" i="6"/>
  <c r="M443" i="6" s="1"/>
  <c r="L480" i="6"/>
  <c r="M480" i="6" s="1"/>
  <c r="L271" i="6"/>
  <c r="M271" i="6" s="1"/>
  <c r="L334" i="6"/>
  <c r="M334" i="6" s="1"/>
  <c r="L427" i="6"/>
  <c r="M427" i="6" s="1"/>
  <c r="L478" i="6"/>
  <c r="M478" i="6" s="1"/>
  <c r="L211" i="6"/>
  <c r="M211" i="6" s="1"/>
  <c r="L259" i="6"/>
  <c r="M259" i="6" s="1"/>
  <c r="L382" i="6"/>
  <c r="M382" i="6" s="1"/>
  <c r="L414" i="6"/>
  <c r="M414" i="6" s="1"/>
  <c r="L452" i="6"/>
  <c r="M452" i="6" s="1"/>
  <c r="L280" i="6"/>
  <c r="M280" i="6" s="1"/>
  <c r="L312" i="6"/>
  <c r="M312" i="6" s="1"/>
  <c r="L361" i="6"/>
  <c r="M361" i="6" s="1"/>
  <c r="L433" i="6"/>
  <c r="M433" i="6" s="1"/>
  <c r="L466" i="6"/>
  <c r="M466" i="6" s="1"/>
  <c r="L474" i="6"/>
  <c r="M474" i="6" s="1"/>
  <c r="L420" i="6"/>
  <c r="M420" i="6" s="1"/>
  <c r="L289" i="6"/>
  <c r="M289" i="6" s="1"/>
  <c r="L463" i="6"/>
  <c r="M463" i="6" s="1"/>
  <c r="L297" i="6"/>
  <c r="M297" i="6" s="1"/>
  <c r="L471" i="6"/>
  <c r="M471" i="6" s="1"/>
  <c r="L276" i="6"/>
  <c r="M276" i="6" s="1"/>
  <c r="L305" i="6"/>
  <c r="M305" i="6" s="1"/>
  <c r="L468" i="6"/>
  <c r="M468" i="6" s="1"/>
  <c r="L481" i="6"/>
  <c r="M481" i="6" s="1"/>
  <c r="L320" i="6"/>
  <c r="M320" i="6" s="1"/>
  <c r="L476" i="6"/>
  <c r="M476" i="6" s="1"/>
  <c r="L239" i="6"/>
  <c r="M239" i="6" s="1"/>
  <c r="L377" i="6"/>
  <c r="M377" i="6" s="1"/>
  <c r="L210" i="6"/>
  <c r="M210" i="6" s="1"/>
  <c r="L300" i="6"/>
  <c r="M300" i="6" s="1"/>
  <c r="L358" i="6"/>
  <c r="M358" i="6" s="1"/>
  <c r="L390" i="6"/>
  <c r="M390" i="6" s="1"/>
  <c r="L479" i="6"/>
  <c r="M479" i="6" s="1"/>
  <c r="L235" i="6"/>
  <c r="M235" i="6" s="1"/>
  <c r="L321" i="6"/>
  <c r="M321" i="6" s="1"/>
  <c r="L378" i="6"/>
  <c r="M378" i="6" s="1"/>
  <c r="L453" i="6"/>
  <c r="M453" i="6" s="1"/>
  <c r="L214" i="6"/>
  <c r="M214" i="6" s="1"/>
  <c r="L294" i="6"/>
  <c r="M294" i="6" s="1"/>
  <c r="L308" i="6"/>
  <c r="M308" i="6" s="1"/>
  <c r="L401" i="6"/>
  <c r="M401" i="6" s="1"/>
  <c r="L429" i="6"/>
  <c r="M429" i="6" s="1"/>
  <c r="L229" i="6"/>
  <c r="M229" i="6" s="1"/>
  <c r="L266" i="6"/>
  <c r="M266" i="6" s="1"/>
  <c r="L356" i="6"/>
  <c r="M356" i="6" s="1"/>
  <c r="L396" i="6"/>
  <c r="M396" i="6" s="1"/>
  <c r="L475" i="6"/>
  <c r="M475" i="6" s="1"/>
  <c r="L225" i="6"/>
  <c r="M225" i="6" s="1"/>
  <c r="L335" i="6"/>
  <c r="M335" i="6" s="1"/>
  <c r="L376" i="6"/>
  <c r="M376" i="6" s="1"/>
  <c r="L465" i="6"/>
  <c r="M465" i="6" s="1"/>
  <c r="L255" i="6"/>
  <c r="M255" i="6" s="1"/>
  <c r="L423" i="6"/>
  <c r="M423" i="6" s="1"/>
  <c r="L389" i="6"/>
  <c r="M389" i="6" s="1"/>
  <c r="L490" i="6"/>
  <c r="M490" i="6" s="1"/>
  <c r="L264" i="6"/>
  <c r="M264" i="6" s="1"/>
  <c r="L411" i="6"/>
  <c r="M411" i="6" s="1"/>
  <c r="L241" i="6"/>
  <c r="M241" i="6" s="1"/>
  <c r="L310" i="6"/>
  <c r="M310" i="6" s="1"/>
  <c r="L256" i="6"/>
  <c r="M256" i="6" s="1"/>
  <c r="L309" i="6"/>
  <c r="M309" i="6" s="1"/>
  <c r="L269" i="6"/>
  <c r="M269" i="6" s="1"/>
  <c r="L351" i="6"/>
  <c r="M351" i="6" s="1"/>
  <c r="L317" i="6"/>
  <c r="M317" i="6" s="1"/>
  <c r="L262" i="6"/>
  <c r="M262" i="6" s="1"/>
  <c r="L302" i="6"/>
  <c r="M302" i="6" s="1"/>
  <c r="L325" i="6"/>
  <c r="M325" i="6" s="1"/>
  <c r="L282" i="6"/>
  <c r="M282" i="6" s="1"/>
  <c r="L230" i="6"/>
  <c r="M230" i="6" s="1"/>
  <c r="L425" i="6"/>
  <c r="M425" i="6" s="1"/>
  <c r="L238" i="6"/>
  <c r="M238" i="6" s="1"/>
  <c r="L299" i="6"/>
  <c r="M299" i="6" s="1"/>
  <c r="L373" i="6"/>
  <c r="M373" i="6" s="1"/>
  <c r="L413" i="6"/>
  <c r="M413" i="6" s="1"/>
  <c r="L492" i="6"/>
  <c r="M492" i="6" s="1"/>
  <c r="L252" i="6"/>
  <c r="M252" i="6" s="1"/>
  <c r="L311" i="6"/>
  <c r="M311" i="6" s="1"/>
  <c r="L352" i="6"/>
  <c r="M352" i="6" s="1"/>
  <c r="L432" i="6"/>
  <c r="M432" i="6" s="1"/>
  <c r="L213" i="6"/>
  <c r="M213" i="6" s="1"/>
  <c r="L322" i="6"/>
  <c r="M322" i="6" s="1"/>
  <c r="L323" i="6"/>
  <c r="M323" i="6" s="1"/>
  <c r="L424" i="6"/>
  <c r="M424" i="6" s="1"/>
  <c r="L457" i="6"/>
  <c r="M457" i="6" s="1"/>
  <c r="L244" i="6"/>
  <c r="M244" i="6" s="1"/>
  <c r="L273" i="6"/>
  <c r="M273" i="6" s="1"/>
  <c r="L379" i="6"/>
  <c r="M379" i="6" s="1"/>
  <c r="L454" i="6"/>
  <c r="M454" i="6" s="1"/>
  <c r="L496" i="6"/>
  <c r="M496" i="6" s="1"/>
  <c r="L287" i="6"/>
  <c r="M287" i="6" s="1"/>
  <c r="L301" i="6"/>
  <c r="M301" i="6" s="1"/>
  <c r="L402" i="6"/>
  <c r="M402" i="6" s="1"/>
  <c r="L430" i="6"/>
  <c r="M430" i="6" s="1"/>
  <c r="L415" i="6"/>
  <c r="M415" i="6" s="1"/>
  <c r="L219" i="6"/>
  <c r="M219" i="6" s="1"/>
  <c r="L397" i="6"/>
  <c r="M397" i="6" s="1"/>
  <c r="L328" i="6"/>
  <c r="M328" i="6" s="1"/>
  <c r="L318" i="6"/>
  <c r="M318" i="6" s="1"/>
  <c r="L447" i="6"/>
  <c r="M447" i="6" s="1"/>
  <c r="L359" i="6"/>
  <c r="M359" i="6" s="1"/>
  <c r="L245" i="6"/>
  <c r="M245" i="6" s="1"/>
  <c r="L395" i="6"/>
  <c r="M395" i="6" s="1"/>
  <c r="L342" i="6"/>
  <c r="M342" i="6" s="1"/>
  <c r="L387" i="6"/>
  <c r="M387" i="6" s="1"/>
  <c r="L350" i="6"/>
  <c r="M350" i="6" s="1"/>
  <c r="L392" i="6"/>
  <c r="M392" i="6" s="1"/>
  <c r="L428" i="6"/>
  <c r="M428" i="6" s="1"/>
  <c r="L349" i="6"/>
  <c r="M349" i="6" s="1"/>
  <c r="L242" i="6"/>
  <c r="M242" i="6" s="1"/>
  <c r="L407" i="6"/>
  <c r="M407" i="6" s="1"/>
  <c r="L357" i="6"/>
  <c r="M357" i="6" s="1"/>
  <c r="L384" i="6"/>
  <c r="M384" i="6" s="1"/>
  <c r="L234" i="6"/>
  <c r="M234" i="6" s="1"/>
  <c r="L405" i="6"/>
  <c r="M405" i="6" s="1"/>
  <c r="L220" i="6"/>
  <c r="M220" i="6" s="1"/>
  <c r="L343" i="6"/>
  <c r="M343" i="6" s="1"/>
  <c r="L355" i="6"/>
  <c r="M355" i="6" s="1"/>
  <c r="L435" i="6"/>
  <c r="M435" i="6" s="1"/>
  <c r="L472" i="6"/>
  <c r="M472" i="6" s="1"/>
  <c r="L263" i="6"/>
  <c r="M263" i="6" s="1"/>
  <c r="L326" i="6"/>
  <c r="M326" i="6" s="1"/>
  <c r="L419" i="6"/>
  <c r="M419" i="6" s="1"/>
  <c r="L462" i="6"/>
  <c r="M462" i="6" s="1"/>
  <c r="L207" i="6"/>
  <c r="M207" i="6" s="1"/>
  <c r="L314" i="6"/>
  <c r="M314" i="6" s="1"/>
  <c r="L374" i="6"/>
  <c r="M374" i="6" s="1"/>
  <c r="L406" i="6"/>
  <c r="M406" i="6" s="1"/>
  <c r="L495" i="6"/>
  <c r="M495" i="6" s="1"/>
  <c r="L254" i="6"/>
  <c r="M254" i="6" s="1"/>
  <c r="L337" i="6"/>
  <c r="M337" i="6" s="1"/>
  <c r="L353" i="6"/>
  <c r="M353" i="6" s="1"/>
  <c r="L485" i="6"/>
  <c r="M485" i="6" s="1"/>
  <c r="L216" i="6"/>
  <c r="M216" i="6" s="1"/>
  <c r="L253" i="6"/>
  <c r="M253" i="6" s="1"/>
  <c r="L324" i="6"/>
  <c r="M324" i="6" s="1"/>
  <c r="L417" i="6"/>
  <c r="M417" i="6" s="1"/>
  <c r="L445" i="6"/>
  <c r="M445" i="6" s="1"/>
  <c r="L336" i="6"/>
  <c r="M336" i="6" s="1"/>
  <c r="L346" i="6"/>
  <c r="M346" i="6" s="1"/>
  <c r="L354" i="6"/>
  <c r="M354" i="6" s="1"/>
  <c r="L431" i="6"/>
  <c r="M431" i="6" s="1"/>
  <c r="L340" i="6"/>
  <c r="M340" i="6" s="1"/>
  <c r="L369" i="6"/>
  <c r="M369" i="6" s="1"/>
  <c r="L449" i="6"/>
  <c r="M449" i="6" s="1"/>
  <c r="L313" i="6"/>
  <c r="M313" i="6" s="1"/>
  <c r="L450" i="6"/>
  <c r="M450" i="6" s="1"/>
  <c r="L286" i="6"/>
  <c r="M286" i="6" s="1"/>
  <c r="L393" i="6"/>
  <c r="M393" i="6" s="1"/>
  <c r="L493" i="6"/>
  <c r="M493" i="6" s="1"/>
  <c r="L221" i="6"/>
  <c r="M221" i="6" s="1"/>
  <c r="L348" i="6"/>
  <c r="M348" i="6" s="1"/>
  <c r="L388" i="6"/>
  <c r="M388" i="6" s="1"/>
  <c r="L467" i="6"/>
  <c r="M467" i="6" s="1"/>
  <c r="L217" i="6"/>
  <c r="M217" i="6" s="1"/>
  <c r="L327" i="6"/>
  <c r="M327" i="6" s="1"/>
  <c r="L368" i="6"/>
  <c r="M368" i="6" s="1"/>
  <c r="L448" i="6"/>
  <c r="M448" i="6" s="1"/>
  <c r="L231" i="6"/>
  <c r="M231" i="6" s="1"/>
  <c r="L268" i="6"/>
  <c r="M268" i="6" s="1"/>
  <c r="L339" i="6"/>
  <c r="M339" i="6" s="1"/>
  <c r="L399" i="6"/>
  <c r="M399" i="6" s="1"/>
  <c r="L489" i="6"/>
  <c r="M489" i="6" s="1"/>
  <c r="L288" i="6"/>
  <c r="M288" i="6" s="1"/>
  <c r="L455" i="6"/>
  <c r="M455" i="6" s="1"/>
  <c r="L298" i="6"/>
  <c r="M298" i="6" s="1"/>
  <c r="L491" i="6"/>
  <c r="M491" i="6" s="1"/>
  <c r="L362" i="6"/>
  <c r="M362" i="6" s="1"/>
  <c r="L464" i="6"/>
  <c r="M464" i="6" s="1"/>
  <c r="B132" i="6"/>
  <c r="K486" i="6" s="1"/>
  <c r="L261" i="6"/>
  <c r="M261" i="6" s="1"/>
  <c r="L227" i="6"/>
  <c r="M227" i="6" s="1"/>
  <c r="L370" i="6"/>
  <c r="M370" i="6" s="1"/>
  <c r="L209" i="6"/>
  <c r="M209" i="6" s="1"/>
  <c r="L367" i="6"/>
  <c r="M367" i="6" s="1"/>
  <c r="L258" i="6"/>
  <c r="M258" i="6" s="1"/>
  <c r="L372" i="6"/>
  <c r="M372" i="6" s="1"/>
  <c r="L215" i="6"/>
  <c r="M215" i="6" s="1"/>
  <c r="L403" i="6"/>
  <c r="M403" i="6" s="1"/>
  <c r="L240" i="6"/>
  <c r="M240" i="6" s="1"/>
  <c r="L410" i="6"/>
  <c r="M410" i="6" s="1"/>
  <c r="L290" i="6"/>
  <c r="M290" i="6" s="1"/>
  <c r="L223" i="6"/>
  <c r="M223" i="6" s="1"/>
  <c r="L418" i="6"/>
  <c r="M418" i="6" s="1"/>
  <c r="L412" i="6"/>
  <c r="M412" i="6" s="1"/>
  <c r="L222" i="6"/>
  <c r="M222" i="6" s="1"/>
  <c r="L426" i="6"/>
  <c r="M426" i="6" s="1"/>
  <c r="L383" i="6"/>
  <c r="M383" i="6" s="1"/>
  <c r="L291" i="6"/>
  <c r="M291" i="6" s="1"/>
  <c r="L458" i="6"/>
  <c r="M458" i="6" s="1"/>
  <c r="L250" i="6"/>
  <c r="M250" i="6" s="1"/>
  <c r="L303" i="6"/>
  <c r="M303" i="6" s="1"/>
  <c r="L344" i="6"/>
  <c r="M344" i="6" s="1"/>
  <c r="L482" i="6"/>
  <c r="M482" i="6" s="1"/>
  <c r="L224" i="6"/>
  <c r="M224" i="6" s="1"/>
  <c r="L293" i="6"/>
  <c r="M293" i="6" s="1"/>
  <c r="L315" i="6"/>
  <c r="M315" i="6" s="1"/>
  <c r="L416" i="6"/>
  <c r="M416" i="6" s="1"/>
  <c r="L444" i="6"/>
  <c r="M444" i="6" s="1"/>
  <c r="L236" i="6"/>
  <c r="M236" i="6" s="1"/>
  <c r="L265" i="6"/>
  <c r="M265" i="6" s="1"/>
  <c r="L371" i="6"/>
  <c r="M371" i="6" s="1"/>
  <c r="L451" i="6"/>
  <c r="M451" i="6" s="1"/>
  <c r="L488" i="6"/>
  <c r="M488" i="6" s="1"/>
  <c r="L279" i="6"/>
  <c r="M279" i="6" s="1"/>
  <c r="L375" i="6"/>
  <c r="M375" i="6" s="1"/>
  <c r="L394" i="6"/>
  <c r="M394" i="6" s="1"/>
  <c r="L494" i="6"/>
  <c r="M494" i="6" s="1"/>
  <c r="L218" i="6"/>
  <c r="M218" i="6" s="1"/>
  <c r="L267" i="6"/>
  <c r="M267" i="6" s="1"/>
  <c r="L341" i="6"/>
  <c r="M341" i="6" s="1"/>
  <c r="L422" i="6"/>
  <c r="M422" i="6" s="1"/>
  <c r="L460" i="6"/>
  <c r="M460" i="6" s="1"/>
  <c r="L400" i="6"/>
  <c r="M400" i="6" s="1"/>
  <c r="L226" i="6"/>
  <c r="M226" i="6" s="1"/>
  <c r="L484" i="6"/>
  <c r="M484" i="6" s="1"/>
  <c r="L306" i="6"/>
  <c r="M306" i="6" s="1"/>
  <c r="L366" i="6"/>
  <c r="M366" i="6" s="1"/>
  <c r="L398" i="6"/>
  <c r="M398" i="6" s="1"/>
  <c r="L487" i="6"/>
  <c r="M487" i="6" s="1"/>
  <c r="L243" i="6"/>
  <c r="M243" i="6" s="1"/>
  <c r="L329" i="6"/>
  <c r="M329" i="6" s="1"/>
  <c r="L345" i="6"/>
  <c r="M345" i="6" s="1"/>
  <c r="L469" i="6"/>
  <c r="M469" i="6" s="1"/>
  <c r="L247" i="6"/>
  <c r="M247" i="6" s="1"/>
  <c r="L330" i="6"/>
  <c r="M330" i="6" s="1"/>
  <c r="L316" i="6"/>
  <c r="M316" i="6" s="1"/>
  <c r="L409" i="6"/>
  <c r="M409" i="6" s="1"/>
  <c r="L437" i="6"/>
  <c r="M437" i="6" s="1"/>
  <c r="L237" i="6"/>
  <c r="M237" i="6" s="1"/>
  <c r="L274" i="6"/>
  <c r="M274" i="6" s="1"/>
  <c r="L364" i="6"/>
  <c r="M364" i="6" s="1"/>
  <c r="L404" i="6"/>
  <c r="M404" i="6" s="1"/>
  <c r="L483" i="6"/>
  <c r="M483" i="6" s="1"/>
  <c r="F107" i="5"/>
  <c r="E107" i="5"/>
  <c r="B108" i="5"/>
  <c r="C108" i="5" s="1"/>
  <c r="D108" i="5" s="1"/>
  <c r="A109" i="5"/>
  <c r="B28" i="4"/>
  <c r="B29" i="4" s="1"/>
  <c r="B115" i="4"/>
  <c r="B32" i="4"/>
  <c r="B33" i="4" s="1"/>
  <c r="B45" i="4" s="1"/>
  <c r="B46" i="4" s="1"/>
  <c r="E129" i="1"/>
  <c r="F129" i="1" s="1"/>
  <c r="B130" i="1"/>
  <c r="C130" i="1" s="1"/>
  <c r="D130" i="1" s="1"/>
  <c r="B4" i="8" l="1"/>
  <c r="B150" i="8"/>
  <c r="B133" i="4"/>
  <c r="B176" i="4" s="1"/>
  <c r="B172" i="4"/>
  <c r="B174" i="4" s="1"/>
  <c r="N264" i="4"/>
  <c r="H20" i="7"/>
  <c r="N267" i="4"/>
  <c r="H23" i="7"/>
  <c r="N252" i="4"/>
  <c r="H8" i="7"/>
  <c r="N251" i="4"/>
  <c r="H7" i="7"/>
  <c r="N257" i="4"/>
  <c r="H13" i="7"/>
  <c r="N249" i="4"/>
  <c r="H5" i="7"/>
  <c r="N262" i="4"/>
  <c r="H18" i="7"/>
  <c r="N268" i="4"/>
  <c r="H24" i="7"/>
  <c r="N255" i="4"/>
  <c r="H11" i="7"/>
  <c r="N254" i="4"/>
  <c r="H10" i="7"/>
  <c r="N258" i="4"/>
  <c r="H14" i="7"/>
  <c r="N259" i="4"/>
  <c r="H15" i="7"/>
  <c r="N261" i="4"/>
  <c r="H17" i="7"/>
  <c r="N256" i="4"/>
  <c r="H12" i="7"/>
  <c r="N250" i="4"/>
  <c r="H6" i="7"/>
  <c r="N260" i="4"/>
  <c r="H16" i="7"/>
  <c r="N266" i="4"/>
  <c r="H22" i="7"/>
  <c r="N263" i="4"/>
  <c r="H19" i="7"/>
  <c r="N253" i="4"/>
  <c r="H9" i="7"/>
  <c r="N265" i="4"/>
  <c r="H21" i="7"/>
  <c r="O255" i="4"/>
  <c r="K11" i="7" s="1"/>
  <c r="O263" i="4"/>
  <c r="K19" i="7" s="1"/>
  <c r="O254" i="4"/>
  <c r="K10" i="7" s="1"/>
  <c r="O262" i="4"/>
  <c r="K18" i="7" s="1"/>
  <c r="O253" i="4"/>
  <c r="K9" i="7" s="1"/>
  <c r="O261" i="4"/>
  <c r="K17" i="7" s="1"/>
  <c r="O252" i="4"/>
  <c r="K8" i="7" s="1"/>
  <c r="O260" i="4"/>
  <c r="K16" i="7" s="1"/>
  <c r="O268" i="4"/>
  <c r="K24" i="7" s="1"/>
  <c r="O250" i="4"/>
  <c r="K6" i="7" s="1"/>
  <c r="O258" i="4"/>
  <c r="K14" i="7" s="1"/>
  <c r="O266" i="4"/>
  <c r="K22" i="7" s="1"/>
  <c r="O249" i="4"/>
  <c r="K5" i="7" s="1"/>
  <c r="O257" i="4"/>
  <c r="K13" i="7" s="1"/>
  <c r="O265" i="4"/>
  <c r="K21" i="7" s="1"/>
  <c r="O251" i="4"/>
  <c r="K7" i="7" s="1"/>
  <c r="O264" i="4"/>
  <c r="K20" i="7" s="1"/>
  <c r="O256" i="4"/>
  <c r="K12" i="7" s="1"/>
  <c r="O267" i="4"/>
  <c r="K23" i="7" s="1"/>
  <c r="O259" i="4"/>
  <c r="K15" i="7" s="1"/>
  <c r="V253" i="10"/>
  <c r="S253" i="10"/>
  <c r="T253" i="10" s="1"/>
  <c r="U253" i="10" s="1"/>
  <c r="S255" i="10"/>
  <c r="T255" i="10" s="1"/>
  <c r="U255" i="10" s="1"/>
  <c r="V255" i="10"/>
  <c r="V252" i="10"/>
  <c r="S252" i="10"/>
  <c r="T252" i="10" s="1"/>
  <c r="U252" i="10" s="1"/>
  <c r="B176" i="10"/>
  <c r="V260" i="10"/>
  <c r="S260" i="10"/>
  <c r="T260" i="10" s="1"/>
  <c r="U260" i="10" s="1"/>
  <c r="V250" i="10"/>
  <c r="S250" i="10"/>
  <c r="T250" i="10" s="1"/>
  <c r="U250" i="10" s="1"/>
  <c r="S247" i="10"/>
  <c r="T247" i="10" s="1"/>
  <c r="U247" i="10" s="1"/>
  <c r="V247" i="10"/>
  <c r="S263" i="10"/>
  <c r="T263" i="10" s="1"/>
  <c r="U263" i="10" s="1"/>
  <c r="V263" i="10"/>
  <c r="S257" i="10"/>
  <c r="T257" i="10" s="1"/>
  <c r="U257" i="10" s="1"/>
  <c r="V257" i="10"/>
  <c r="V262" i="10"/>
  <c r="S262" i="10"/>
  <c r="T262" i="10" s="1"/>
  <c r="U262" i="10" s="1"/>
  <c r="V248" i="10"/>
  <c r="S248" i="10"/>
  <c r="T248" i="10" s="1"/>
  <c r="U248" i="10" s="1"/>
  <c r="V245" i="10"/>
  <c r="S245" i="10"/>
  <c r="T245" i="10" s="1"/>
  <c r="U245" i="10" s="1"/>
  <c r="S249" i="10"/>
  <c r="T249" i="10" s="1"/>
  <c r="U249" i="10" s="1"/>
  <c r="V249" i="10"/>
  <c r="S264" i="10"/>
  <c r="T264" i="10" s="1"/>
  <c r="U264" i="10" s="1"/>
  <c r="V264" i="10"/>
  <c r="V246" i="10"/>
  <c r="S246" i="10"/>
  <c r="T246" i="10" s="1"/>
  <c r="U246" i="10" s="1"/>
  <c r="V258" i="10"/>
  <c r="S258" i="10"/>
  <c r="T258" i="10" s="1"/>
  <c r="U258" i="10" s="1"/>
  <c r="S259" i="10"/>
  <c r="T259" i="10" s="1"/>
  <c r="U259" i="10" s="1"/>
  <c r="V259" i="10"/>
  <c r="V254" i="10"/>
  <c r="S254" i="10"/>
  <c r="T254" i="10" s="1"/>
  <c r="U254" i="10" s="1"/>
  <c r="S256" i="10"/>
  <c r="T256" i="10" s="1"/>
  <c r="U256" i="10" s="1"/>
  <c r="V256" i="10"/>
  <c r="V261" i="10"/>
  <c r="S261" i="10"/>
  <c r="T261" i="10" s="1"/>
  <c r="U261" i="10" s="1"/>
  <c r="V251" i="10"/>
  <c r="S251" i="10"/>
  <c r="T251" i="10" s="1"/>
  <c r="U251" i="10" s="1"/>
  <c r="B56" i="4"/>
  <c r="B62" i="4" s="1"/>
  <c r="B63" i="4" s="1"/>
  <c r="B67" i="4" s="1"/>
  <c r="K483" i="6"/>
  <c r="N483" i="6" s="1"/>
  <c r="O483" i="6" s="1"/>
  <c r="P483" i="6" s="1"/>
  <c r="K247" i="6"/>
  <c r="N247" i="6" s="1"/>
  <c r="O247" i="6" s="1"/>
  <c r="P247" i="6" s="1"/>
  <c r="K487" i="6"/>
  <c r="Q487" i="6" s="1"/>
  <c r="K400" i="6"/>
  <c r="N400" i="6" s="1"/>
  <c r="O400" i="6" s="1"/>
  <c r="P400" i="6" s="1"/>
  <c r="K383" i="6"/>
  <c r="Q383" i="6" s="1"/>
  <c r="K437" i="6"/>
  <c r="Q437" i="6" s="1"/>
  <c r="K469" i="6"/>
  <c r="Q469" i="6" s="1"/>
  <c r="K218" i="6"/>
  <c r="N218" i="6" s="1"/>
  <c r="O218" i="6" s="1"/>
  <c r="P218" i="6" s="1"/>
  <c r="K315" i="6"/>
  <c r="Q315" i="6" s="1"/>
  <c r="K404" i="6"/>
  <c r="Q404" i="6" s="1"/>
  <c r="K409" i="6"/>
  <c r="Q409" i="6" s="1"/>
  <c r="K366" i="6"/>
  <c r="Q366" i="6" s="1"/>
  <c r="K460" i="6"/>
  <c r="N460" i="6" s="1"/>
  <c r="O460" i="6" s="1"/>
  <c r="P460" i="6" s="1"/>
  <c r="K494" i="6"/>
  <c r="Q494" i="6" s="1"/>
  <c r="K371" i="6"/>
  <c r="Q371" i="6" s="1"/>
  <c r="K240" i="6"/>
  <c r="Q240" i="6" s="1"/>
  <c r="K209" i="6"/>
  <c r="N209" i="6" s="1"/>
  <c r="O209" i="6" s="1"/>
  <c r="P209" i="6" s="1"/>
  <c r="K422" i="6"/>
  <c r="N422" i="6" s="1"/>
  <c r="O422" i="6" s="1"/>
  <c r="P422" i="6" s="1"/>
  <c r="K458" i="6"/>
  <c r="N458" i="6" s="1"/>
  <c r="O458" i="6" s="1"/>
  <c r="P458" i="6" s="1"/>
  <c r="K412" i="6"/>
  <c r="N412" i="6" s="1"/>
  <c r="O412" i="6" s="1"/>
  <c r="P412" i="6" s="1"/>
  <c r="K364" i="6"/>
  <c r="Q364" i="6" s="1"/>
  <c r="K329" i="6"/>
  <c r="Q329" i="6" s="1"/>
  <c r="K370" i="6"/>
  <c r="Q370" i="6" s="1"/>
  <c r="K303" i="6"/>
  <c r="Q303" i="6" s="1"/>
  <c r="K330" i="6"/>
  <c r="Q330" i="6" s="1"/>
  <c r="K236" i="6"/>
  <c r="Q236" i="6" s="1"/>
  <c r="K291" i="6"/>
  <c r="N291" i="6" s="1"/>
  <c r="O291" i="6" s="1"/>
  <c r="P291" i="6" s="1"/>
  <c r="K418" i="6"/>
  <c r="N418" i="6" s="1"/>
  <c r="O418" i="6" s="1"/>
  <c r="P418" i="6" s="1"/>
  <c r="K267" i="6"/>
  <c r="Q267" i="6" s="1"/>
  <c r="K279" i="6"/>
  <c r="N279" i="6" s="1"/>
  <c r="O279" i="6" s="1"/>
  <c r="P279" i="6" s="1"/>
  <c r="K344" i="6"/>
  <c r="N344" i="6" s="1"/>
  <c r="O344" i="6" s="1"/>
  <c r="P344" i="6" s="1"/>
  <c r="K372" i="6"/>
  <c r="Q372" i="6" s="1"/>
  <c r="K388" i="6"/>
  <c r="Q388" i="6" s="1"/>
  <c r="K227" i="6"/>
  <c r="N227" i="6" s="1"/>
  <c r="O227" i="6" s="1"/>
  <c r="P227" i="6" s="1"/>
  <c r="K237" i="6"/>
  <c r="N237" i="6" s="1"/>
  <c r="O237" i="6" s="1"/>
  <c r="P237" i="6" s="1"/>
  <c r="K243" i="6"/>
  <c r="Q243" i="6" s="1"/>
  <c r="K306" i="6"/>
  <c r="N306" i="6" s="1"/>
  <c r="O306" i="6" s="1"/>
  <c r="P306" i="6" s="1"/>
  <c r="K265" i="6"/>
  <c r="N265" i="6" s="1"/>
  <c r="O265" i="6" s="1"/>
  <c r="P265" i="6" s="1"/>
  <c r="K293" i="6"/>
  <c r="N293" i="6" s="1"/>
  <c r="O293" i="6" s="1"/>
  <c r="P293" i="6" s="1"/>
  <c r="K222" i="6"/>
  <c r="N222" i="6" s="1"/>
  <c r="O222" i="6" s="1"/>
  <c r="P222" i="6" s="1"/>
  <c r="K410" i="6"/>
  <c r="Q410" i="6" s="1"/>
  <c r="K258" i="6"/>
  <c r="N258" i="6" s="1"/>
  <c r="O258" i="6" s="1"/>
  <c r="P258" i="6" s="1"/>
  <c r="K368" i="6"/>
  <c r="Q368" i="6" s="1"/>
  <c r="B100" i="6"/>
  <c r="B101" i="6" s="1"/>
  <c r="K225" i="6"/>
  <c r="Q225" i="6" s="1"/>
  <c r="K308" i="6"/>
  <c r="Q308" i="6" s="1"/>
  <c r="K361" i="6"/>
  <c r="N361" i="6" s="1"/>
  <c r="O361" i="6" s="1"/>
  <c r="P361" i="6" s="1"/>
  <c r="K457" i="6"/>
  <c r="Q457" i="6" s="1"/>
  <c r="K282" i="6"/>
  <c r="N282" i="6" s="1"/>
  <c r="O282" i="6" s="1"/>
  <c r="P282" i="6" s="1"/>
  <c r="K478" i="6"/>
  <c r="N478" i="6" s="1"/>
  <c r="O478" i="6" s="1"/>
  <c r="P478" i="6" s="1"/>
  <c r="K384" i="6"/>
  <c r="N384" i="6" s="1"/>
  <c r="O384" i="6" s="1"/>
  <c r="P384" i="6" s="1"/>
  <c r="K481" i="6"/>
  <c r="Q481" i="6" s="1"/>
  <c r="K228" i="6"/>
  <c r="Q228" i="6" s="1"/>
  <c r="K397" i="6"/>
  <c r="Q397" i="6" s="1"/>
  <c r="K421" i="6"/>
  <c r="Q421" i="6" s="1"/>
  <c r="K378" i="6"/>
  <c r="Q378" i="6" s="1"/>
  <c r="K414" i="6"/>
  <c r="Q414" i="6" s="1"/>
  <c r="K456" i="6"/>
  <c r="N456" i="6" s="1"/>
  <c r="O456" i="6" s="1"/>
  <c r="P456" i="6" s="1"/>
  <c r="K393" i="6"/>
  <c r="Q393" i="6" s="1"/>
  <c r="K377" i="6"/>
  <c r="N377" i="6" s="1"/>
  <c r="O377" i="6" s="1"/>
  <c r="P377" i="6" s="1"/>
  <c r="Q486" i="6"/>
  <c r="N486" i="6"/>
  <c r="O486" i="6" s="1"/>
  <c r="P486" i="6" s="1"/>
  <c r="K375" i="6"/>
  <c r="K416" i="6"/>
  <c r="K482" i="6"/>
  <c r="K290" i="6"/>
  <c r="K215" i="6"/>
  <c r="K464" i="6"/>
  <c r="K455" i="6"/>
  <c r="K339" i="6"/>
  <c r="K449" i="6"/>
  <c r="K354" i="6"/>
  <c r="K417" i="6"/>
  <c r="K485" i="6"/>
  <c r="K495" i="6"/>
  <c r="K207" i="6"/>
  <c r="K263" i="6"/>
  <c r="K343" i="6"/>
  <c r="K349" i="6"/>
  <c r="K387" i="6"/>
  <c r="K359" i="6"/>
  <c r="K402" i="6"/>
  <c r="K454" i="6"/>
  <c r="K213" i="6"/>
  <c r="K252" i="6"/>
  <c r="K299" i="6"/>
  <c r="K317" i="6"/>
  <c r="K256" i="6"/>
  <c r="K264" i="6"/>
  <c r="K255" i="6"/>
  <c r="K266" i="6"/>
  <c r="K390" i="6"/>
  <c r="K471" i="6"/>
  <c r="K420" i="6"/>
  <c r="K480" i="6"/>
  <c r="K285" i="6"/>
  <c r="K461" i="6"/>
  <c r="K275" i="6"/>
  <c r="K439" i="6"/>
  <c r="K281" i="6"/>
  <c r="K331" i="6"/>
  <c r="K360" i="6"/>
  <c r="K477" i="6"/>
  <c r="K232" i="6"/>
  <c r="K270" i="6"/>
  <c r="K249" i="6"/>
  <c r="Q247" i="6"/>
  <c r="K362" i="6"/>
  <c r="K288" i="6"/>
  <c r="K268" i="6"/>
  <c r="K346" i="6"/>
  <c r="K406" i="6"/>
  <c r="K462" i="6"/>
  <c r="K357" i="6"/>
  <c r="K428" i="6"/>
  <c r="K342" i="6"/>
  <c r="K219" i="6"/>
  <c r="K301" i="6"/>
  <c r="K379" i="6"/>
  <c r="K424" i="6"/>
  <c r="K432" i="6"/>
  <c r="K238" i="6"/>
  <c r="K325" i="6"/>
  <c r="K351" i="6"/>
  <c r="K310" i="6"/>
  <c r="K490" i="6"/>
  <c r="K475" i="6"/>
  <c r="K358" i="6"/>
  <c r="K239" i="6"/>
  <c r="K297" i="6"/>
  <c r="K474" i="6"/>
  <c r="K312" i="6"/>
  <c r="K436" i="6"/>
  <c r="K283" i="6"/>
  <c r="K284" i="6"/>
  <c r="K251" i="6"/>
  <c r="K260" i="6"/>
  <c r="K319" i="6"/>
  <c r="K381" i="6"/>
  <c r="K385" i="6"/>
  <c r="K233" i="6"/>
  <c r="K434" i="6"/>
  <c r="K277" i="6"/>
  <c r="K327" i="6"/>
  <c r="K348" i="6"/>
  <c r="K286" i="6"/>
  <c r="K369" i="6"/>
  <c r="K324" i="6"/>
  <c r="K353" i="6"/>
  <c r="K472" i="6"/>
  <c r="K220" i="6"/>
  <c r="K447" i="6"/>
  <c r="K492" i="6"/>
  <c r="K465" i="6"/>
  <c r="K229" i="6"/>
  <c r="K294" i="6"/>
  <c r="K321" i="6"/>
  <c r="K468" i="6"/>
  <c r="K382" i="6"/>
  <c r="K427" i="6"/>
  <c r="K443" i="6"/>
  <c r="K208" i="6"/>
  <c r="K296" i="6"/>
  <c r="K332" i="6"/>
  <c r="K484" i="6"/>
  <c r="K488" i="6"/>
  <c r="K491" i="6"/>
  <c r="K231" i="6"/>
  <c r="K450" i="6"/>
  <c r="K340" i="6"/>
  <c r="K336" i="6"/>
  <c r="K253" i="6"/>
  <c r="K337" i="6"/>
  <c r="K374" i="6"/>
  <c r="K419" i="6"/>
  <c r="K435" i="6"/>
  <c r="K407" i="6"/>
  <c r="K392" i="6"/>
  <c r="K395" i="6"/>
  <c r="K415" i="6"/>
  <c r="K287" i="6"/>
  <c r="K273" i="6"/>
  <c r="K323" i="6"/>
  <c r="K352" i="6"/>
  <c r="K425" i="6"/>
  <c r="K302" i="6"/>
  <c r="K269" i="6"/>
  <c r="K241" i="6"/>
  <c r="K376" i="6"/>
  <c r="K305" i="6"/>
  <c r="K463" i="6"/>
  <c r="K466" i="6"/>
  <c r="K280" i="6"/>
  <c r="K408" i="6"/>
  <c r="K365" i="6"/>
  <c r="K380" i="6"/>
  <c r="K438" i="6"/>
  <c r="K470" i="6"/>
  <c r="K248" i="6"/>
  <c r="K272" i="6"/>
  <c r="K304" i="6"/>
  <c r="K333" i="6"/>
  <c r="K442" i="6"/>
  <c r="K295" i="6"/>
  <c r="K398" i="6"/>
  <c r="K341" i="6"/>
  <c r="K394" i="6"/>
  <c r="K451" i="6"/>
  <c r="K444" i="6"/>
  <c r="K224" i="6"/>
  <c r="K426" i="6"/>
  <c r="K223" i="6"/>
  <c r="K403" i="6"/>
  <c r="K261" i="6"/>
  <c r="K489" i="6"/>
  <c r="K217" i="6"/>
  <c r="K221" i="6"/>
  <c r="K405" i="6"/>
  <c r="K318" i="6"/>
  <c r="K413" i="6"/>
  <c r="K389" i="6"/>
  <c r="K396" i="6"/>
  <c r="K429" i="6"/>
  <c r="K214" i="6"/>
  <c r="K235" i="6"/>
  <c r="K300" i="6"/>
  <c r="K476" i="6"/>
  <c r="K259" i="6"/>
  <c r="K334" i="6"/>
  <c r="K363" i="6"/>
  <c r="K473" i="6"/>
  <c r="K212" i="6"/>
  <c r="K274" i="6"/>
  <c r="K316" i="6"/>
  <c r="K345" i="6"/>
  <c r="K226" i="6"/>
  <c r="K250" i="6"/>
  <c r="K367" i="6"/>
  <c r="K399" i="6"/>
  <c r="K313" i="6"/>
  <c r="K431" i="6"/>
  <c r="K216" i="6"/>
  <c r="K314" i="6"/>
  <c r="K326" i="6"/>
  <c r="K355" i="6"/>
  <c r="K350" i="6"/>
  <c r="K245" i="6"/>
  <c r="K328" i="6"/>
  <c r="K244" i="6"/>
  <c r="K322" i="6"/>
  <c r="K311" i="6"/>
  <c r="K373" i="6"/>
  <c r="K230" i="6"/>
  <c r="K309" i="6"/>
  <c r="K411" i="6"/>
  <c r="K423" i="6"/>
  <c r="K335" i="6"/>
  <c r="K356" i="6"/>
  <c r="K401" i="6"/>
  <c r="K453" i="6"/>
  <c r="K479" i="6"/>
  <c r="K320" i="6"/>
  <c r="K276" i="6"/>
  <c r="K289" i="6"/>
  <c r="K433" i="6"/>
  <c r="K452" i="6"/>
  <c r="K211" i="6"/>
  <c r="K307" i="6"/>
  <c r="K347" i="6"/>
  <c r="K446" i="6"/>
  <c r="K292" i="6"/>
  <c r="K386" i="6"/>
  <c r="K391" i="6"/>
  <c r="K440" i="6"/>
  <c r="K459" i="6"/>
  <c r="K246" i="6"/>
  <c r="K278" i="6"/>
  <c r="K441" i="6"/>
  <c r="K338" i="6"/>
  <c r="Q483" i="6"/>
  <c r="Q209" i="6"/>
  <c r="B135" i="6"/>
  <c r="B136" i="6" s="1"/>
  <c r="B156" i="6" s="1"/>
  <c r="B166" i="6"/>
  <c r="B168" i="6" s="1"/>
  <c r="K298" i="6"/>
  <c r="K448" i="6"/>
  <c r="K467" i="6"/>
  <c r="K493" i="6"/>
  <c r="K445" i="6"/>
  <c r="K254" i="6"/>
  <c r="K234" i="6"/>
  <c r="K242" i="6"/>
  <c r="K430" i="6"/>
  <c r="K496" i="6"/>
  <c r="K262" i="6"/>
  <c r="K210" i="6"/>
  <c r="K271" i="6"/>
  <c r="K257" i="6"/>
  <c r="B109" i="5"/>
  <c r="C109" i="5" s="1"/>
  <c r="D109" i="5" s="1"/>
  <c r="A110" i="5"/>
  <c r="E108" i="5"/>
  <c r="F108" i="5" s="1"/>
  <c r="B120" i="4"/>
  <c r="B121" i="4" s="1"/>
  <c r="B146" i="4" s="1"/>
  <c r="E130" i="1"/>
  <c r="F130" i="1" s="1"/>
  <c r="B131" i="1"/>
  <c r="C131" i="1" s="1"/>
  <c r="D131" i="1" s="1"/>
  <c r="E131" i="1" s="1"/>
  <c r="F131" i="1" s="1"/>
  <c r="B68" i="4" l="1"/>
  <c r="J21" i="7"/>
  <c r="J16" i="7"/>
  <c r="J15" i="7"/>
  <c r="J24" i="7"/>
  <c r="J7" i="7"/>
  <c r="J9" i="7"/>
  <c r="J6" i="7"/>
  <c r="J14" i="7"/>
  <c r="J18" i="7"/>
  <c r="J8" i="7"/>
  <c r="J19" i="7"/>
  <c r="J12" i="7"/>
  <c r="J10" i="7"/>
  <c r="J5" i="7"/>
  <c r="J23" i="7"/>
  <c r="J22" i="7"/>
  <c r="J17" i="7"/>
  <c r="J11" i="7"/>
  <c r="J13" i="7"/>
  <c r="J20" i="7"/>
  <c r="P258" i="4"/>
  <c r="Q258" i="4"/>
  <c r="R258" i="4" s="1"/>
  <c r="M14" i="7" s="1"/>
  <c r="P262" i="4"/>
  <c r="Q262" i="4"/>
  <c r="R262" i="4" s="1"/>
  <c r="M18" i="7" s="1"/>
  <c r="P259" i="4"/>
  <c r="Q259" i="4"/>
  <c r="R259" i="4" s="1"/>
  <c r="M15" i="7" s="1"/>
  <c r="P267" i="4"/>
  <c r="Q267" i="4"/>
  <c r="R267" i="4" s="1"/>
  <c r="M23" i="7" s="1"/>
  <c r="Q265" i="4"/>
  <c r="R265" i="4" s="1"/>
  <c r="M21" i="7" s="1"/>
  <c r="P265" i="4"/>
  <c r="P250" i="4"/>
  <c r="Q250" i="4"/>
  <c r="R250" i="4" s="1"/>
  <c r="M6" i="7" s="1"/>
  <c r="P254" i="4"/>
  <c r="Q254" i="4"/>
  <c r="R254" i="4" s="1"/>
  <c r="M10" i="7" s="1"/>
  <c r="Q249" i="4"/>
  <c r="R249" i="4" s="1"/>
  <c r="M5" i="7" s="1"/>
  <c r="P249" i="4"/>
  <c r="V249" i="4" s="1"/>
  <c r="P261" i="4"/>
  <c r="Q261" i="4"/>
  <c r="R261" i="4" s="1"/>
  <c r="M17" i="7" s="1"/>
  <c r="P264" i="4"/>
  <c r="Q264" i="4"/>
  <c r="R264" i="4" s="1"/>
  <c r="M20" i="7" s="1"/>
  <c r="P256" i="4"/>
  <c r="Q256" i="4"/>
  <c r="R256" i="4" s="1"/>
  <c r="M12" i="7" s="1"/>
  <c r="Q268" i="4"/>
  <c r="R268" i="4" s="1"/>
  <c r="M24" i="7" s="1"/>
  <c r="P268" i="4"/>
  <c r="P253" i="4"/>
  <c r="Q253" i="4"/>
  <c r="R253" i="4" s="1"/>
  <c r="M9" i="7" s="1"/>
  <c r="P266" i="4"/>
  <c r="Q266" i="4"/>
  <c r="R266" i="4" s="1"/>
  <c r="M22" i="7" s="1"/>
  <c r="Q257" i="4"/>
  <c r="R257" i="4" s="1"/>
  <c r="M13" i="7" s="1"/>
  <c r="P257" i="4"/>
  <c r="P251" i="4"/>
  <c r="Q251" i="4"/>
  <c r="R251" i="4" s="1"/>
  <c r="M7" i="7" s="1"/>
  <c r="Q260" i="4"/>
  <c r="R260" i="4" s="1"/>
  <c r="M16" i="7" s="1"/>
  <c r="P260" i="4"/>
  <c r="P263" i="4"/>
  <c r="Q263" i="4"/>
  <c r="R263" i="4" s="1"/>
  <c r="M19" i="7" s="1"/>
  <c r="Q252" i="4"/>
  <c r="R252" i="4" s="1"/>
  <c r="M8" i="7" s="1"/>
  <c r="P252" i="4"/>
  <c r="P255" i="4"/>
  <c r="Q255" i="4"/>
  <c r="R255" i="4" s="1"/>
  <c r="M11" i="7" s="1"/>
  <c r="W251" i="10"/>
  <c r="W263" i="10"/>
  <c r="W247" i="10"/>
  <c r="W255" i="10"/>
  <c r="W261" i="10"/>
  <c r="W254" i="10"/>
  <c r="W264" i="10"/>
  <c r="W257" i="10"/>
  <c r="W259" i="10"/>
  <c r="W249" i="10"/>
  <c r="W248" i="10"/>
  <c r="W260" i="10"/>
  <c r="W253" i="10"/>
  <c r="W250" i="10"/>
  <c r="W256" i="10"/>
  <c r="W245" i="10"/>
  <c r="W252" i="10"/>
  <c r="W258" i="10"/>
  <c r="W246" i="10"/>
  <c r="W262" i="10"/>
  <c r="N315" i="6"/>
  <c r="O315" i="6" s="1"/>
  <c r="P315" i="6" s="1"/>
  <c r="N410" i="6"/>
  <c r="O410" i="6" s="1"/>
  <c r="P410" i="6" s="1"/>
  <c r="R410" i="6" s="1"/>
  <c r="N330" i="6"/>
  <c r="O330" i="6" s="1"/>
  <c r="P330" i="6" s="1"/>
  <c r="R330" i="6" s="1"/>
  <c r="N378" i="6"/>
  <c r="O378" i="6" s="1"/>
  <c r="P378" i="6" s="1"/>
  <c r="R378" i="6" s="1"/>
  <c r="N388" i="6"/>
  <c r="O388" i="6" s="1"/>
  <c r="P388" i="6" s="1"/>
  <c r="R388" i="6" s="1"/>
  <c r="Q422" i="6"/>
  <c r="R422" i="6" s="1"/>
  <c r="N414" i="6"/>
  <c r="O414" i="6" s="1"/>
  <c r="P414" i="6" s="1"/>
  <c r="R414" i="6" s="1"/>
  <c r="Q227" i="6"/>
  <c r="R227" i="6" s="1"/>
  <c r="N404" i="6"/>
  <c r="O404" i="6" s="1"/>
  <c r="P404" i="6" s="1"/>
  <c r="R404" i="6" s="1"/>
  <c r="B178" i="4"/>
  <c r="N421" i="6"/>
  <c r="O421" i="6" s="1"/>
  <c r="P421" i="6" s="1"/>
  <c r="R421" i="6" s="1"/>
  <c r="Q478" i="6"/>
  <c r="R478" i="6" s="1"/>
  <c r="N437" i="6"/>
  <c r="O437" i="6" s="1"/>
  <c r="P437" i="6" s="1"/>
  <c r="R437" i="6" s="1"/>
  <c r="N409" i="6"/>
  <c r="O409" i="6" s="1"/>
  <c r="P409" i="6" s="1"/>
  <c r="R409" i="6" s="1"/>
  <c r="Q458" i="6"/>
  <c r="R458" i="6" s="1"/>
  <c r="Q237" i="6"/>
  <c r="R237" i="6" s="1"/>
  <c r="N487" i="6"/>
  <c r="O487" i="6" s="1"/>
  <c r="P487" i="6" s="1"/>
  <c r="R487" i="6" s="1"/>
  <c r="N368" i="6"/>
  <c r="O368" i="6" s="1"/>
  <c r="P368" i="6" s="1"/>
  <c r="R368" i="6" s="1"/>
  <c r="N329" i="6"/>
  <c r="O329" i="6" s="1"/>
  <c r="P329" i="6" s="1"/>
  <c r="R329" i="6" s="1"/>
  <c r="Q258" i="6"/>
  <c r="R258" i="6" s="1"/>
  <c r="Q291" i="6"/>
  <c r="R291" i="6" s="1"/>
  <c r="N236" i="6"/>
  <c r="O236" i="6" s="1"/>
  <c r="P236" i="6" s="1"/>
  <c r="R236" i="6" s="1"/>
  <c r="Q361" i="6"/>
  <c r="R361" i="6" s="1"/>
  <c r="Q456" i="6"/>
  <c r="R456" i="6" s="1"/>
  <c r="Q282" i="6"/>
  <c r="R282" i="6" s="1"/>
  <c r="N303" i="6"/>
  <c r="O303" i="6" s="1"/>
  <c r="P303" i="6" s="1"/>
  <c r="N366" i="6"/>
  <c r="O366" i="6" s="1"/>
  <c r="P366" i="6" s="1"/>
  <c r="R366" i="6" s="1"/>
  <c r="N364" i="6"/>
  <c r="O364" i="6" s="1"/>
  <c r="P364" i="6" s="1"/>
  <c r="R364" i="6" s="1"/>
  <c r="Q306" i="6"/>
  <c r="R306" i="6" s="1"/>
  <c r="N393" i="6"/>
  <c r="O393" i="6" s="1"/>
  <c r="P393" i="6" s="1"/>
  <c r="R393" i="6" s="1"/>
  <c r="Q412" i="6"/>
  <c r="R412" i="6" s="1"/>
  <c r="N267" i="6"/>
  <c r="O267" i="6" s="1"/>
  <c r="P267" i="6" s="1"/>
  <c r="R267" i="6" s="1"/>
  <c r="Q418" i="6"/>
  <c r="R418" i="6" s="1"/>
  <c r="Q400" i="6"/>
  <c r="R400" i="6" s="1"/>
  <c r="N383" i="6"/>
  <c r="O383" i="6" s="1"/>
  <c r="P383" i="6" s="1"/>
  <c r="R383" i="6" s="1"/>
  <c r="Q460" i="6"/>
  <c r="R460" i="6" s="1"/>
  <c r="Q384" i="6"/>
  <c r="R384" i="6" s="1"/>
  <c r="Q265" i="6"/>
  <c r="R265" i="6" s="1"/>
  <c r="N243" i="6"/>
  <c r="O243" i="6" s="1"/>
  <c r="P243" i="6" s="1"/>
  <c r="R243" i="6" s="1"/>
  <c r="N457" i="6"/>
  <c r="O457" i="6" s="1"/>
  <c r="P457" i="6" s="1"/>
  <c r="R457" i="6" s="1"/>
  <c r="N469" i="6"/>
  <c r="O469" i="6" s="1"/>
  <c r="P469" i="6" s="1"/>
  <c r="R469" i="6" s="1"/>
  <c r="R209" i="6"/>
  <c r="N372" i="6"/>
  <c r="O372" i="6" s="1"/>
  <c r="P372" i="6" s="1"/>
  <c r="R372" i="6" s="1"/>
  <c r="Q344" i="6"/>
  <c r="R344" i="6" s="1"/>
  <c r="N240" i="6"/>
  <c r="O240" i="6" s="1"/>
  <c r="P240" i="6" s="1"/>
  <c r="R240" i="6" s="1"/>
  <c r="N397" i="6"/>
  <c r="O397" i="6" s="1"/>
  <c r="P397" i="6" s="1"/>
  <c r="R397" i="6" s="1"/>
  <c r="N494" i="6"/>
  <c r="O494" i="6" s="1"/>
  <c r="P494" i="6" s="1"/>
  <c r="R494" i="6" s="1"/>
  <c r="Q218" i="6"/>
  <c r="R218" i="6" s="1"/>
  <c r="N308" i="6"/>
  <c r="O308" i="6" s="1"/>
  <c r="P308" i="6" s="1"/>
  <c r="R308" i="6" s="1"/>
  <c r="N370" i="6"/>
  <c r="O370" i="6" s="1"/>
  <c r="P370" i="6" s="1"/>
  <c r="R370" i="6" s="1"/>
  <c r="Q279" i="6"/>
  <c r="R279" i="6" s="1"/>
  <c r="N371" i="6"/>
  <c r="O371" i="6" s="1"/>
  <c r="P371" i="6" s="1"/>
  <c r="R371" i="6" s="1"/>
  <c r="B159" i="6"/>
  <c r="B162" i="6" s="1"/>
  <c r="N481" i="6"/>
  <c r="O481" i="6" s="1"/>
  <c r="P481" i="6" s="1"/>
  <c r="R481" i="6" s="1"/>
  <c r="N225" i="6"/>
  <c r="O225" i="6" s="1"/>
  <c r="P225" i="6" s="1"/>
  <c r="R225" i="6" s="1"/>
  <c r="R483" i="6"/>
  <c r="R303" i="6"/>
  <c r="N228" i="6"/>
  <c r="O228" i="6" s="1"/>
  <c r="P228" i="6" s="1"/>
  <c r="R228" i="6" s="1"/>
  <c r="Q377" i="6"/>
  <c r="R377" i="6" s="1"/>
  <c r="Q222" i="6"/>
  <c r="R222" i="6" s="1"/>
  <c r="Q293" i="6"/>
  <c r="R293" i="6" s="1"/>
  <c r="R486" i="6"/>
  <c r="Q257" i="6"/>
  <c r="N257" i="6"/>
  <c r="O257" i="6" s="1"/>
  <c r="P257" i="6" s="1"/>
  <c r="N278" i="6"/>
  <c r="O278" i="6" s="1"/>
  <c r="P278" i="6" s="1"/>
  <c r="Q278" i="6"/>
  <c r="N230" i="6"/>
  <c r="O230" i="6" s="1"/>
  <c r="P230" i="6" s="1"/>
  <c r="Q230" i="6"/>
  <c r="Q334" i="6"/>
  <c r="N334" i="6"/>
  <c r="O334" i="6" s="1"/>
  <c r="P334" i="6" s="1"/>
  <c r="Q403" i="6"/>
  <c r="N403" i="6"/>
  <c r="O403" i="6" s="1"/>
  <c r="P403" i="6" s="1"/>
  <c r="Q376" i="6"/>
  <c r="N376" i="6"/>
  <c r="O376" i="6" s="1"/>
  <c r="P376" i="6" s="1"/>
  <c r="N337" i="6"/>
  <c r="O337" i="6" s="1"/>
  <c r="P337" i="6" s="1"/>
  <c r="Q337" i="6"/>
  <c r="N321" i="6"/>
  <c r="O321" i="6" s="1"/>
  <c r="P321" i="6" s="1"/>
  <c r="Q321" i="6"/>
  <c r="N353" i="6"/>
  <c r="O353" i="6" s="1"/>
  <c r="P353" i="6" s="1"/>
  <c r="Q353" i="6"/>
  <c r="N390" i="6"/>
  <c r="O390" i="6" s="1"/>
  <c r="P390" i="6" s="1"/>
  <c r="Q390" i="6"/>
  <c r="N207" i="6"/>
  <c r="O207" i="6" s="1"/>
  <c r="P207" i="6" s="1"/>
  <c r="Q207" i="6"/>
  <c r="N271" i="6"/>
  <c r="O271" i="6" s="1"/>
  <c r="P271" i="6" s="1"/>
  <c r="Q271" i="6"/>
  <c r="Q445" i="6"/>
  <c r="N445" i="6"/>
  <c r="O445" i="6" s="1"/>
  <c r="P445" i="6" s="1"/>
  <c r="N246" i="6"/>
  <c r="O246" i="6" s="1"/>
  <c r="P246" i="6" s="1"/>
  <c r="Q246" i="6"/>
  <c r="Q307" i="6"/>
  <c r="N307" i="6"/>
  <c r="O307" i="6" s="1"/>
  <c r="P307" i="6" s="1"/>
  <c r="Q453" i="6"/>
  <c r="N453" i="6"/>
  <c r="O453" i="6" s="1"/>
  <c r="P453" i="6" s="1"/>
  <c r="N373" i="6"/>
  <c r="O373" i="6" s="1"/>
  <c r="P373" i="6" s="1"/>
  <c r="Q373" i="6"/>
  <c r="Q326" i="6"/>
  <c r="N326" i="6"/>
  <c r="O326" i="6" s="1"/>
  <c r="P326" i="6" s="1"/>
  <c r="Q226" i="6"/>
  <c r="N226" i="6"/>
  <c r="O226" i="6" s="1"/>
  <c r="P226" i="6" s="1"/>
  <c r="Q259" i="6"/>
  <c r="N259" i="6"/>
  <c r="O259" i="6" s="1"/>
  <c r="P259" i="6" s="1"/>
  <c r="Q413" i="6"/>
  <c r="N413" i="6"/>
  <c r="O413" i="6" s="1"/>
  <c r="P413" i="6" s="1"/>
  <c r="N223" i="6"/>
  <c r="O223" i="6" s="1"/>
  <c r="P223" i="6" s="1"/>
  <c r="Q223" i="6"/>
  <c r="N295" i="6"/>
  <c r="O295" i="6" s="1"/>
  <c r="P295" i="6" s="1"/>
  <c r="Q295" i="6"/>
  <c r="N380" i="6"/>
  <c r="O380" i="6" s="1"/>
  <c r="P380" i="6" s="1"/>
  <c r="Q380" i="6"/>
  <c r="Q241" i="6"/>
  <c r="N241" i="6"/>
  <c r="O241" i="6" s="1"/>
  <c r="P241" i="6" s="1"/>
  <c r="Q415" i="6"/>
  <c r="N415" i="6"/>
  <c r="O415" i="6" s="1"/>
  <c r="P415" i="6" s="1"/>
  <c r="Q253" i="6"/>
  <c r="N253" i="6"/>
  <c r="O253" i="6" s="1"/>
  <c r="P253" i="6" s="1"/>
  <c r="Q332" i="6"/>
  <c r="N332" i="6"/>
  <c r="O332" i="6" s="1"/>
  <c r="P332" i="6" s="1"/>
  <c r="N294" i="6"/>
  <c r="O294" i="6" s="1"/>
  <c r="P294" i="6" s="1"/>
  <c r="Q294" i="6"/>
  <c r="Q324" i="6"/>
  <c r="N324" i="6"/>
  <c r="O324" i="6" s="1"/>
  <c r="P324" i="6" s="1"/>
  <c r="Q251" i="6"/>
  <c r="N251" i="6"/>
  <c r="O251" i="6" s="1"/>
  <c r="P251" i="6" s="1"/>
  <c r="N358" i="6"/>
  <c r="O358" i="6" s="1"/>
  <c r="P358" i="6" s="1"/>
  <c r="Q358" i="6"/>
  <c r="N424" i="6"/>
  <c r="O424" i="6" s="1"/>
  <c r="P424" i="6" s="1"/>
  <c r="Q424" i="6"/>
  <c r="Q406" i="6"/>
  <c r="N406" i="6"/>
  <c r="O406" i="6" s="1"/>
  <c r="P406" i="6" s="1"/>
  <c r="Q439" i="6"/>
  <c r="N439" i="6"/>
  <c r="O439" i="6" s="1"/>
  <c r="P439" i="6" s="1"/>
  <c r="Q266" i="6"/>
  <c r="N266" i="6"/>
  <c r="O266" i="6" s="1"/>
  <c r="P266" i="6" s="1"/>
  <c r="Q454" i="6"/>
  <c r="N454" i="6"/>
  <c r="O454" i="6" s="1"/>
  <c r="P454" i="6" s="1"/>
  <c r="Q495" i="6"/>
  <c r="N495" i="6"/>
  <c r="O495" i="6" s="1"/>
  <c r="P495" i="6" s="1"/>
  <c r="N215" i="6"/>
  <c r="O215" i="6" s="1"/>
  <c r="P215" i="6" s="1"/>
  <c r="Q215" i="6"/>
  <c r="Q347" i="6"/>
  <c r="N347" i="6"/>
  <c r="O347" i="6" s="1"/>
  <c r="P347" i="6" s="1"/>
  <c r="Q355" i="6"/>
  <c r="N355" i="6"/>
  <c r="O355" i="6" s="1"/>
  <c r="P355" i="6" s="1"/>
  <c r="N389" i="6"/>
  <c r="O389" i="6" s="1"/>
  <c r="P389" i="6" s="1"/>
  <c r="Q389" i="6"/>
  <c r="Q398" i="6"/>
  <c r="N398" i="6"/>
  <c r="O398" i="6" s="1"/>
  <c r="P398" i="6" s="1"/>
  <c r="N287" i="6"/>
  <c r="O287" i="6" s="1"/>
  <c r="P287" i="6" s="1"/>
  <c r="Q287" i="6"/>
  <c r="N484" i="6"/>
  <c r="O484" i="6" s="1"/>
  <c r="P484" i="6" s="1"/>
  <c r="Q484" i="6"/>
  <c r="Q260" i="6"/>
  <c r="N260" i="6"/>
  <c r="O260" i="6" s="1"/>
  <c r="P260" i="6" s="1"/>
  <c r="Q239" i="6"/>
  <c r="N239" i="6"/>
  <c r="O239" i="6" s="1"/>
  <c r="P239" i="6" s="1"/>
  <c r="Q462" i="6"/>
  <c r="N462" i="6"/>
  <c r="O462" i="6" s="1"/>
  <c r="P462" i="6" s="1"/>
  <c r="Q281" i="6"/>
  <c r="N281" i="6"/>
  <c r="O281" i="6" s="1"/>
  <c r="P281" i="6" s="1"/>
  <c r="Q213" i="6"/>
  <c r="N213" i="6"/>
  <c r="O213" i="6" s="1"/>
  <c r="P213" i="6" s="1"/>
  <c r="N464" i="6"/>
  <c r="O464" i="6" s="1"/>
  <c r="P464" i="6" s="1"/>
  <c r="Q464" i="6"/>
  <c r="Q210" i="6"/>
  <c r="N210" i="6"/>
  <c r="O210" i="6" s="1"/>
  <c r="P210" i="6" s="1"/>
  <c r="N493" i="6"/>
  <c r="O493" i="6" s="1"/>
  <c r="P493" i="6" s="1"/>
  <c r="Q493" i="6"/>
  <c r="Q459" i="6"/>
  <c r="N459" i="6"/>
  <c r="O459" i="6" s="1"/>
  <c r="P459" i="6" s="1"/>
  <c r="N211" i="6"/>
  <c r="O211" i="6" s="1"/>
  <c r="P211" i="6" s="1"/>
  <c r="Q211" i="6"/>
  <c r="N401" i="6"/>
  <c r="O401" i="6" s="1"/>
  <c r="P401" i="6" s="1"/>
  <c r="Q401" i="6"/>
  <c r="N311" i="6"/>
  <c r="O311" i="6" s="1"/>
  <c r="P311" i="6" s="1"/>
  <c r="Q311" i="6"/>
  <c r="Q314" i="6"/>
  <c r="N314" i="6"/>
  <c r="O314" i="6" s="1"/>
  <c r="P314" i="6" s="1"/>
  <c r="Q345" i="6"/>
  <c r="N345" i="6"/>
  <c r="O345" i="6" s="1"/>
  <c r="P345" i="6" s="1"/>
  <c r="N476" i="6"/>
  <c r="O476" i="6" s="1"/>
  <c r="P476" i="6" s="1"/>
  <c r="Q476" i="6"/>
  <c r="N318" i="6"/>
  <c r="O318" i="6" s="1"/>
  <c r="P318" i="6" s="1"/>
  <c r="Q318" i="6"/>
  <c r="N426" i="6"/>
  <c r="O426" i="6" s="1"/>
  <c r="P426" i="6" s="1"/>
  <c r="Q426" i="6"/>
  <c r="N442" i="6"/>
  <c r="O442" i="6" s="1"/>
  <c r="P442" i="6" s="1"/>
  <c r="Q442" i="6"/>
  <c r="N365" i="6"/>
  <c r="O365" i="6" s="1"/>
  <c r="P365" i="6" s="1"/>
  <c r="Q365" i="6"/>
  <c r="N269" i="6"/>
  <c r="O269" i="6" s="1"/>
  <c r="P269" i="6" s="1"/>
  <c r="Q269" i="6"/>
  <c r="Q395" i="6"/>
  <c r="N395" i="6"/>
  <c r="O395" i="6" s="1"/>
  <c r="P395" i="6" s="1"/>
  <c r="N336" i="6"/>
  <c r="O336" i="6" s="1"/>
  <c r="P336" i="6" s="1"/>
  <c r="Q336" i="6"/>
  <c r="Q296" i="6"/>
  <c r="N296" i="6"/>
  <c r="O296" i="6" s="1"/>
  <c r="P296" i="6" s="1"/>
  <c r="N229" i="6"/>
  <c r="O229" i="6" s="1"/>
  <c r="P229" i="6" s="1"/>
  <c r="Q229" i="6"/>
  <c r="N369" i="6"/>
  <c r="O369" i="6" s="1"/>
  <c r="P369" i="6" s="1"/>
  <c r="Q369" i="6"/>
  <c r="N277" i="6"/>
  <c r="O277" i="6" s="1"/>
  <c r="P277" i="6" s="1"/>
  <c r="Q277" i="6"/>
  <c r="Q284" i="6"/>
  <c r="N284" i="6"/>
  <c r="O284" i="6" s="1"/>
  <c r="P284" i="6" s="1"/>
  <c r="Q475" i="6"/>
  <c r="N475" i="6"/>
  <c r="O475" i="6" s="1"/>
  <c r="P475" i="6" s="1"/>
  <c r="Q379" i="6"/>
  <c r="N379" i="6"/>
  <c r="O379" i="6" s="1"/>
  <c r="P379" i="6" s="1"/>
  <c r="Q346" i="6"/>
  <c r="N346" i="6"/>
  <c r="O346" i="6" s="1"/>
  <c r="P346" i="6" s="1"/>
  <c r="Q249" i="6"/>
  <c r="N249" i="6"/>
  <c r="O249" i="6" s="1"/>
  <c r="P249" i="6" s="1"/>
  <c r="Q275" i="6"/>
  <c r="N275" i="6"/>
  <c r="O275" i="6" s="1"/>
  <c r="P275" i="6" s="1"/>
  <c r="N255" i="6"/>
  <c r="O255" i="6" s="1"/>
  <c r="P255" i="6" s="1"/>
  <c r="Q255" i="6"/>
  <c r="N402" i="6"/>
  <c r="O402" i="6" s="1"/>
  <c r="P402" i="6" s="1"/>
  <c r="Q402" i="6"/>
  <c r="N485" i="6"/>
  <c r="O485" i="6" s="1"/>
  <c r="P485" i="6" s="1"/>
  <c r="Q485" i="6"/>
  <c r="Q290" i="6"/>
  <c r="N290" i="6"/>
  <c r="O290" i="6" s="1"/>
  <c r="P290" i="6" s="1"/>
  <c r="N254" i="6"/>
  <c r="O254" i="6" s="1"/>
  <c r="P254" i="6" s="1"/>
  <c r="Q254" i="6"/>
  <c r="Q262" i="6"/>
  <c r="N262" i="6"/>
  <c r="O262" i="6" s="1"/>
  <c r="P262" i="6" s="1"/>
  <c r="Q467" i="6"/>
  <c r="N467" i="6"/>
  <c r="O467" i="6" s="1"/>
  <c r="P467" i="6" s="1"/>
  <c r="N440" i="6"/>
  <c r="O440" i="6" s="1"/>
  <c r="P440" i="6" s="1"/>
  <c r="Q440" i="6"/>
  <c r="N452" i="6"/>
  <c r="O452" i="6" s="1"/>
  <c r="P452" i="6" s="1"/>
  <c r="Q452" i="6"/>
  <c r="Q356" i="6"/>
  <c r="N356" i="6"/>
  <c r="O356" i="6" s="1"/>
  <c r="P356" i="6" s="1"/>
  <c r="Q322" i="6"/>
  <c r="N322" i="6"/>
  <c r="O322" i="6" s="1"/>
  <c r="P322" i="6" s="1"/>
  <c r="N216" i="6"/>
  <c r="O216" i="6" s="1"/>
  <c r="P216" i="6" s="1"/>
  <c r="Q216" i="6"/>
  <c r="N316" i="6"/>
  <c r="O316" i="6" s="1"/>
  <c r="P316" i="6" s="1"/>
  <c r="Q316" i="6"/>
  <c r="N300" i="6"/>
  <c r="O300" i="6" s="1"/>
  <c r="P300" i="6" s="1"/>
  <c r="Q300" i="6"/>
  <c r="Q405" i="6"/>
  <c r="N405" i="6"/>
  <c r="O405" i="6" s="1"/>
  <c r="P405" i="6" s="1"/>
  <c r="Q224" i="6"/>
  <c r="N224" i="6"/>
  <c r="O224" i="6" s="1"/>
  <c r="P224" i="6" s="1"/>
  <c r="Q333" i="6"/>
  <c r="N333" i="6"/>
  <c r="O333" i="6" s="1"/>
  <c r="P333" i="6" s="1"/>
  <c r="N408" i="6"/>
  <c r="O408" i="6" s="1"/>
  <c r="P408" i="6" s="1"/>
  <c r="Q408" i="6"/>
  <c r="Q302" i="6"/>
  <c r="N302" i="6"/>
  <c r="O302" i="6" s="1"/>
  <c r="P302" i="6" s="1"/>
  <c r="N392" i="6"/>
  <c r="O392" i="6" s="1"/>
  <c r="P392" i="6" s="1"/>
  <c r="Q392" i="6"/>
  <c r="N340" i="6"/>
  <c r="O340" i="6" s="1"/>
  <c r="P340" i="6" s="1"/>
  <c r="Q340" i="6"/>
  <c r="N208" i="6"/>
  <c r="O208" i="6" s="1"/>
  <c r="P208" i="6" s="1"/>
  <c r="Q208" i="6"/>
  <c r="Q465" i="6"/>
  <c r="N465" i="6"/>
  <c r="O465" i="6" s="1"/>
  <c r="P465" i="6" s="1"/>
  <c r="N286" i="6"/>
  <c r="O286" i="6" s="1"/>
  <c r="P286" i="6" s="1"/>
  <c r="Q286" i="6"/>
  <c r="N434" i="6"/>
  <c r="O434" i="6" s="1"/>
  <c r="P434" i="6" s="1"/>
  <c r="Q434" i="6"/>
  <c r="Q283" i="6"/>
  <c r="N283" i="6"/>
  <c r="O283" i="6" s="1"/>
  <c r="P283" i="6" s="1"/>
  <c r="Q490" i="6"/>
  <c r="N490" i="6"/>
  <c r="O490" i="6" s="1"/>
  <c r="P490" i="6" s="1"/>
  <c r="Q301" i="6"/>
  <c r="N301" i="6"/>
  <c r="O301" i="6" s="1"/>
  <c r="P301" i="6" s="1"/>
  <c r="Q268" i="6"/>
  <c r="N268" i="6"/>
  <c r="O268" i="6" s="1"/>
  <c r="P268" i="6" s="1"/>
  <c r="N270" i="6"/>
  <c r="O270" i="6" s="1"/>
  <c r="P270" i="6" s="1"/>
  <c r="Q270" i="6"/>
  <c r="N461" i="6"/>
  <c r="O461" i="6" s="1"/>
  <c r="P461" i="6" s="1"/>
  <c r="Q461" i="6"/>
  <c r="Q264" i="6"/>
  <c r="N264" i="6"/>
  <c r="O264" i="6" s="1"/>
  <c r="P264" i="6" s="1"/>
  <c r="Q359" i="6"/>
  <c r="N359" i="6"/>
  <c r="O359" i="6" s="1"/>
  <c r="P359" i="6" s="1"/>
  <c r="N417" i="6"/>
  <c r="O417" i="6" s="1"/>
  <c r="P417" i="6" s="1"/>
  <c r="Q417" i="6"/>
  <c r="Q482" i="6"/>
  <c r="N482" i="6"/>
  <c r="O482" i="6" s="1"/>
  <c r="P482" i="6" s="1"/>
  <c r="N479" i="6"/>
  <c r="O479" i="6" s="1"/>
  <c r="P479" i="6" s="1"/>
  <c r="Q479" i="6"/>
  <c r="Q250" i="6"/>
  <c r="N250" i="6"/>
  <c r="O250" i="6" s="1"/>
  <c r="P250" i="6" s="1"/>
  <c r="Q438" i="6"/>
  <c r="N438" i="6"/>
  <c r="O438" i="6" s="1"/>
  <c r="P438" i="6" s="1"/>
  <c r="Q432" i="6"/>
  <c r="N432" i="6"/>
  <c r="O432" i="6" s="1"/>
  <c r="P432" i="6" s="1"/>
  <c r="Q496" i="6"/>
  <c r="N496" i="6"/>
  <c r="O496" i="6" s="1"/>
  <c r="P496" i="6" s="1"/>
  <c r="N448" i="6"/>
  <c r="O448" i="6" s="1"/>
  <c r="P448" i="6" s="1"/>
  <c r="Q448" i="6"/>
  <c r="Q391" i="6"/>
  <c r="N391" i="6"/>
  <c r="O391" i="6" s="1"/>
  <c r="P391" i="6" s="1"/>
  <c r="N433" i="6"/>
  <c r="O433" i="6" s="1"/>
  <c r="P433" i="6" s="1"/>
  <c r="Q433" i="6"/>
  <c r="N335" i="6"/>
  <c r="O335" i="6" s="1"/>
  <c r="P335" i="6" s="1"/>
  <c r="Q335" i="6"/>
  <c r="Q244" i="6"/>
  <c r="N244" i="6"/>
  <c r="O244" i="6" s="1"/>
  <c r="P244" i="6" s="1"/>
  <c r="Q431" i="6"/>
  <c r="N431" i="6"/>
  <c r="O431" i="6" s="1"/>
  <c r="P431" i="6" s="1"/>
  <c r="N274" i="6"/>
  <c r="O274" i="6" s="1"/>
  <c r="P274" i="6" s="1"/>
  <c r="Q274" i="6"/>
  <c r="Q235" i="6"/>
  <c r="N235" i="6"/>
  <c r="O235" i="6" s="1"/>
  <c r="P235" i="6" s="1"/>
  <c r="Q221" i="6"/>
  <c r="N221" i="6"/>
  <c r="O221" i="6" s="1"/>
  <c r="P221" i="6" s="1"/>
  <c r="Q444" i="6"/>
  <c r="N444" i="6"/>
  <c r="O444" i="6" s="1"/>
  <c r="P444" i="6" s="1"/>
  <c r="N304" i="6"/>
  <c r="O304" i="6" s="1"/>
  <c r="P304" i="6" s="1"/>
  <c r="Q304" i="6"/>
  <c r="Q280" i="6"/>
  <c r="N280" i="6"/>
  <c r="O280" i="6" s="1"/>
  <c r="P280" i="6" s="1"/>
  <c r="N425" i="6"/>
  <c r="O425" i="6" s="1"/>
  <c r="P425" i="6" s="1"/>
  <c r="Q425" i="6"/>
  <c r="Q407" i="6"/>
  <c r="N407" i="6"/>
  <c r="O407" i="6" s="1"/>
  <c r="P407" i="6" s="1"/>
  <c r="N450" i="6"/>
  <c r="O450" i="6" s="1"/>
  <c r="P450" i="6" s="1"/>
  <c r="Q450" i="6"/>
  <c r="Q443" i="6"/>
  <c r="N443" i="6"/>
  <c r="O443" i="6" s="1"/>
  <c r="P443" i="6" s="1"/>
  <c r="N492" i="6"/>
  <c r="O492" i="6" s="1"/>
  <c r="P492" i="6" s="1"/>
  <c r="Q492" i="6"/>
  <c r="N348" i="6"/>
  <c r="O348" i="6" s="1"/>
  <c r="P348" i="6" s="1"/>
  <c r="Q348" i="6"/>
  <c r="Q233" i="6"/>
  <c r="N233" i="6"/>
  <c r="O233" i="6" s="1"/>
  <c r="P233" i="6" s="1"/>
  <c r="Q436" i="6"/>
  <c r="N436" i="6"/>
  <c r="O436" i="6" s="1"/>
  <c r="P436" i="6" s="1"/>
  <c r="Q310" i="6"/>
  <c r="N310" i="6"/>
  <c r="O310" i="6" s="1"/>
  <c r="P310" i="6" s="1"/>
  <c r="Q219" i="6"/>
  <c r="N219" i="6"/>
  <c r="O219" i="6" s="1"/>
  <c r="P219" i="6" s="1"/>
  <c r="Q288" i="6"/>
  <c r="N288" i="6"/>
  <c r="O288" i="6" s="1"/>
  <c r="P288" i="6" s="1"/>
  <c r="Q232" i="6"/>
  <c r="N232" i="6"/>
  <c r="O232" i="6" s="1"/>
  <c r="P232" i="6" s="1"/>
  <c r="N285" i="6"/>
  <c r="O285" i="6" s="1"/>
  <c r="P285" i="6" s="1"/>
  <c r="Q285" i="6"/>
  <c r="Q256" i="6"/>
  <c r="N256" i="6"/>
  <c r="O256" i="6" s="1"/>
  <c r="P256" i="6" s="1"/>
  <c r="Q387" i="6"/>
  <c r="N387" i="6"/>
  <c r="O387" i="6" s="1"/>
  <c r="P387" i="6" s="1"/>
  <c r="N354" i="6"/>
  <c r="O354" i="6" s="1"/>
  <c r="P354" i="6" s="1"/>
  <c r="Q354" i="6"/>
  <c r="N416" i="6"/>
  <c r="O416" i="6" s="1"/>
  <c r="P416" i="6" s="1"/>
  <c r="Q416" i="6"/>
  <c r="Q435" i="6"/>
  <c r="N435" i="6"/>
  <c r="O435" i="6" s="1"/>
  <c r="P435" i="6" s="1"/>
  <c r="N231" i="6"/>
  <c r="O231" i="6" s="1"/>
  <c r="P231" i="6" s="1"/>
  <c r="Q231" i="6"/>
  <c r="Q427" i="6"/>
  <c r="N427" i="6"/>
  <c r="O427" i="6" s="1"/>
  <c r="P427" i="6" s="1"/>
  <c r="Q447" i="6"/>
  <c r="N447" i="6"/>
  <c r="O447" i="6" s="1"/>
  <c r="P447" i="6" s="1"/>
  <c r="N327" i="6"/>
  <c r="O327" i="6" s="1"/>
  <c r="P327" i="6" s="1"/>
  <c r="Q327" i="6"/>
  <c r="N385" i="6"/>
  <c r="O385" i="6" s="1"/>
  <c r="P385" i="6" s="1"/>
  <c r="Q385" i="6"/>
  <c r="N312" i="6"/>
  <c r="O312" i="6" s="1"/>
  <c r="P312" i="6" s="1"/>
  <c r="Q312" i="6"/>
  <c r="Q351" i="6"/>
  <c r="N351" i="6"/>
  <c r="O351" i="6" s="1"/>
  <c r="P351" i="6" s="1"/>
  <c r="N342" i="6"/>
  <c r="O342" i="6" s="1"/>
  <c r="P342" i="6" s="1"/>
  <c r="Q342" i="6"/>
  <c r="Q362" i="6"/>
  <c r="N362" i="6"/>
  <c r="O362" i="6" s="1"/>
  <c r="P362" i="6" s="1"/>
  <c r="N477" i="6"/>
  <c r="O477" i="6" s="1"/>
  <c r="P477" i="6" s="1"/>
  <c r="Q477" i="6"/>
  <c r="N480" i="6"/>
  <c r="O480" i="6" s="1"/>
  <c r="P480" i="6" s="1"/>
  <c r="Q480" i="6"/>
  <c r="N317" i="6"/>
  <c r="O317" i="6" s="1"/>
  <c r="P317" i="6" s="1"/>
  <c r="Q317" i="6"/>
  <c r="N349" i="6"/>
  <c r="O349" i="6" s="1"/>
  <c r="P349" i="6" s="1"/>
  <c r="Q349" i="6"/>
  <c r="N449" i="6"/>
  <c r="O449" i="6" s="1"/>
  <c r="P449" i="6" s="1"/>
  <c r="Q449" i="6"/>
  <c r="Q375" i="6"/>
  <c r="N375" i="6"/>
  <c r="O375" i="6" s="1"/>
  <c r="P375" i="6" s="1"/>
  <c r="N430" i="6"/>
  <c r="O430" i="6" s="1"/>
  <c r="P430" i="6" s="1"/>
  <c r="Q430" i="6"/>
  <c r="Q298" i="6"/>
  <c r="N298" i="6"/>
  <c r="O298" i="6" s="1"/>
  <c r="P298" i="6" s="1"/>
  <c r="N386" i="6"/>
  <c r="O386" i="6" s="1"/>
  <c r="P386" i="6" s="1"/>
  <c r="Q386" i="6"/>
  <c r="Q289" i="6"/>
  <c r="N289" i="6"/>
  <c r="O289" i="6" s="1"/>
  <c r="P289" i="6" s="1"/>
  <c r="Q423" i="6"/>
  <c r="N423" i="6"/>
  <c r="O423" i="6" s="1"/>
  <c r="P423" i="6" s="1"/>
  <c r="N328" i="6"/>
  <c r="O328" i="6" s="1"/>
  <c r="P328" i="6" s="1"/>
  <c r="Q328" i="6"/>
  <c r="N313" i="6"/>
  <c r="O313" i="6" s="1"/>
  <c r="P313" i="6" s="1"/>
  <c r="Q313" i="6"/>
  <c r="N212" i="6"/>
  <c r="O212" i="6" s="1"/>
  <c r="P212" i="6" s="1"/>
  <c r="Q212" i="6"/>
  <c r="Q214" i="6"/>
  <c r="N214" i="6"/>
  <c r="O214" i="6" s="1"/>
  <c r="P214" i="6" s="1"/>
  <c r="Q217" i="6"/>
  <c r="N217" i="6"/>
  <c r="O217" i="6" s="1"/>
  <c r="P217" i="6" s="1"/>
  <c r="Q451" i="6"/>
  <c r="N451" i="6"/>
  <c r="O451" i="6" s="1"/>
  <c r="P451" i="6" s="1"/>
  <c r="Q272" i="6"/>
  <c r="N272" i="6"/>
  <c r="O272" i="6" s="1"/>
  <c r="P272" i="6" s="1"/>
  <c r="N466" i="6"/>
  <c r="O466" i="6" s="1"/>
  <c r="P466" i="6" s="1"/>
  <c r="Q466" i="6"/>
  <c r="Q352" i="6"/>
  <c r="N352" i="6"/>
  <c r="O352" i="6" s="1"/>
  <c r="P352" i="6" s="1"/>
  <c r="Q242" i="6"/>
  <c r="N242" i="6"/>
  <c r="O242" i="6" s="1"/>
  <c r="P242" i="6" s="1"/>
  <c r="N338" i="6"/>
  <c r="O338" i="6" s="1"/>
  <c r="P338" i="6" s="1"/>
  <c r="Q338" i="6"/>
  <c r="Q292" i="6"/>
  <c r="N292" i="6"/>
  <c r="O292" i="6" s="1"/>
  <c r="P292" i="6" s="1"/>
  <c r="Q276" i="6"/>
  <c r="N276" i="6"/>
  <c r="O276" i="6" s="1"/>
  <c r="P276" i="6" s="1"/>
  <c r="Q411" i="6"/>
  <c r="N411" i="6"/>
  <c r="O411" i="6" s="1"/>
  <c r="P411" i="6" s="1"/>
  <c r="N245" i="6"/>
  <c r="O245" i="6" s="1"/>
  <c r="P245" i="6" s="1"/>
  <c r="Q245" i="6"/>
  <c r="Q399" i="6"/>
  <c r="N399" i="6"/>
  <c r="O399" i="6" s="1"/>
  <c r="P399" i="6" s="1"/>
  <c r="Q473" i="6"/>
  <c r="N473" i="6"/>
  <c r="O473" i="6" s="1"/>
  <c r="P473" i="6" s="1"/>
  <c r="Q429" i="6"/>
  <c r="N429" i="6"/>
  <c r="O429" i="6" s="1"/>
  <c r="P429" i="6" s="1"/>
  <c r="N489" i="6"/>
  <c r="O489" i="6" s="1"/>
  <c r="P489" i="6" s="1"/>
  <c r="Q489" i="6"/>
  <c r="N394" i="6"/>
  <c r="O394" i="6" s="1"/>
  <c r="P394" i="6" s="1"/>
  <c r="Q394" i="6"/>
  <c r="Q248" i="6"/>
  <c r="N248" i="6"/>
  <c r="O248" i="6" s="1"/>
  <c r="P248" i="6" s="1"/>
  <c r="Q463" i="6"/>
  <c r="N463" i="6"/>
  <c r="O463" i="6" s="1"/>
  <c r="P463" i="6" s="1"/>
  <c r="Q323" i="6"/>
  <c r="N323" i="6"/>
  <c r="O323" i="6" s="1"/>
  <c r="P323" i="6" s="1"/>
  <c r="Q419" i="6"/>
  <c r="N419" i="6"/>
  <c r="O419" i="6" s="1"/>
  <c r="P419" i="6" s="1"/>
  <c r="Q491" i="6"/>
  <c r="N491" i="6"/>
  <c r="O491" i="6" s="1"/>
  <c r="P491" i="6" s="1"/>
  <c r="N382" i="6"/>
  <c r="O382" i="6" s="1"/>
  <c r="P382" i="6" s="1"/>
  <c r="Q382" i="6"/>
  <c r="Q220" i="6"/>
  <c r="N220" i="6"/>
  <c r="O220" i="6" s="1"/>
  <c r="P220" i="6" s="1"/>
  <c r="N381" i="6"/>
  <c r="O381" i="6" s="1"/>
  <c r="P381" i="6" s="1"/>
  <c r="Q381" i="6"/>
  <c r="Q474" i="6"/>
  <c r="N474" i="6"/>
  <c r="O474" i="6" s="1"/>
  <c r="P474" i="6" s="1"/>
  <c r="N325" i="6"/>
  <c r="O325" i="6" s="1"/>
  <c r="P325" i="6" s="1"/>
  <c r="Q325" i="6"/>
  <c r="Q428" i="6"/>
  <c r="N428" i="6"/>
  <c r="O428" i="6" s="1"/>
  <c r="P428" i="6" s="1"/>
  <c r="R315" i="6"/>
  <c r="R247" i="6"/>
  <c r="Q360" i="6"/>
  <c r="N360" i="6"/>
  <c r="O360" i="6" s="1"/>
  <c r="P360" i="6" s="1"/>
  <c r="Q420" i="6"/>
  <c r="N420" i="6"/>
  <c r="O420" i="6" s="1"/>
  <c r="P420" i="6" s="1"/>
  <c r="Q299" i="6"/>
  <c r="N299" i="6"/>
  <c r="O299" i="6" s="1"/>
  <c r="P299" i="6" s="1"/>
  <c r="Q343" i="6"/>
  <c r="N343" i="6"/>
  <c r="O343" i="6" s="1"/>
  <c r="P343" i="6" s="1"/>
  <c r="Q339" i="6"/>
  <c r="N339" i="6"/>
  <c r="O339" i="6" s="1"/>
  <c r="P339" i="6" s="1"/>
  <c r="N234" i="6"/>
  <c r="O234" i="6" s="1"/>
  <c r="P234" i="6" s="1"/>
  <c r="Q234" i="6"/>
  <c r="N441" i="6"/>
  <c r="O441" i="6" s="1"/>
  <c r="P441" i="6" s="1"/>
  <c r="Q441" i="6"/>
  <c r="Q446" i="6"/>
  <c r="N446" i="6"/>
  <c r="O446" i="6" s="1"/>
  <c r="P446" i="6" s="1"/>
  <c r="Q320" i="6"/>
  <c r="N320" i="6"/>
  <c r="O320" i="6" s="1"/>
  <c r="P320" i="6" s="1"/>
  <c r="Q309" i="6"/>
  <c r="N309" i="6"/>
  <c r="O309" i="6" s="1"/>
  <c r="P309" i="6" s="1"/>
  <c r="N350" i="6"/>
  <c r="O350" i="6" s="1"/>
  <c r="P350" i="6" s="1"/>
  <c r="Q350" i="6"/>
  <c r="Q367" i="6"/>
  <c r="N367" i="6"/>
  <c r="O367" i="6" s="1"/>
  <c r="P367" i="6" s="1"/>
  <c r="Q363" i="6"/>
  <c r="N363" i="6"/>
  <c r="O363" i="6" s="1"/>
  <c r="P363" i="6" s="1"/>
  <c r="Q396" i="6"/>
  <c r="N396" i="6"/>
  <c r="O396" i="6" s="1"/>
  <c r="P396" i="6" s="1"/>
  <c r="N261" i="6"/>
  <c r="O261" i="6" s="1"/>
  <c r="P261" i="6" s="1"/>
  <c r="Q261" i="6"/>
  <c r="N341" i="6"/>
  <c r="O341" i="6" s="1"/>
  <c r="P341" i="6" s="1"/>
  <c r="Q341" i="6"/>
  <c r="N470" i="6"/>
  <c r="O470" i="6" s="1"/>
  <c r="P470" i="6" s="1"/>
  <c r="Q470" i="6"/>
  <c r="N305" i="6"/>
  <c r="O305" i="6" s="1"/>
  <c r="P305" i="6" s="1"/>
  <c r="Q305" i="6"/>
  <c r="Q273" i="6"/>
  <c r="N273" i="6"/>
  <c r="O273" i="6" s="1"/>
  <c r="P273" i="6" s="1"/>
  <c r="N374" i="6"/>
  <c r="O374" i="6" s="1"/>
  <c r="P374" i="6" s="1"/>
  <c r="Q374" i="6"/>
  <c r="N488" i="6"/>
  <c r="O488" i="6" s="1"/>
  <c r="P488" i="6" s="1"/>
  <c r="Q488" i="6"/>
  <c r="Q468" i="6"/>
  <c r="N468" i="6"/>
  <c r="O468" i="6" s="1"/>
  <c r="P468" i="6" s="1"/>
  <c r="N472" i="6"/>
  <c r="O472" i="6" s="1"/>
  <c r="P472" i="6" s="1"/>
  <c r="Q472" i="6"/>
  <c r="N319" i="6"/>
  <c r="O319" i="6" s="1"/>
  <c r="P319" i="6" s="1"/>
  <c r="Q319" i="6"/>
  <c r="Q297" i="6"/>
  <c r="N297" i="6"/>
  <c r="O297" i="6" s="1"/>
  <c r="P297" i="6" s="1"/>
  <c r="N238" i="6"/>
  <c r="O238" i="6" s="1"/>
  <c r="P238" i="6" s="1"/>
  <c r="Q238" i="6"/>
  <c r="N357" i="6"/>
  <c r="O357" i="6" s="1"/>
  <c r="P357" i="6" s="1"/>
  <c r="Q357" i="6"/>
  <c r="Q331" i="6"/>
  <c r="N331" i="6"/>
  <c r="O331" i="6" s="1"/>
  <c r="P331" i="6" s="1"/>
  <c r="Q471" i="6"/>
  <c r="N471" i="6"/>
  <c r="O471" i="6" s="1"/>
  <c r="P471" i="6" s="1"/>
  <c r="Q252" i="6"/>
  <c r="N252" i="6"/>
  <c r="O252" i="6" s="1"/>
  <c r="P252" i="6" s="1"/>
  <c r="N263" i="6"/>
  <c r="O263" i="6" s="1"/>
  <c r="P263" i="6" s="1"/>
  <c r="Q263" i="6"/>
  <c r="N455" i="6"/>
  <c r="O455" i="6" s="1"/>
  <c r="P455" i="6" s="1"/>
  <c r="Q455" i="6"/>
  <c r="B110" i="5"/>
  <c r="C110" i="5" s="1"/>
  <c r="D110" i="5" s="1"/>
  <c r="A111" i="5"/>
  <c r="E109" i="5"/>
  <c r="F109" i="5" s="1"/>
  <c r="B136" i="4"/>
  <c r="B137" i="4" s="1"/>
  <c r="B162" i="4" s="1"/>
  <c r="B132" i="1"/>
  <c r="C132" i="1" s="1"/>
  <c r="D132" i="1" s="1"/>
  <c r="E132" i="1" s="1"/>
  <c r="F132" i="1" s="1"/>
  <c r="L24" i="7" l="1"/>
  <c r="V268" i="4"/>
  <c r="L8" i="7"/>
  <c r="V252" i="4"/>
  <c r="L13" i="7"/>
  <c r="V257" i="4"/>
  <c r="L12" i="7"/>
  <c r="V256" i="4"/>
  <c r="P12" i="7" s="1"/>
  <c r="L10" i="7"/>
  <c r="V254" i="4"/>
  <c r="L15" i="7"/>
  <c r="V259" i="4"/>
  <c r="L19" i="7"/>
  <c r="V263" i="4"/>
  <c r="L22" i="7"/>
  <c r="V266" i="4"/>
  <c r="P22" i="7" s="1"/>
  <c r="L20" i="7"/>
  <c r="V264" i="4"/>
  <c r="L6" i="7"/>
  <c r="V250" i="4"/>
  <c r="L18" i="7"/>
  <c r="V262" i="4"/>
  <c r="L11" i="7"/>
  <c r="V255" i="4"/>
  <c r="P11" i="7" s="1"/>
  <c r="L23" i="7"/>
  <c r="V267" i="4"/>
  <c r="L16" i="7"/>
  <c r="V260" i="4"/>
  <c r="L21" i="7"/>
  <c r="V265" i="4"/>
  <c r="L7" i="7"/>
  <c r="V251" i="4"/>
  <c r="P7" i="7" s="1"/>
  <c r="L9" i="7"/>
  <c r="V253" i="4"/>
  <c r="P9" i="7" s="1"/>
  <c r="L17" i="7"/>
  <c r="V261" i="4"/>
  <c r="L14" i="7"/>
  <c r="V258" i="4"/>
  <c r="L5" i="7"/>
  <c r="B92" i="4"/>
  <c r="B87" i="4"/>
  <c r="P8" i="7"/>
  <c r="S252" i="4"/>
  <c r="T252" i="4" s="1"/>
  <c r="U252" i="4" s="1"/>
  <c r="S263" i="4"/>
  <c r="T263" i="4" s="1"/>
  <c r="U263" i="4" s="1"/>
  <c r="P19" i="7"/>
  <c r="S251" i="4"/>
  <c r="T251" i="4" s="1"/>
  <c r="U251" i="4" s="1"/>
  <c r="S266" i="4"/>
  <c r="T266" i="4" s="1"/>
  <c r="U266" i="4" s="1"/>
  <c r="S253" i="4"/>
  <c r="T253" i="4" s="1"/>
  <c r="U253" i="4" s="1"/>
  <c r="S256" i="4"/>
  <c r="T256" i="4" s="1"/>
  <c r="U256" i="4" s="1"/>
  <c r="P17" i="7"/>
  <c r="S261" i="4"/>
  <c r="T261" i="4" s="1"/>
  <c r="U261" i="4" s="1"/>
  <c r="S267" i="4"/>
  <c r="T267" i="4" s="1"/>
  <c r="U267" i="4" s="1"/>
  <c r="P23" i="7"/>
  <c r="P24" i="7"/>
  <c r="S268" i="4"/>
  <c r="T268" i="4" s="1"/>
  <c r="U268" i="4" s="1"/>
  <c r="P18" i="7"/>
  <c r="S262" i="4"/>
  <c r="T262" i="4" s="1"/>
  <c r="U262" i="4" s="1"/>
  <c r="S255" i="4"/>
  <c r="T255" i="4" s="1"/>
  <c r="U255" i="4" s="1"/>
  <c r="S264" i="4"/>
  <c r="T264" i="4" s="1"/>
  <c r="U264" i="4" s="1"/>
  <c r="P20" i="7"/>
  <c r="S250" i="4"/>
  <c r="T250" i="4" s="1"/>
  <c r="U250" i="4" s="1"/>
  <c r="P6" i="7"/>
  <c r="S259" i="4"/>
  <c r="T259" i="4" s="1"/>
  <c r="U259" i="4" s="1"/>
  <c r="P15" i="7"/>
  <c r="S258" i="4"/>
  <c r="T258" i="4" s="1"/>
  <c r="U258" i="4" s="1"/>
  <c r="P14" i="7"/>
  <c r="P10" i="7"/>
  <c r="S254" i="4"/>
  <c r="T254" i="4" s="1"/>
  <c r="U254" i="4" s="1"/>
  <c r="S257" i="4"/>
  <c r="T257" i="4" s="1"/>
  <c r="U257" i="4" s="1"/>
  <c r="P13" i="7"/>
  <c r="S249" i="4"/>
  <c r="T249" i="4" s="1"/>
  <c r="U249" i="4" s="1"/>
  <c r="P5" i="7"/>
  <c r="S265" i="4"/>
  <c r="T265" i="4" s="1"/>
  <c r="U265" i="4" s="1"/>
  <c r="P21" i="7"/>
  <c r="P16" i="7"/>
  <c r="S260" i="4"/>
  <c r="T260" i="4" s="1"/>
  <c r="U260" i="4" s="1"/>
  <c r="B7" i="8"/>
  <c r="D67" i="4"/>
  <c r="B102" i="4" s="1"/>
  <c r="B22" i="8"/>
  <c r="R490" i="6"/>
  <c r="R327" i="6"/>
  <c r="R348" i="6"/>
  <c r="R224" i="6"/>
  <c r="R252" i="6"/>
  <c r="R468" i="6"/>
  <c r="R396" i="6"/>
  <c r="R309" i="6"/>
  <c r="R420" i="6"/>
  <c r="R394" i="6"/>
  <c r="R428" i="6"/>
  <c r="R214" i="6"/>
  <c r="R423" i="6"/>
  <c r="R461" i="6"/>
  <c r="R277" i="6"/>
  <c r="R336" i="6"/>
  <c r="R442" i="6"/>
  <c r="R211" i="6"/>
  <c r="R287" i="6"/>
  <c r="R273" i="6"/>
  <c r="R352" i="6"/>
  <c r="R299" i="6"/>
  <c r="R217" i="6"/>
  <c r="R298" i="6"/>
  <c r="R301" i="6"/>
  <c r="R333" i="6"/>
  <c r="R342" i="6"/>
  <c r="R231" i="6"/>
  <c r="R450" i="6"/>
  <c r="R304" i="6"/>
  <c r="R274" i="6"/>
  <c r="R433" i="6"/>
  <c r="R479" i="6"/>
  <c r="R401" i="6"/>
  <c r="R493" i="6"/>
  <c r="R290" i="6"/>
  <c r="R275" i="6"/>
  <c r="R488" i="6"/>
  <c r="R470" i="6"/>
  <c r="R436" i="6"/>
  <c r="R415" i="6"/>
  <c r="R235" i="6"/>
  <c r="R475" i="6"/>
  <c r="R443" i="6"/>
  <c r="R250" i="6"/>
  <c r="R326" i="6"/>
  <c r="R280" i="6"/>
  <c r="R359" i="6"/>
  <c r="R260" i="6"/>
  <c r="R495" i="6"/>
  <c r="R324" i="6"/>
  <c r="R489" i="6"/>
  <c r="R245" i="6"/>
  <c r="R338" i="6"/>
  <c r="R312" i="6"/>
  <c r="R416" i="6"/>
  <c r="R285" i="6"/>
  <c r="R492" i="6"/>
  <c r="R425" i="6"/>
  <c r="R417" i="6"/>
  <c r="R270" i="6"/>
  <c r="R369" i="6"/>
  <c r="R426" i="6"/>
  <c r="R464" i="6"/>
  <c r="R215" i="6"/>
  <c r="R295" i="6"/>
  <c r="R271" i="6"/>
  <c r="R321" i="6"/>
  <c r="R455" i="6"/>
  <c r="R319" i="6"/>
  <c r="R374" i="6"/>
  <c r="R341" i="6"/>
  <c r="R463" i="6"/>
  <c r="R429" i="6"/>
  <c r="R411" i="6"/>
  <c r="R313" i="6"/>
  <c r="R386" i="6"/>
  <c r="R449" i="6"/>
  <c r="R477" i="6"/>
  <c r="R362" i="6"/>
  <c r="R427" i="6"/>
  <c r="R232" i="6"/>
  <c r="R434" i="6"/>
  <c r="R208" i="6"/>
  <c r="R408" i="6"/>
  <c r="R300" i="6"/>
  <c r="R402" i="6"/>
  <c r="R213" i="6"/>
  <c r="R365" i="6"/>
  <c r="R476" i="6"/>
  <c r="R484" i="6"/>
  <c r="R358" i="6"/>
  <c r="R294" i="6"/>
  <c r="R373" i="6"/>
  <c r="R390" i="6"/>
  <c r="R278" i="6"/>
  <c r="R445" i="6"/>
  <c r="R403" i="6"/>
  <c r="R257" i="6"/>
  <c r="R325" i="6"/>
  <c r="R212" i="6"/>
  <c r="R480" i="6"/>
  <c r="R485" i="6"/>
  <c r="R220" i="6"/>
  <c r="R323" i="6"/>
  <c r="R447" i="6"/>
  <c r="R310" i="6"/>
  <c r="R221" i="6"/>
  <c r="R244" i="6"/>
  <c r="R438" i="6"/>
  <c r="R379" i="6"/>
  <c r="R395" i="6"/>
  <c r="R314" i="6"/>
  <c r="R459" i="6"/>
  <c r="R239" i="6"/>
  <c r="R398" i="6"/>
  <c r="R439" i="6"/>
  <c r="R406" i="6"/>
  <c r="R253" i="6"/>
  <c r="R226" i="6"/>
  <c r="R307" i="6"/>
  <c r="R334" i="6"/>
  <c r="R471" i="6"/>
  <c r="R297" i="6"/>
  <c r="R363" i="6"/>
  <c r="R320" i="6"/>
  <c r="R339" i="6"/>
  <c r="R360" i="6"/>
  <c r="R382" i="6"/>
  <c r="R272" i="6"/>
  <c r="R289" i="6"/>
  <c r="R375" i="6"/>
  <c r="R385" i="6"/>
  <c r="R354" i="6"/>
  <c r="R335" i="6"/>
  <c r="R448" i="6"/>
  <c r="R283" i="6"/>
  <c r="R465" i="6"/>
  <c r="R302" i="6"/>
  <c r="R405" i="6"/>
  <c r="R322" i="6"/>
  <c r="R467" i="6"/>
  <c r="R249" i="6"/>
  <c r="R229" i="6"/>
  <c r="R269" i="6"/>
  <c r="R318" i="6"/>
  <c r="R311" i="6"/>
  <c r="R389" i="6"/>
  <c r="R424" i="6"/>
  <c r="R223" i="6"/>
  <c r="R246" i="6"/>
  <c r="R207" i="6"/>
  <c r="R337" i="6"/>
  <c r="R230" i="6"/>
  <c r="R331" i="6"/>
  <c r="R367" i="6"/>
  <c r="R446" i="6"/>
  <c r="R343" i="6"/>
  <c r="R474" i="6"/>
  <c r="R242" i="6"/>
  <c r="R451" i="6"/>
  <c r="R268" i="6"/>
  <c r="R356" i="6"/>
  <c r="R262" i="6"/>
  <c r="R263" i="6"/>
  <c r="R357" i="6"/>
  <c r="R472" i="6"/>
  <c r="R261" i="6"/>
  <c r="R350" i="6"/>
  <c r="R441" i="6"/>
  <c r="R381" i="6"/>
  <c r="R491" i="6"/>
  <c r="R248" i="6"/>
  <c r="R473" i="6"/>
  <c r="R276" i="6"/>
  <c r="R328" i="6"/>
  <c r="R349" i="6"/>
  <c r="R387" i="6"/>
  <c r="R288" i="6"/>
  <c r="R233" i="6"/>
  <c r="R496" i="6"/>
  <c r="R264" i="6"/>
  <c r="R340" i="6"/>
  <c r="R316" i="6"/>
  <c r="R452" i="6"/>
  <c r="R254" i="6"/>
  <c r="R255" i="6"/>
  <c r="R284" i="6"/>
  <c r="R296" i="6"/>
  <c r="R281" i="6"/>
  <c r="R355" i="6"/>
  <c r="R454" i="6"/>
  <c r="R241" i="6"/>
  <c r="R413" i="6"/>
  <c r="R376" i="6"/>
  <c r="R380" i="6"/>
  <c r="R353" i="6"/>
  <c r="R238" i="6"/>
  <c r="R305" i="6"/>
  <c r="R234" i="6"/>
  <c r="R419" i="6"/>
  <c r="R399" i="6"/>
  <c r="R292" i="6"/>
  <c r="R466" i="6"/>
  <c r="R430" i="6"/>
  <c r="R317" i="6"/>
  <c r="R351" i="6"/>
  <c r="R435" i="6"/>
  <c r="R256" i="6"/>
  <c r="R219" i="6"/>
  <c r="R407" i="6"/>
  <c r="R444" i="6"/>
  <c r="R431" i="6"/>
  <c r="R391" i="6"/>
  <c r="R432" i="6"/>
  <c r="R482" i="6"/>
  <c r="R286" i="6"/>
  <c r="R392" i="6"/>
  <c r="R216" i="6"/>
  <c r="R440" i="6"/>
  <c r="R346" i="6"/>
  <c r="R345" i="6"/>
  <c r="R210" i="6"/>
  <c r="R462" i="6"/>
  <c r="R347" i="6"/>
  <c r="R266" i="6"/>
  <c r="R251" i="6"/>
  <c r="R332" i="6"/>
  <c r="R259" i="6"/>
  <c r="R453" i="6"/>
  <c r="E110" i="5"/>
  <c r="F110" i="5" s="1"/>
  <c r="A112" i="5"/>
  <c r="B111" i="5"/>
  <c r="C111" i="5" s="1"/>
  <c r="D111" i="5" s="1"/>
  <c r="B133" i="1"/>
  <c r="C133" i="1" s="1"/>
  <c r="D133" i="1" s="1"/>
  <c r="E133" i="1" s="1"/>
  <c r="F133" i="1" s="1"/>
  <c r="B148" i="8" l="1"/>
  <c r="B149" i="8" s="1"/>
  <c r="O16" i="7"/>
  <c r="N16" i="7"/>
  <c r="O10" i="7"/>
  <c r="N10" i="7"/>
  <c r="O20" i="7"/>
  <c r="N20" i="7"/>
  <c r="O17" i="7"/>
  <c r="N17" i="7"/>
  <c r="O21" i="7"/>
  <c r="N21" i="7"/>
  <c r="O14" i="7"/>
  <c r="N14" i="7"/>
  <c r="O11" i="7"/>
  <c r="N11" i="7"/>
  <c r="O7" i="7"/>
  <c r="N7" i="7"/>
  <c r="O18" i="7"/>
  <c r="N18" i="7"/>
  <c r="O5" i="7"/>
  <c r="N5" i="7"/>
  <c r="O15" i="7"/>
  <c r="N15" i="7"/>
  <c r="O12" i="7"/>
  <c r="N12" i="7"/>
  <c r="O19" i="7"/>
  <c r="N19" i="7"/>
  <c r="O23" i="7"/>
  <c r="N23" i="7"/>
  <c r="O24" i="7"/>
  <c r="N24" i="7"/>
  <c r="O9" i="7"/>
  <c r="N9" i="7"/>
  <c r="O8" i="7"/>
  <c r="N8" i="7"/>
  <c r="O22" i="7"/>
  <c r="N22" i="7"/>
  <c r="O13" i="7"/>
  <c r="N13" i="7"/>
  <c r="O6" i="7"/>
  <c r="N6" i="7"/>
  <c r="B103" i="4"/>
  <c r="B165" i="4" s="1"/>
  <c r="W260" i="4"/>
  <c r="Q16" i="7" s="1"/>
  <c r="W266" i="4"/>
  <c r="Q22" i="7" s="1"/>
  <c r="B23" i="8"/>
  <c r="B163" i="8" s="1"/>
  <c r="B136" i="8"/>
  <c r="B139" i="8" s="1"/>
  <c r="B114" i="8"/>
  <c r="B21" i="8"/>
  <c r="B87" i="8" s="1"/>
  <c r="B88" i="8" s="1"/>
  <c r="B89" i="8" s="1"/>
  <c r="B9" i="8"/>
  <c r="F111" i="5"/>
  <c r="E111" i="5"/>
  <c r="B112" i="5"/>
  <c r="C112" i="5" s="1"/>
  <c r="D112" i="5" s="1"/>
  <c r="A113" i="5"/>
  <c r="B134" i="1"/>
  <c r="C134" i="1" s="1"/>
  <c r="D134" i="1" s="1"/>
  <c r="B151" i="8" l="1"/>
  <c r="C151" i="8" s="1"/>
  <c r="B167" i="4"/>
  <c r="B169" i="4" s="1"/>
  <c r="W259" i="4"/>
  <c r="Q15" i="7" s="1"/>
  <c r="W249" i="4"/>
  <c r="Q5" i="7" s="1"/>
  <c r="W267" i="4"/>
  <c r="Q23" i="7" s="1"/>
  <c r="W268" i="4"/>
  <c r="Q24" i="7" s="1"/>
  <c r="W253" i="4"/>
  <c r="Q9" i="7" s="1"/>
  <c r="W256" i="4"/>
  <c r="Q12" i="7" s="1"/>
  <c r="W255" i="4"/>
  <c r="Q11" i="7" s="1"/>
  <c r="W261" i="4"/>
  <c r="Q17" i="7" s="1"/>
  <c r="W264" i="4"/>
  <c r="Q20" i="7" s="1"/>
  <c r="W254" i="4"/>
  <c r="Q10" i="7" s="1"/>
  <c r="W258" i="4"/>
  <c r="Q14" i="7" s="1"/>
  <c r="W265" i="4"/>
  <c r="Q21" i="7" s="1"/>
  <c r="W252" i="4"/>
  <c r="Q8" i="7" s="1"/>
  <c r="W262" i="4"/>
  <c r="Q18" i="7" s="1"/>
  <c r="W251" i="4"/>
  <c r="Q7" i="7" s="1"/>
  <c r="W263" i="4"/>
  <c r="Q19" i="7" s="1"/>
  <c r="W250" i="4"/>
  <c r="Q6" i="7" s="1"/>
  <c r="W257" i="4"/>
  <c r="Q13" i="7" s="1"/>
  <c r="B10" i="8"/>
  <c r="B156" i="8"/>
  <c r="B157" i="8" s="1"/>
  <c r="B65" i="8"/>
  <c r="B83" i="8"/>
  <c r="B84" i="8" s="1"/>
  <c r="B115" i="8" s="1"/>
  <c r="B121" i="8" s="1"/>
  <c r="B86" i="8"/>
  <c r="B92" i="8" s="1"/>
  <c r="F112" i="5"/>
  <c r="E112" i="5"/>
  <c r="B113" i="5"/>
  <c r="C113" i="5" s="1"/>
  <c r="D113" i="5" s="1"/>
  <c r="A114" i="5"/>
  <c r="E134" i="1"/>
  <c r="F134" i="1" s="1"/>
  <c r="B135" i="1"/>
  <c r="C135" i="1" s="1"/>
  <c r="D135" i="1" s="1"/>
  <c r="B180" i="4" l="1"/>
  <c r="B169" i="8"/>
  <c r="B170" i="8" s="1"/>
  <c r="B174" i="8" s="1"/>
  <c r="B175" i="8" s="1"/>
  <c r="B177" i="8" s="1"/>
  <c r="C177" i="8" s="1"/>
  <c r="B103" i="8"/>
  <c r="E113" i="5"/>
  <c r="F113" i="5" s="1"/>
  <c r="B114" i="5"/>
  <c r="C114" i="5" s="1"/>
  <c r="D114" i="5" s="1"/>
  <c r="A115" i="5"/>
  <c r="E135" i="1"/>
  <c r="F135" i="1" s="1"/>
  <c r="B136" i="1"/>
  <c r="C136" i="1" s="1"/>
  <c r="D136" i="1" s="1"/>
  <c r="E136" i="1" s="1"/>
  <c r="F136" i="1" s="1"/>
  <c r="B107" i="8" l="1"/>
  <c r="B108" i="8" s="1"/>
  <c r="B109" i="8" s="1"/>
  <c r="B104" i="8"/>
  <c r="B105" i="8" s="1"/>
  <c r="B143" i="8" s="1"/>
  <c r="A90" i="8"/>
  <c r="B78" i="8"/>
  <c r="B76" i="8"/>
  <c r="B90" i="8"/>
  <c r="B129" i="8" s="1"/>
  <c r="A116" i="5"/>
  <c r="B115" i="5"/>
  <c r="C115" i="5" s="1"/>
  <c r="D115" i="5" s="1"/>
  <c r="E114" i="5"/>
  <c r="F114" i="5" s="1"/>
  <c r="B137" i="1"/>
  <c r="C137" i="1" s="1"/>
  <c r="D137" i="1" s="1"/>
  <c r="E137" i="1" s="1"/>
  <c r="F137" i="1" s="1"/>
  <c r="C92" i="8" l="1"/>
  <c r="B131" i="8"/>
  <c r="A94" i="8"/>
  <c r="A124" i="8"/>
  <c r="A128" i="8" s="1"/>
  <c r="E115" i="5"/>
  <c r="F115" i="5" s="1"/>
  <c r="B116" i="5"/>
  <c r="C116" i="5" s="1"/>
  <c r="D116" i="5" s="1"/>
  <c r="A117" i="5"/>
  <c r="B139" i="1"/>
  <c r="C139" i="1" s="1"/>
  <c r="D139" i="1" s="1"/>
  <c r="B138" i="1"/>
  <c r="C138" i="1" s="1"/>
  <c r="D138" i="1" s="1"/>
  <c r="C131" i="8" l="1"/>
  <c r="B135" i="8" s="1"/>
  <c r="B140" i="8" s="1"/>
  <c r="B141" i="8" s="1"/>
  <c r="B160" i="8" s="1"/>
  <c r="B162" i="8" s="1"/>
  <c r="B144" i="8"/>
  <c r="B117" i="5"/>
  <c r="C117" i="5" s="1"/>
  <c r="D117" i="5" s="1"/>
  <c r="A118" i="5"/>
  <c r="E116" i="5"/>
  <c r="F116" i="5" s="1"/>
  <c r="E138" i="1"/>
  <c r="F138" i="1" s="1"/>
  <c r="E139" i="1"/>
  <c r="F139" i="1" s="1"/>
  <c r="B118" i="5" l="1"/>
  <c r="C118" i="5" s="1"/>
  <c r="D118" i="5" s="1"/>
  <c r="A119" i="5"/>
  <c r="E117" i="5"/>
  <c r="F117" i="5" s="1"/>
  <c r="A120" i="5" l="1"/>
  <c r="B119" i="5"/>
  <c r="C119" i="5" s="1"/>
  <c r="D119" i="5" s="1"/>
  <c r="E118" i="5"/>
  <c r="F118" i="5" s="1"/>
  <c r="E119" i="5" l="1"/>
  <c r="F119" i="5" s="1"/>
  <c r="B120" i="5"/>
  <c r="C120" i="5" s="1"/>
  <c r="D120" i="5" s="1"/>
  <c r="A121" i="5"/>
  <c r="B121" i="5" l="1"/>
  <c r="C121" i="5" s="1"/>
  <c r="D121" i="5" s="1"/>
  <c r="A122" i="5"/>
  <c r="E120" i="5"/>
  <c r="F120" i="5" s="1"/>
  <c r="B122" i="5" l="1"/>
  <c r="C122" i="5" s="1"/>
  <c r="D122" i="5" s="1"/>
  <c r="A123" i="5"/>
  <c r="E121" i="5"/>
  <c r="F121" i="5" s="1"/>
  <c r="A124" i="5" l="1"/>
  <c r="B123" i="5"/>
  <c r="C123" i="5" s="1"/>
  <c r="D123" i="5" s="1"/>
  <c r="E122" i="5"/>
  <c r="F122" i="5" s="1"/>
  <c r="E123" i="5" l="1"/>
  <c r="F123" i="5" s="1"/>
  <c r="B124" i="5"/>
  <c r="C124" i="5" s="1"/>
  <c r="D124" i="5" s="1"/>
  <c r="A125" i="5"/>
  <c r="B125" i="5" l="1"/>
  <c r="C125" i="5" s="1"/>
  <c r="D125" i="5" s="1"/>
  <c r="A126" i="5"/>
  <c r="E124" i="5"/>
  <c r="F124" i="5" s="1"/>
  <c r="B126" i="5" l="1"/>
  <c r="C126" i="5" s="1"/>
  <c r="D126" i="5" s="1"/>
  <c r="A127" i="5"/>
  <c r="E125" i="5"/>
  <c r="F125" i="5" s="1"/>
  <c r="A128" i="5" l="1"/>
  <c r="B127" i="5"/>
  <c r="C127" i="5" s="1"/>
  <c r="D127" i="5" s="1"/>
  <c r="E126" i="5"/>
  <c r="F126" i="5" s="1"/>
  <c r="E127" i="5" l="1"/>
  <c r="F127" i="5" s="1"/>
  <c r="B128" i="5"/>
  <c r="C128" i="5" s="1"/>
  <c r="D128" i="5" s="1"/>
  <c r="A129" i="5"/>
  <c r="E128" i="5" l="1"/>
  <c r="F128" i="5" s="1"/>
  <c r="B129" i="5"/>
  <c r="C129" i="5" s="1"/>
  <c r="D129" i="5" s="1"/>
  <c r="A130" i="5"/>
  <c r="A131" i="5" l="1"/>
  <c r="B130" i="5"/>
  <c r="C130" i="5" s="1"/>
  <c r="D130" i="5" s="1"/>
  <c r="E129" i="5"/>
  <c r="F129" i="5" s="1"/>
  <c r="E130" i="5" l="1"/>
  <c r="F130" i="5" s="1"/>
  <c r="A132" i="5"/>
  <c r="B131" i="5"/>
  <c r="C131" i="5" s="1"/>
  <c r="D131" i="5" s="1"/>
  <c r="B132" i="5" l="1"/>
  <c r="C132" i="5" s="1"/>
  <c r="D132" i="5" s="1"/>
  <c r="A133" i="5"/>
  <c r="B133" i="5" s="1"/>
  <c r="C133" i="5" s="1"/>
  <c r="D133" i="5" s="1"/>
  <c r="E131" i="5"/>
  <c r="F131" i="5" s="1"/>
  <c r="E133" i="5" l="1"/>
  <c r="F133" i="5" s="1"/>
  <c r="E132" i="5"/>
  <c r="F1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 gupta</author>
  </authors>
  <commentList>
    <comment ref="A117" authorId="0" shapeId="0" xr:uid="{83A601B1-4F37-401E-BD4B-5D0DA37DC2F3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</t>
        </r>
      </text>
    </comment>
    <comment ref="A135" authorId="0" shapeId="0" xr:uid="{167D975F-6DCF-4E0A-B274-72EAFCEAB586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
TABLE 11-7 Jacketed Vessels: Overall Coefficients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 gupta</author>
  </authors>
  <commentList>
    <comment ref="A117" authorId="0" shapeId="0" xr:uid="{AB4B7DBD-3487-410C-ACCB-B592E2B77CFC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</t>
        </r>
      </text>
    </comment>
    <comment ref="A135" authorId="0" shapeId="0" xr:uid="{4CB8DABB-752F-490C-B827-A1013D1F6983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
TABLE 11-7 Jacketed Vessels: Overall Coefficients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 gupta</author>
  </authors>
  <commentList>
    <comment ref="A116" authorId="0" shapeId="0" xr:uid="{B9E79765-AADA-4C60-8855-8D22950FAB7B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process-equipment-and-plant-design-principles-and-practices - Chapter 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 gupta</author>
  </authors>
  <commentList>
    <comment ref="A116" authorId="0" shapeId="0" xr:uid="{EC3091FE-6EC1-480D-9EE5-A776346574B2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</t>
        </r>
      </text>
    </comment>
    <comment ref="A134" authorId="0" shapeId="0" xr:uid="{5477C4E1-09F1-433C-862A-877E0A410288}">
      <text>
        <r>
          <rPr>
            <b/>
            <sz val="9"/>
            <color indexed="81"/>
            <rFont val="Tahoma"/>
            <family val="2"/>
          </rPr>
          <t>gopal gupta:</t>
        </r>
        <r>
          <rPr>
            <sz val="9"/>
            <color indexed="81"/>
            <rFont val="Tahoma"/>
            <family val="2"/>
          </rPr>
          <t xml:space="preserve">
Perrys_Chemical_Engineers_Handbook - 11-26 HEAT-TRANSFER EQUIPMENT
TABLE 11-7 Jacketed Vessels: Overall Coefficients</t>
        </r>
      </text>
    </comment>
  </commentList>
</comments>
</file>

<file path=xl/sharedStrings.xml><?xml version="1.0" encoding="utf-8"?>
<sst xmlns="http://schemas.openxmlformats.org/spreadsheetml/2006/main" count="1062" uniqueCount="401">
  <si>
    <t>Given Antoines Parameter</t>
  </si>
  <si>
    <t>a</t>
  </si>
  <si>
    <t>b</t>
  </si>
  <si>
    <t>c</t>
  </si>
  <si>
    <t>Benzene</t>
  </si>
  <si>
    <t>Toluene</t>
  </si>
  <si>
    <t>log_10(P_sat) = a - b/(t + C) Where P_sat in kPa and t in C</t>
  </si>
  <si>
    <t>P_sat in kPa</t>
  </si>
  <si>
    <t>T in C for Air Condeser</t>
  </si>
  <si>
    <t>T in C for Water Condeser</t>
  </si>
  <si>
    <t>Bubble pressure for 60</t>
  </si>
  <si>
    <t xml:space="preserve">Group No - </t>
  </si>
  <si>
    <t>Given</t>
  </si>
  <si>
    <t>x_f</t>
  </si>
  <si>
    <t>w/w%</t>
  </si>
  <si>
    <t>%mole</t>
  </si>
  <si>
    <t>x_d</t>
  </si>
  <si>
    <t>M_wf</t>
  </si>
  <si>
    <t>g</t>
  </si>
  <si>
    <t>Feed</t>
  </si>
  <si>
    <t>tonnes/hr</t>
  </si>
  <si>
    <t>Kmole/hr</t>
  </si>
  <si>
    <t>mole fraction Distillate</t>
  </si>
  <si>
    <t>mole fraction Botton</t>
  </si>
  <si>
    <t>T in C for Boiler</t>
  </si>
  <si>
    <t>Distillate</t>
  </si>
  <si>
    <t>x_b</t>
  </si>
  <si>
    <t>Bottom</t>
  </si>
  <si>
    <t>P_sat in kPa_60</t>
  </si>
  <si>
    <t>P_sat in kPa_90</t>
  </si>
  <si>
    <t>P_sat in kPa_dew</t>
  </si>
  <si>
    <t>C</t>
  </si>
  <si>
    <t>Col Top</t>
  </si>
  <si>
    <t>Col Bot</t>
  </si>
  <si>
    <t>Temperature ©</t>
  </si>
  <si>
    <t>Pure Component Vapour Pressure</t>
  </si>
  <si>
    <t>alpha_top</t>
  </si>
  <si>
    <t>alpha_bot</t>
  </si>
  <si>
    <t>alpha</t>
  </si>
  <si>
    <t>R</t>
  </si>
  <si>
    <t>Number of Stages</t>
  </si>
  <si>
    <t>R_min</t>
  </si>
  <si>
    <t>S-S_m/S</t>
  </si>
  <si>
    <t>S-m</t>
  </si>
  <si>
    <t>P_Top_col</t>
  </si>
  <si>
    <t>Density of feed</t>
  </si>
  <si>
    <t>Density</t>
  </si>
  <si>
    <t>g/cc</t>
  </si>
  <si>
    <t>Density of Top</t>
  </si>
  <si>
    <t>Density of Bottom</t>
  </si>
  <si>
    <t>Average Density</t>
  </si>
  <si>
    <t>S</t>
  </si>
  <si>
    <t>Feed Location</t>
  </si>
  <si>
    <t>S_r/S_s</t>
  </si>
  <si>
    <t>Number of Rectification Tray</t>
  </si>
  <si>
    <t>Effieciency</t>
  </si>
  <si>
    <t>Number of rec tray</t>
  </si>
  <si>
    <t>Number of str tray</t>
  </si>
  <si>
    <t>Table : Effect of variation of reflux ratio.</t>
  </si>
  <si>
    <t>R/Rm</t>
  </si>
  <si>
    <t>Number of rectification Tray</t>
  </si>
  <si>
    <t>Total number of trays considering one additional tray for feed section</t>
  </si>
  <si>
    <t>Reflux Ratio (R)</t>
  </si>
  <si>
    <t>Number of Ideal Stages</t>
  </si>
  <si>
    <t>Considering 0.3 kg/cm^2 positive gauge pressure therefore it operate a 101.325 Kpa + 0.3 kg/cm^2</t>
  </si>
  <si>
    <t>Kpa</t>
  </si>
  <si>
    <t>R/R_m</t>
  </si>
  <si>
    <t>Tray Design Calculation</t>
  </si>
  <si>
    <t>Flow Rate</t>
  </si>
  <si>
    <t>Molecular Weight Of Feed</t>
  </si>
  <si>
    <t>M_f</t>
  </si>
  <si>
    <t>kg/sec</t>
  </si>
  <si>
    <t>Feed(Q_f)</t>
  </si>
  <si>
    <t>Distillate flow(m_D)</t>
  </si>
  <si>
    <t>kg/hr</t>
  </si>
  <si>
    <t>Bottom Flow(m_B)</t>
  </si>
  <si>
    <t>Design of a bubble cap tray for the top tray condition specified as</t>
  </si>
  <si>
    <t>M_d</t>
  </si>
  <si>
    <t>M_b</t>
  </si>
  <si>
    <t>Vapour Flow Rate(m_V)</t>
  </si>
  <si>
    <t>Liquid Flow Rate(m_L)</t>
  </si>
  <si>
    <t>Density Of the Vapour(rho_V)</t>
  </si>
  <si>
    <t>R/R_min</t>
  </si>
  <si>
    <t>Considerring 50% capacity</t>
  </si>
  <si>
    <t>kg/m^3</t>
  </si>
  <si>
    <t>Density Of the Liquid(rho_L)</t>
  </si>
  <si>
    <t>Flow Rate of Vapour(Q_V)</t>
  </si>
  <si>
    <t>Flow Rate of Liquid(Q_L)</t>
  </si>
  <si>
    <t>m^3/s</t>
  </si>
  <si>
    <t>Tray Diameter (Estimation by Fair and Mathews Correlation)</t>
  </si>
  <si>
    <t>F_LV</t>
  </si>
  <si>
    <t>a3</t>
  </si>
  <si>
    <t>a2</t>
  </si>
  <si>
    <t>al</t>
  </si>
  <si>
    <t>a0</t>
  </si>
  <si>
    <t>Tray spacing (mm)</t>
  </si>
  <si>
    <t>mm</t>
  </si>
  <si>
    <t>Tray spacing</t>
  </si>
  <si>
    <t>LN(F_LV)</t>
  </si>
  <si>
    <t>LN(C_sb)</t>
  </si>
  <si>
    <t>C_sb</t>
  </si>
  <si>
    <t>j</t>
  </si>
  <si>
    <t>Assuming 70% flooding</t>
  </si>
  <si>
    <t>Surface tension(sigma)</t>
  </si>
  <si>
    <t>dyne/cm</t>
  </si>
  <si>
    <t>U_V,n</t>
  </si>
  <si>
    <t>m/s</t>
  </si>
  <si>
    <t>downcomer area fraction (k)</t>
  </si>
  <si>
    <t>%</t>
  </si>
  <si>
    <t>Typically, as a first trial, the weir length can be considered to be 0.77D equivalent to Adc =  0.12A, i.e., k is 12%.</t>
  </si>
  <si>
    <t>tower diameter(D)</t>
  </si>
  <si>
    <t>m</t>
  </si>
  <si>
    <t>Table 17.8 Increment criteria for vessels fabricated from plates.</t>
  </si>
  <si>
    <t>D (mm)</t>
  </si>
  <si>
    <t>Increment (mm)</t>
  </si>
  <si>
    <t>Therefore, Tower Diameter (D)</t>
  </si>
  <si>
    <t>Area</t>
  </si>
  <si>
    <t>m^2</t>
  </si>
  <si>
    <t>Tower height</t>
  </si>
  <si>
    <t>Number of stripping Tray</t>
  </si>
  <si>
    <t>Rectification Section Tray</t>
  </si>
  <si>
    <t>Stripping Section Tray</t>
  </si>
  <si>
    <t>Feed Tray</t>
  </si>
  <si>
    <t>Column_rec+Strp Height</t>
  </si>
  <si>
    <t>Feed tray Spacing(1.5 TS)</t>
  </si>
  <si>
    <t>Additional 150 mm over the normal tray spacing whenever the downcomer is provided with a separate seal pan.</t>
  </si>
  <si>
    <t>TS + 150</t>
  </si>
  <si>
    <t>Minimum TS is 1200 mm where manholes are provided. One manhole is to be provided after 8 to 10 trays.</t>
  </si>
  <si>
    <t>Tower top dome height up to TTL (tangent length) may be twice the regular spacing of the tray or minimum 1200 mm from the top tray deck.</t>
  </si>
  <si>
    <t>2 TS</t>
  </si>
  <si>
    <t xml:space="preserve">Tower Height </t>
  </si>
  <si>
    <t>Heat Load of the Reboiler</t>
  </si>
  <si>
    <t>Cpl (kJ/kmol K), average</t>
  </si>
  <si>
    <t>Cpv (kJ/kmol K), average</t>
  </si>
  <si>
    <t>Heat of vaporisation at NBP, l (kJ/kmol)</t>
  </si>
  <si>
    <t>(kJ/kmol K)</t>
  </si>
  <si>
    <t>Manhole Spacing (2 number)</t>
  </si>
  <si>
    <t>Tower Diameter(m)</t>
  </si>
  <si>
    <t>C_p_L_mix</t>
  </si>
  <si>
    <t>C_p_V_mix</t>
  </si>
  <si>
    <t>Thickness of the Column(pd/2fj+p)</t>
  </si>
  <si>
    <t>Therefore,  Thickness is around 1.5 mm and this thickeness is not availabe so we take thockness as 5 mm</t>
  </si>
  <si>
    <t>t</t>
  </si>
  <si>
    <t>Carbon Steel Cost</t>
  </si>
  <si>
    <t>rs/kg</t>
  </si>
  <si>
    <t>Density of Carbon Steel</t>
  </si>
  <si>
    <t>Cost Of the Column</t>
  </si>
  <si>
    <t>Rs</t>
  </si>
  <si>
    <t>Total Cost Of the  tray</t>
  </si>
  <si>
    <t>Tatal Cost of Column and Tray</t>
  </si>
  <si>
    <t>Heat of Vap_mix</t>
  </si>
  <si>
    <t>kJ/kmol</t>
  </si>
  <si>
    <t>Boiling Point</t>
  </si>
  <si>
    <t>Area of Condenser</t>
  </si>
  <si>
    <t>OverAll Heat Transfer Coefficient</t>
  </si>
  <si>
    <t>Btu/ft^2.F.h</t>
  </si>
  <si>
    <t>W/m^2.K</t>
  </si>
  <si>
    <t>LMTD</t>
  </si>
  <si>
    <t>ft^2</t>
  </si>
  <si>
    <t>inches</t>
  </si>
  <si>
    <t>OverAll Heat Transfer Coefficient_condenser</t>
  </si>
  <si>
    <t>Stages</t>
  </si>
  <si>
    <t>Tower Height</t>
  </si>
  <si>
    <t>Q_v</t>
  </si>
  <si>
    <t>W</t>
  </si>
  <si>
    <t>Q_l</t>
  </si>
  <si>
    <t>Duty of Condenser</t>
  </si>
  <si>
    <t>Enthalpy of Formation</t>
  </si>
  <si>
    <t>J/mol</t>
  </si>
  <si>
    <t>J/Kg</t>
  </si>
  <si>
    <t>Enthalpy of Saturated Feed</t>
  </si>
  <si>
    <t>Enathalpy Of Distillate</t>
  </si>
  <si>
    <t>Enathalpy Of Bottom</t>
  </si>
  <si>
    <t>Duty of Reboiler</t>
  </si>
  <si>
    <t>Bubble pressure for bottom colm</t>
  </si>
  <si>
    <t>LMTD for Reboiler</t>
  </si>
  <si>
    <t>Area Of the Condenser</t>
  </si>
  <si>
    <t>Cost Table for Condenser</t>
  </si>
  <si>
    <t>Heat transfer Area(ft^2)</t>
  </si>
  <si>
    <t>Cost( Rs)</t>
  </si>
  <si>
    <t>Cost Of Condenser</t>
  </si>
  <si>
    <t>RS</t>
  </si>
  <si>
    <t>Total Cost</t>
  </si>
  <si>
    <t>Cost Of Reboiler</t>
  </si>
  <si>
    <t>Cost Table forReboiler</t>
  </si>
  <si>
    <t>Rate of Interest per Annum</t>
  </si>
  <si>
    <t>Total Annual Cost</t>
  </si>
  <si>
    <t>Operating Cost</t>
  </si>
  <si>
    <t>Flow Rate of Steam</t>
  </si>
  <si>
    <t>Kg/s</t>
  </si>
  <si>
    <t>Kg/sec</t>
  </si>
  <si>
    <t xml:space="preserve">Steam Price </t>
  </si>
  <si>
    <t>Rs/kg</t>
  </si>
  <si>
    <t>Cost of the steam for Operating 8000 hrs</t>
  </si>
  <si>
    <t>Rs/Year</t>
  </si>
  <si>
    <t>Diameter (inches)</t>
  </si>
  <si>
    <t>Cost/Plate (Rs)</t>
  </si>
  <si>
    <t>Q_r</t>
  </si>
  <si>
    <t>Q_c(W)</t>
  </si>
  <si>
    <t>Area Of Condenser</t>
  </si>
  <si>
    <t>Cost of Condenser</t>
  </si>
  <si>
    <t>Col_tray_cost</t>
  </si>
  <si>
    <t>Area of Reboiler</t>
  </si>
  <si>
    <t>Cost of Reboiler</t>
  </si>
  <si>
    <t>Total Cost ( RS crores)</t>
  </si>
  <si>
    <t>Operating Cost ( RS crores)</t>
  </si>
  <si>
    <t>Total Annual Cost ( RS crores)</t>
  </si>
  <si>
    <t>Top Col Temperature(Dew point of D)</t>
  </si>
  <si>
    <t>Pressure of reflux drum operate</t>
  </si>
  <si>
    <t>Bubble pressure reflux drum</t>
  </si>
  <si>
    <t>Gopal Gupta (20CH30008)</t>
  </si>
  <si>
    <t xml:space="preserve">Group Member - </t>
  </si>
  <si>
    <t>Yash Saraswat (20CH10087)</t>
  </si>
  <si>
    <t>Arsh Singh (20CH10088)</t>
  </si>
  <si>
    <t>Yuvika (20CH30037)</t>
  </si>
  <si>
    <t>Feed_Composition (x_f)</t>
  </si>
  <si>
    <t>Pure Component Vapour Pressure(Kpa)</t>
  </si>
  <si>
    <t>Q_c (W)</t>
  </si>
  <si>
    <t>Q_r (W)</t>
  </si>
  <si>
    <t>Table:</t>
  </si>
  <si>
    <t xml:space="preserve">PED Lab Report </t>
  </si>
  <si>
    <t xml:space="preserve">  </t>
  </si>
  <si>
    <t>Area Of the Reboiler</t>
  </si>
  <si>
    <t>Heat Load of the Reboiler and Condenser</t>
  </si>
  <si>
    <t>P_sat in kPa_82</t>
  </si>
  <si>
    <t>T in C in Reflux Drum (Bubble point)</t>
  </si>
  <si>
    <t>Total Cost per Annum incluing operating cost</t>
  </si>
  <si>
    <t>m^3/hr</t>
  </si>
  <si>
    <t>Tray Hydraulics</t>
  </si>
  <si>
    <t>Flow Rate of Liquid</t>
  </si>
  <si>
    <t>Q_L</t>
  </si>
  <si>
    <t>Number of passes</t>
  </si>
  <si>
    <t>Length of Weir(l_w) = 0.76D</t>
  </si>
  <si>
    <t>Liquid loading (Q_l/l_w)</t>
  </si>
  <si>
    <t>m^3/hr (m l_w)</t>
  </si>
  <si>
    <t>Since Liquid Loading is less than 62 m^3/hr (m l_w), So single pass is OK</t>
  </si>
  <si>
    <t>Area of Distribution over Tray</t>
  </si>
  <si>
    <t>For X = l_dc/D</t>
  </si>
  <si>
    <t>A_dc/A</t>
  </si>
  <si>
    <t>Downcomer Width</t>
  </si>
  <si>
    <t>w_dc</t>
  </si>
  <si>
    <t>Area of Tray (A)</t>
  </si>
  <si>
    <t>Area of Downcomer (A_dc)</t>
  </si>
  <si>
    <t>Area of Calming( A_cal)</t>
  </si>
  <si>
    <t>Area of End Wastage(A_w)</t>
  </si>
  <si>
    <t>net tray perforated Area(Ao,tray)</t>
  </si>
  <si>
    <t>Considering 10% loss of total area due to backing strips, from geometry</t>
  </si>
  <si>
    <t>Tray Layout</t>
  </si>
  <si>
    <t>d_cap</t>
  </si>
  <si>
    <t>From Table 14.6, we select carbon steel caps of 100 mm nominal size for which</t>
  </si>
  <si>
    <t>Cap OD</t>
  </si>
  <si>
    <t>ID</t>
  </si>
  <si>
    <t>height</t>
  </si>
  <si>
    <t>Cap Area(A_cap)</t>
  </si>
  <si>
    <t>Height of Shroud ring</t>
  </si>
  <si>
    <t>skirt height</t>
  </si>
  <si>
    <t>Trapezoidal slot with no. of slots</t>
  </si>
  <si>
    <t>R_s</t>
  </si>
  <si>
    <t>slot dimensions 8.5 mm * 4.2 mm</t>
  </si>
  <si>
    <t>h_s</t>
  </si>
  <si>
    <t>Area Ratios</t>
  </si>
  <si>
    <t>reversal/riser</t>
  </si>
  <si>
    <t>slot/riser</t>
  </si>
  <si>
    <t>slot/cap</t>
  </si>
  <si>
    <t>Pitch (P = 1.25 * OD)</t>
  </si>
  <si>
    <t>Considering triangular pitch, number of caps per m2 of net perforated area of tray A_o,tray</t>
  </si>
  <si>
    <t>number of Caps per m^2</t>
  </si>
  <si>
    <t>Total Number of Caps</t>
  </si>
  <si>
    <t>Weir height</t>
  </si>
  <si>
    <t>h_w = cap skirt clearance (25 mm) + shroud ring height (6 mm) + slot height (32 mm) + static seal (10 mm)</t>
  </si>
  <si>
    <t>h_w</t>
  </si>
  <si>
    <t>h_w/TS</t>
  </si>
  <si>
    <t>% (OK)</t>
  </si>
  <si>
    <t>Height over weir</t>
  </si>
  <si>
    <t>h_ow</t>
  </si>
  <si>
    <t>Tray pressure drop</t>
  </si>
  <si>
    <t>A_riser/A_cap</t>
  </si>
  <si>
    <t>Total riser area per tray in m2 , Ar</t>
  </si>
  <si>
    <t>annular/riser (r)</t>
  </si>
  <si>
    <t>Dry cap coefficient( Kc)</t>
  </si>
  <si>
    <t>mm/m.s</t>
  </si>
  <si>
    <t>Rho_V/Rho_L</t>
  </si>
  <si>
    <t>h_dry</t>
  </si>
  <si>
    <t>Q_V</t>
  </si>
  <si>
    <t>Head loss through wet slots</t>
  </si>
  <si>
    <t>A_riser/cap</t>
  </si>
  <si>
    <t>Slot area per tray (A_s)</t>
  </si>
  <si>
    <t>C_s</t>
  </si>
  <si>
    <t>Q_V,max</t>
  </si>
  <si>
    <t>Q_V/Q_V,max</t>
  </si>
  <si>
    <t>h_so (h_s + h_shroud)</t>
  </si>
  <si>
    <t>Mean Tray Diameter</t>
  </si>
  <si>
    <t>Q_L/Mean Tray Diameter</t>
  </si>
  <si>
    <t>m^3/s/m</t>
  </si>
  <si>
    <t>ok</t>
  </si>
  <si>
    <t>Length of Calming Zone</t>
  </si>
  <si>
    <t>Distance of weir from Tray Center</t>
  </si>
  <si>
    <t>Width of Calming Zone</t>
  </si>
  <si>
    <t>Average tray width where caps are placed</t>
  </si>
  <si>
    <t>average no of caps per row</t>
  </si>
  <si>
    <t>Gap between rows</t>
  </si>
  <si>
    <t>Maximum number of rows that can be accommodated</t>
  </si>
  <si>
    <t>Gamma = (gap between caps/cap OD)</t>
  </si>
  <si>
    <t>s = Cap skirt clearance</t>
  </si>
  <si>
    <t>h_lo = h_w + h_ow</t>
  </si>
  <si>
    <t>Considering  square pitch, number of caps per m2 of net perforated area of tray A_o,tray</t>
  </si>
  <si>
    <t>The above suugest overloaded Slots</t>
  </si>
  <si>
    <t>Liquid gradient</t>
  </si>
  <si>
    <t>V_o√𝜌_𝑣</t>
  </si>
  <si>
    <t>liquid load per ft mean tray width, f</t>
  </si>
  <si>
    <t>gpm</t>
  </si>
  <si>
    <t>ft/s</t>
  </si>
  <si>
    <t>C_v</t>
  </si>
  <si>
    <t>{(Q_L/l_w)/C_d}</t>
  </si>
  <si>
    <t>∆</t>
  </si>
  <si>
    <t>𝛿</t>
  </si>
  <si>
    <t>mm/row</t>
  </si>
  <si>
    <t>(Using the Equation Above)</t>
  </si>
  <si>
    <t>mm (say)</t>
  </si>
  <si>
    <t>Riser slot seal, h_ss</t>
  </si>
  <si>
    <t>F_Va</t>
  </si>
  <si>
    <t>dynamic slot seal,h_ds</t>
  </si>
  <si>
    <t>Beta</t>
  </si>
  <si>
    <t>Drop through aerated liquid(h_al)</t>
  </si>
  <si>
    <t>h_al = Beta * h_ds</t>
  </si>
  <si>
    <t>h_tray=h_dry+h_so+h_al</t>
  </si>
  <si>
    <t>Vapour distribution</t>
  </si>
  <si>
    <t>h_cap = h_dry + h_so</t>
  </si>
  <si>
    <t>r_vd</t>
  </si>
  <si>
    <t>Corrected ‘approach to flooding’</t>
  </si>
  <si>
    <t>A_n</t>
  </si>
  <si>
    <t>U_fV,n</t>
  </si>
  <si>
    <t>approach to flooding (Ok)</t>
  </si>
  <si>
    <t>Downcomer dynamics</t>
  </si>
  <si>
    <t>h_dc,clearance</t>
  </si>
  <si>
    <t>h_dc,prdrop</t>
  </si>
  <si>
    <t>downcomer backup,h_L,dc</t>
  </si>
  <si>
    <t>Considering check of h_L,dc &lt; TS/2 = 300 (OK)</t>
  </si>
  <si>
    <t>residence time in downcomer, t_dc</t>
  </si>
  <si>
    <t>s (Sufficient)</t>
  </si>
  <si>
    <t>Downcomer Velocity</t>
  </si>
  <si>
    <t>Throw of liquid over weir into downcomer is not important</t>
  </si>
  <si>
    <t xml:space="preserve"> in case of segmental downcomers and hence omitted.</t>
  </si>
  <si>
    <t>Weep holes</t>
  </si>
  <si>
    <t>A_n,L = A - (A_dc + A_o,tray)</t>
  </si>
  <si>
    <t>Actual Number of Trays</t>
  </si>
  <si>
    <t>A_n,L summed over all trays</t>
  </si>
  <si>
    <t>As per the general recommendation (275 - 280 mm^2 of weep hole area per m2</t>
  </si>
  <si>
    <t>of net open liquid tray area summed over all trays),</t>
  </si>
  <si>
    <t>mm^2</t>
  </si>
  <si>
    <t>We consider total area occupied by weep holes as 277.75 mm^2 per m^2 A_n,L</t>
  </si>
  <si>
    <t>Total weep hole area, A_wh</t>
  </si>
  <si>
    <t>Area A_wh on each tray</t>
  </si>
  <si>
    <t>Assuming d_wh</t>
  </si>
  <si>
    <t>number of weep holes per tray, N_wh</t>
  </si>
  <si>
    <t>Ideal Rectifying stages</t>
  </si>
  <si>
    <t>Ideal Stripping stages</t>
  </si>
  <si>
    <t>Ideal Stages</t>
  </si>
  <si>
    <t>Actual Rectifying Stages</t>
  </si>
  <si>
    <t>Actual Stripping</t>
  </si>
  <si>
    <t>Actual Stages</t>
  </si>
  <si>
    <t>The above Ratio is in the Range to operate</t>
  </si>
  <si>
    <t>Diameter of Tray(D)</t>
  </si>
  <si>
    <t>Taking End Wastage Around 5% we get</t>
  </si>
  <si>
    <t>Salvage</t>
  </si>
  <si>
    <t>Flow Rate of Water Condenser</t>
  </si>
  <si>
    <t>kg/s</t>
  </si>
  <si>
    <t>Cost of cooling water</t>
  </si>
  <si>
    <t>rs/1000 kg</t>
  </si>
  <si>
    <t>Cost of cooling water for Operating 8000 hrs</t>
  </si>
  <si>
    <t>life</t>
  </si>
  <si>
    <t>x</t>
  </si>
  <si>
    <t>y</t>
  </si>
  <si>
    <t>Assuming 75% flooding</t>
  </si>
  <si>
    <t>D, Tray/Tower diameter (m)</t>
  </si>
  <si>
    <t>A, tower area (m²)</t>
  </si>
  <si>
    <t>lw, weir length (m)</t>
  </si>
  <si>
    <t>hw, weir height (mm)</t>
  </si>
  <si>
    <t/>
  </si>
  <si>
    <t>Downcomer type</t>
  </si>
  <si>
    <t>TS, mm</t>
  </si>
  <si>
    <t>m3/s</t>
  </si>
  <si>
    <t>hw, mm</t>
  </si>
  <si>
    <t>hL,dc, mm liq.</t>
  </si>
  <si>
    <t>Segmental</t>
  </si>
  <si>
    <t>A_dc(% of A)</t>
  </si>
  <si>
    <t>NP, number of passes</t>
  </si>
  <si>
    <t>A, active area (m ²)</t>
  </si>
  <si>
    <t>Adc, downcomer area (m²)</t>
  </si>
  <si>
    <t>W_dc(m)</t>
  </si>
  <si>
    <t>Loadings @ Tray</t>
  </si>
  <si>
    <t>Vapour</t>
  </si>
  <si>
    <t xml:space="preserve">Liquid </t>
  </si>
  <si>
    <t>P_l kg/m³</t>
  </si>
  <si>
    <t>P_v, kg/m3</t>
  </si>
  <si>
    <t>Pressure Drop</t>
  </si>
  <si>
    <t>h_tray, mm liq.</t>
  </si>
  <si>
    <t>QL/lw, m3/s per m</t>
  </si>
  <si>
    <t>h_dc,pr_drop, mm liq.</t>
  </si>
  <si>
    <t>A_dc,clearance (m²)</t>
  </si>
  <si>
    <t>Residence 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</si>
</sst>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14009]dddd\,\ d\ mmmm\,\ yyyy;@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Continuous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4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0" fillId="0" borderId="2" xfId="0" applyBorder="1"/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0" fontId="4" fillId="0" borderId="0" xfId="0" applyFont="1"/>
    <xf numFmtId="9" fontId="0" fillId="0" borderId="0" xfId="0" applyNumberFormat="1"/>
    <xf numFmtId="0" fontId="0" fillId="0" borderId="3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2" xfId="0" applyBorder="1" applyAlignment="1">
      <alignment horizontal="centerContinuous"/>
    </xf>
    <xf numFmtId="0" fontId="6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0" fillId="0" borderId="0" xfId="0" applyNumberFormat="1"/>
    <xf numFmtId="0" fontId="17" fillId="0" borderId="0" xfId="0" applyFont="1"/>
    <xf numFmtId="0" fontId="18" fillId="0" borderId="0" xfId="0" applyFont="1"/>
    <xf numFmtId="8" fontId="0" fillId="0" borderId="0" xfId="0" applyNumberFormat="1"/>
    <xf numFmtId="8" fontId="0" fillId="0" borderId="2" xfId="0" applyNumberForma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Number of Stages VS R/R_m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'Code Data'!$A$2:$A$291</c:f>
              <c:numCache>
                <c:formatCode>General</c:formatCode>
                <c:ptCount val="290"/>
                <c:pt idx="0">
                  <c:v>1.05</c:v>
                </c:pt>
                <c:pt idx="1">
                  <c:v>1.0529999999999999</c:v>
                </c:pt>
                <c:pt idx="2">
                  <c:v>1.0569999999999999</c:v>
                </c:pt>
                <c:pt idx="3">
                  <c:v>1.06</c:v>
                </c:pt>
                <c:pt idx="4">
                  <c:v>1.0629999999999999</c:v>
                </c:pt>
                <c:pt idx="5">
                  <c:v>1.0660000000000001</c:v>
                </c:pt>
                <c:pt idx="6">
                  <c:v>1.07</c:v>
                </c:pt>
                <c:pt idx="7">
                  <c:v>1.073</c:v>
                </c:pt>
                <c:pt idx="8">
                  <c:v>1.0760000000000001</c:v>
                </c:pt>
                <c:pt idx="9">
                  <c:v>1.08</c:v>
                </c:pt>
                <c:pt idx="10">
                  <c:v>1.083</c:v>
                </c:pt>
                <c:pt idx="11">
                  <c:v>1.0860000000000001</c:v>
                </c:pt>
                <c:pt idx="12">
                  <c:v>1.089</c:v>
                </c:pt>
                <c:pt idx="13">
                  <c:v>1.093</c:v>
                </c:pt>
                <c:pt idx="14">
                  <c:v>1.0960000000000001</c:v>
                </c:pt>
                <c:pt idx="15">
                  <c:v>1.099</c:v>
                </c:pt>
                <c:pt idx="16">
                  <c:v>1.1020000000000001</c:v>
                </c:pt>
                <c:pt idx="17">
                  <c:v>1.1060000000000001</c:v>
                </c:pt>
                <c:pt idx="18">
                  <c:v>1.109</c:v>
                </c:pt>
                <c:pt idx="19">
                  <c:v>1.1120000000000001</c:v>
                </c:pt>
                <c:pt idx="20">
                  <c:v>1.1160000000000001</c:v>
                </c:pt>
                <c:pt idx="21">
                  <c:v>1.119</c:v>
                </c:pt>
                <c:pt idx="22">
                  <c:v>1.1220000000000001</c:v>
                </c:pt>
                <c:pt idx="23">
                  <c:v>1.125</c:v>
                </c:pt>
                <c:pt idx="24">
                  <c:v>1.129</c:v>
                </c:pt>
                <c:pt idx="25">
                  <c:v>1.1319999999999999</c:v>
                </c:pt>
                <c:pt idx="26">
                  <c:v>1.135</c:v>
                </c:pt>
                <c:pt idx="27">
                  <c:v>1.139</c:v>
                </c:pt>
                <c:pt idx="28">
                  <c:v>1.1419999999999999</c:v>
                </c:pt>
                <c:pt idx="29">
                  <c:v>1.145</c:v>
                </c:pt>
                <c:pt idx="30">
                  <c:v>1.1479999999999999</c:v>
                </c:pt>
                <c:pt idx="31">
                  <c:v>1.1519999999999999</c:v>
                </c:pt>
                <c:pt idx="32">
                  <c:v>1.155</c:v>
                </c:pt>
                <c:pt idx="33">
                  <c:v>1.1579999999999999</c:v>
                </c:pt>
                <c:pt idx="34">
                  <c:v>1.161</c:v>
                </c:pt>
                <c:pt idx="35">
                  <c:v>1.165</c:v>
                </c:pt>
                <c:pt idx="36">
                  <c:v>1.1679999999999999</c:v>
                </c:pt>
                <c:pt idx="37">
                  <c:v>1.171</c:v>
                </c:pt>
                <c:pt idx="38">
                  <c:v>1.175</c:v>
                </c:pt>
                <c:pt idx="39">
                  <c:v>1.1779999999999999</c:v>
                </c:pt>
                <c:pt idx="40">
                  <c:v>1.181</c:v>
                </c:pt>
                <c:pt idx="41">
                  <c:v>1.1839999999999999</c:v>
                </c:pt>
                <c:pt idx="42">
                  <c:v>1.1879999999999999</c:v>
                </c:pt>
                <c:pt idx="43">
                  <c:v>1.1910000000000001</c:v>
                </c:pt>
                <c:pt idx="44">
                  <c:v>1.194</c:v>
                </c:pt>
                <c:pt idx="45">
                  <c:v>1.198</c:v>
                </c:pt>
                <c:pt idx="46">
                  <c:v>1.2010000000000001</c:v>
                </c:pt>
                <c:pt idx="47">
                  <c:v>1.204</c:v>
                </c:pt>
                <c:pt idx="48">
                  <c:v>1.2070000000000001</c:v>
                </c:pt>
                <c:pt idx="49">
                  <c:v>1.2110000000000001</c:v>
                </c:pt>
                <c:pt idx="50">
                  <c:v>1.214</c:v>
                </c:pt>
                <c:pt idx="51">
                  <c:v>1.2170000000000001</c:v>
                </c:pt>
                <c:pt idx="52">
                  <c:v>1.22</c:v>
                </c:pt>
                <c:pt idx="53">
                  <c:v>1.224</c:v>
                </c:pt>
                <c:pt idx="54">
                  <c:v>1.2270000000000001</c:v>
                </c:pt>
                <c:pt idx="55">
                  <c:v>1.23</c:v>
                </c:pt>
                <c:pt idx="56">
                  <c:v>1.234</c:v>
                </c:pt>
                <c:pt idx="57">
                  <c:v>1.2370000000000001</c:v>
                </c:pt>
                <c:pt idx="58">
                  <c:v>1.24</c:v>
                </c:pt>
                <c:pt idx="59">
                  <c:v>1.2430000000000001</c:v>
                </c:pt>
                <c:pt idx="60">
                  <c:v>1.2470000000000001</c:v>
                </c:pt>
                <c:pt idx="61">
                  <c:v>1.25</c:v>
                </c:pt>
                <c:pt idx="62">
                  <c:v>1.2529999999999999</c:v>
                </c:pt>
                <c:pt idx="63">
                  <c:v>1.2569999999999999</c:v>
                </c:pt>
                <c:pt idx="64">
                  <c:v>1.26</c:v>
                </c:pt>
                <c:pt idx="65">
                  <c:v>1.2629999999999999</c:v>
                </c:pt>
                <c:pt idx="66">
                  <c:v>1.266</c:v>
                </c:pt>
                <c:pt idx="67">
                  <c:v>1.27</c:v>
                </c:pt>
                <c:pt idx="68">
                  <c:v>1.2729999999999999</c:v>
                </c:pt>
                <c:pt idx="69">
                  <c:v>1.276</c:v>
                </c:pt>
                <c:pt idx="70">
                  <c:v>1.28</c:v>
                </c:pt>
                <c:pt idx="71">
                  <c:v>1.2829999999999999</c:v>
                </c:pt>
                <c:pt idx="72">
                  <c:v>1.286</c:v>
                </c:pt>
                <c:pt idx="73">
                  <c:v>1.2889999999999999</c:v>
                </c:pt>
                <c:pt idx="74">
                  <c:v>1.2929999999999999</c:v>
                </c:pt>
                <c:pt idx="75">
                  <c:v>1.296</c:v>
                </c:pt>
                <c:pt idx="76">
                  <c:v>1.2989999999999999</c:v>
                </c:pt>
                <c:pt idx="77">
                  <c:v>1.302</c:v>
                </c:pt>
                <c:pt idx="78">
                  <c:v>1.306</c:v>
                </c:pt>
                <c:pt idx="79">
                  <c:v>1.3089999999999999</c:v>
                </c:pt>
                <c:pt idx="80">
                  <c:v>1.3120000000000001</c:v>
                </c:pt>
                <c:pt idx="81">
                  <c:v>1.3160000000000001</c:v>
                </c:pt>
                <c:pt idx="82">
                  <c:v>1.319</c:v>
                </c:pt>
                <c:pt idx="83">
                  <c:v>1.3220000000000001</c:v>
                </c:pt>
                <c:pt idx="84">
                  <c:v>1.325</c:v>
                </c:pt>
                <c:pt idx="85">
                  <c:v>1.329</c:v>
                </c:pt>
                <c:pt idx="86">
                  <c:v>1.3320000000000001</c:v>
                </c:pt>
                <c:pt idx="87">
                  <c:v>1.335</c:v>
                </c:pt>
                <c:pt idx="88">
                  <c:v>1.339</c:v>
                </c:pt>
                <c:pt idx="89">
                  <c:v>1.3420000000000001</c:v>
                </c:pt>
                <c:pt idx="90">
                  <c:v>1.345</c:v>
                </c:pt>
                <c:pt idx="91">
                  <c:v>1.3480000000000001</c:v>
                </c:pt>
                <c:pt idx="92">
                  <c:v>1.3520000000000001</c:v>
                </c:pt>
                <c:pt idx="93">
                  <c:v>1.355</c:v>
                </c:pt>
                <c:pt idx="94">
                  <c:v>1.3580000000000001</c:v>
                </c:pt>
                <c:pt idx="95">
                  <c:v>1.361</c:v>
                </c:pt>
                <c:pt idx="96">
                  <c:v>1.365</c:v>
                </c:pt>
                <c:pt idx="97">
                  <c:v>1.3680000000000001</c:v>
                </c:pt>
                <c:pt idx="98">
                  <c:v>1.371</c:v>
                </c:pt>
                <c:pt idx="99">
                  <c:v>1.375</c:v>
                </c:pt>
                <c:pt idx="100">
                  <c:v>1.3779999999999999</c:v>
                </c:pt>
                <c:pt idx="101">
                  <c:v>1.381</c:v>
                </c:pt>
                <c:pt idx="102">
                  <c:v>1.3839999999999999</c:v>
                </c:pt>
                <c:pt idx="103">
                  <c:v>1.3879999999999999</c:v>
                </c:pt>
                <c:pt idx="104">
                  <c:v>1.391</c:v>
                </c:pt>
                <c:pt idx="105">
                  <c:v>1.3939999999999999</c:v>
                </c:pt>
                <c:pt idx="106">
                  <c:v>1.3979999999999999</c:v>
                </c:pt>
                <c:pt idx="107">
                  <c:v>1.401</c:v>
                </c:pt>
                <c:pt idx="108">
                  <c:v>1.4039999999999999</c:v>
                </c:pt>
                <c:pt idx="109">
                  <c:v>1.407</c:v>
                </c:pt>
                <c:pt idx="110">
                  <c:v>1.411</c:v>
                </c:pt>
                <c:pt idx="111">
                  <c:v>1.4139999999999999</c:v>
                </c:pt>
                <c:pt idx="112">
                  <c:v>1.417</c:v>
                </c:pt>
                <c:pt idx="113">
                  <c:v>1.42</c:v>
                </c:pt>
                <c:pt idx="114">
                  <c:v>1.4239999999999999</c:v>
                </c:pt>
                <c:pt idx="115">
                  <c:v>1.427</c:v>
                </c:pt>
                <c:pt idx="116">
                  <c:v>1.43</c:v>
                </c:pt>
                <c:pt idx="117">
                  <c:v>1.4339999999999999</c:v>
                </c:pt>
                <c:pt idx="118">
                  <c:v>1.4370000000000001</c:v>
                </c:pt>
                <c:pt idx="119">
                  <c:v>1.44</c:v>
                </c:pt>
                <c:pt idx="120">
                  <c:v>1.4430000000000001</c:v>
                </c:pt>
                <c:pt idx="121">
                  <c:v>1.4470000000000001</c:v>
                </c:pt>
                <c:pt idx="122">
                  <c:v>1.45</c:v>
                </c:pt>
                <c:pt idx="123">
                  <c:v>1.4530000000000001</c:v>
                </c:pt>
                <c:pt idx="124">
                  <c:v>1.4570000000000001</c:v>
                </c:pt>
                <c:pt idx="125">
                  <c:v>1.46</c:v>
                </c:pt>
                <c:pt idx="126">
                  <c:v>1.4630000000000001</c:v>
                </c:pt>
                <c:pt idx="127">
                  <c:v>1.466</c:v>
                </c:pt>
                <c:pt idx="128">
                  <c:v>1.47</c:v>
                </c:pt>
                <c:pt idx="129">
                  <c:v>1.4730000000000001</c:v>
                </c:pt>
                <c:pt idx="130">
                  <c:v>1.476</c:v>
                </c:pt>
                <c:pt idx="131">
                  <c:v>1.48</c:v>
                </c:pt>
                <c:pt idx="132">
                  <c:v>1.4830000000000001</c:v>
                </c:pt>
                <c:pt idx="133">
                  <c:v>1.486</c:v>
                </c:pt>
                <c:pt idx="134">
                  <c:v>1.4890000000000001</c:v>
                </c:pt>
                <c:pt idx="135">
                  <c:v>1.4930000000000001</c:v>
                </c:pt>
                <c:pt idx="136">
                  <c:v>1.496</c:v>
                </c:pt>
                <c:pt idx="137">
                  <c:v>1.4990000000000001</c:v>
                </c:pt>
                <c:pt idx="138">
                  <c:v>1.502</c:v>
                </c:pt>
                <c:pt idx="139">
                  <c:v>1.506</c:v>
                </c:pt>
                <c:pt idx="140">
                  <c:v>1.5089999999999999</c:v>
                </c:pt>
                <c:pt idx="141">
                  <c:v>1.512</c:v>
                </c:pt>
                <c:pt idx="142">
                  <c:v>1.516</c:v>
                </c:pt>
                <c:pt idx="143">
                  <c:v>1.5189999999999999</c:v>
                </c:pt>
                <c:pt idx="144">
                  <c:v>1.522</c:v>
                </c:pt>
                <c:pt idx="145">
                  <c:v>1.5249999999999999</c:v>
                </c:pt>
                <c:pt idx="146">
                  <c:v>1.5289999999999999</c:v>
                </c:pt>
                <c:pt idx="147">
                  <c:v>1.532</c:v>
                </c:pt>
                <c:pt idx="148">
                  <c:v>1.5349999999999999</c:v>
                </c:pt>
                <c:pt idx="149">
                  <c:v>1.5389999999999999</c:v>
                </c:pt>
                <c:pt idx="150">
                  <c:v>1.542</c:v>
                </c:pt>
                <c:pt idx="151">
                  <c:v>1.5449999999999999</c:v>
                </c:pt>
                <c:pt idx="152">
                  <c:v>1.548</c:v>
                </c:pt>
                <c:pt idx="153">
                  <c:v>1.552</c:v>
                </c:pt>
                <c:pt idx="154">
                  <c:v>1.5549999999999999</c:v>
                </c:pt>
                <c:pt idx="155">
                  <c:v>1.5580000000000001</c:v>
                </c:pt>
                <c:pt idx="156">
                  <c:v>1.5609999999999999</c:v>
                </c:pt>
                <c:pt idx="157">
                  <c:v>1.5649999999999999</c:v>
                </c:pt>
                <c:pt idx="158">
                  <c:v>1.5680000000000001</c:v>
                </c:pt>
                <c:pt idx="159">
                  <c:v>1.571</c:v>
                </c:pt>
                <c:pt idx="160">
                  <c:v>1.575</c:v>
                </c:pt>
                <c:pt idx="161">
                  <c:v>1.5780000000000001</c:v>
                </c:pt>
                <c:pt idx="162">
                  <c:v>1.581</c:v>
                </c:pt>
                <c:pt idx="163">
                  <c:v>1.5840000000000001</c:v>
                </c:pt>
                <c:pt idx="164">
                  <c:v>1.5880000000000001</c:v>
                </c:pt>
                <c:pt idx="165">
                  <c:v>1.591</c:v>
                </c:pt>
                <c:pt idx="166">
                  <c:v>1.5940000000000001</c:v>
                </c:pt>
                <c:pt idx="167">
                  <c:v>1.5980000000000001</c:v>
                </c:pt>
                <c:pt idx="168">
                  <c:v>1.601</c:v>
                </c:pt>
                <c:pt idx="169">
                  <c:v>1.6040000000000001</c:v>
                </c:pt>
                <c:pt idx="170">
                  <c:v>1.607</c:v>
                </c:pt>
                <c:pt idx="171">
                  <c:v>1.611</c:v>
                </c:pt>
                <c:pt idx="172">
                  <c:v>1.6140000000000001</c:v>
                </c:pt>
                <c:pt idx="173">
                  <c:v>1.617</c:v>
                </c:pt>
                <c:pt idx="174">
                  <c:v>1.62</c:v>
                </c:pt>
                <c:pt idx="175">
                  <c:v>1.6240000000000001</c:v>
                </c:pt>
                <c:pt idx="176">
                  <c:v>1.627</c:v>
                </c:pt>
                <c:pt idx="177">
                  <c:v>1.63</c:v>
                </c:pt>
                <c:pt idx="178">
                  <c:v>1.6339999999999999</c:v>
                </c:pt>
                <c:pt idx="179">
                  <c:v>1.637</c:v>
                </c:pt>
                <c:pt idx="180">
                  <c:v>1.64</c:v>
                </c:pt>
                <c:pt idx="181">
                  <c:v>1.643</c:v>
                </c:pt>
                <c:pt idx="182">
                  <c:v>1.647</c:v>
                </c:pt>
                <c:pt idx="183">
                  <c:v>1.65</c:v>
                </c:pt>
                <c:pt idx="184">
                  <c:v>1.653</c:v>
                </c:pt>
                <c:pt idx="185">
                  <c:v>1.657</c:v>
                </c:pt>
                <c:pt idx="186">
                  <c:v>1.66</c:v>
                </c:pt>
                <c:pt idx="187">
                  <c:v>1.663</c:v>
                </c:pt>
                <c:pt idx="188">
                  <c:v>1.6659999999999999</c:v>
                </c:pt>
                <c:pt idx="189">
                  <c:v>1.67</c:v>
                </c:pt>
                <c:pt idx="190">
                  <c:v>1.673</c:v>
                </c:pt>
                <c:pt idx="191">
                  <c:v>1.6759999999999999</c:v>
                </c:pt>
                <c:pt idx="192">
                  <c:v>1.68</c:v>
                </c:pt>
                <c:pt idx="193">
                  <c:v>1.6830000000000001</c:v>
                </c:pt>
                <c:pt idx="194">
                  <c:v>1.6859999999999999</c:v>
                </c:pt>
                <c:pt idx="195">
                  <c:v>1.6890000000000001</c:v>
                </c:pt>
                <c:pt idx="196">
                  <c:v>1.6930000000000001</c:v>
                </c:pt>
                <c:pt idx="197">
                  <c:v>1.696</c:v>
                </c:pt>
                <c:pt idx="198">
                  <c:v>1.6990000000000001</c:v>
                </c:pt>
                <c:pt idx="199">
                  <c:v>1.702</c:v>
                </c:pt>
                <c:pt idx="200">
                  <c:v>1.706</c:v>
                </c:pt>
                <c:pt idx="201">
                  <c:v>1.7090000000000001</c:v>
                </c:pt>
                <c:pt idx="202">
                  <c:v>1.712</c:v>
                </c:pt>
                <c:pt idx="203">
                  <c:v>1.716</c:v>
                </c:pt>
                <c:pt idx="204">
                  <c:v>1.7190000000000001</c:v>
                </c:pt>
                <c:pt idx="205">
                  <c:v>1.722</c:v>
                </c:pt>
                <c:pt idx="206">
                  <c:v>1.7250000000000001</c:v>
                </c:pt>
                <c:pt idx="207">
                  <c:v>1.7290000000000001</c:v>
                </c:pt>
                <c:pt idx="208">
                  <c:v>1.732</c:v>
                </c:pt>
                <c:pt idx="209">
                  <c:v>1.7350000000000001</c:v>
                </c:pt>
                <c:pt idx="210">
                  <c:v>1.7390000000000001</c:v>
                </c:pt>
                <c:pt idx="211">
                  <c:v>1.742</c:v>
                </c:pt>
                <c:pt idx="212">
                  <c:v>1.7450000000000001</c:v>
                </c:pt>
                <c:pt idx="213">
                  <c:v>1.748</c:v>
                </c:pt>
                <c:pt idx="214">
                  <c:v>1.752</c:v>
                </c:pt>
                <c:pt idx="215">
                  <c:v>1.7549999999999999</c:v>
                </c:pt>
                <c:pt idx="216">
                  <c:v>1.758</c:v>
                </c:pt>
                <c:pt idx="217">
                  <c:v>1.7609999999999999</c:v>
                </c:pt>
                <c:pt idx="218">
                  <c:v>1.7649999999999999</c:v>
                </c:pt>
                <c:pt idx="219">
                  <c:v>1.768</c:v>
                </c:pt>
                <c:pt idx="220">
                  <c:v>1.7709999999999999</c:v>
                </c:pt>
                <c:pt idx="221">
                  <c:v>1.7749999999999999</c:v>
                </c:pt>
                <c:pt idx="222">
                  <c:v>1.778</c:v>
                </c:pt>
                <c:pt idx="223">
                  <c:v>1.7809999999999999</c:v>
                </c:pt>
                <c:pt idx="224">
                  <c:v>1.784</c:v>
                </c:pt>
                <c:pt idx="225">
                  <c:v>1.788</c:v>
                </c:pt>
                <c:pt idx="226">
                  <c:v>1.7909999999999999</c:v>
                </c:pt>
                <c:pt idx="227">
                  <c:v>1.794</c:v>
                </c:pt>
                <c:pt idx="228">
                  <c:v>1.798</c:v>
                </c:pt>
                <c:pt idx="229">
                  <c:v>1.8009999999999999</c:v>
                </c:pt>
                <c:pt idx="230">
                  <c:v>1.804</c:v>
                </c:pt>
                <c:pt idx="231">
                  <c:v>1.8069999999999999</c:v>
                </c:pt>
                <c:pt idx="232">
                  <c:v>1.8109999999999999</c:v>
                </c:pt>
                <c:pt idx="233">
                  <c:v>1.8140000000000001</c:v>
                </c:pt>
                <c:pt idx="234">
                  <c:v>1.8169999999999999</c:v>
                </c:pt>
                <c:pt idx="235">
                  <c:v>1.82</c:v>
                </c:pt>
                <c:pt idx="236">
                  <c:v>1.8240000000000001</c:v>
                </c:pt>
                <c:pt idx="237">
                  <c:v>1.827</c:v>
                </c:pt>
                <c:pt idx="238">
                  <c:v>1.83</c:v>
                </c:pt>
                <c:pt idx="239">
                  <c:v>1.8340000000000001</c:v>
                </c:pt>
                <c:pt idx="240">
                  <c:v>1.837</c:v>
                </c:pt>
                <c:pt idx="241">
                  <c:v>1.84</c:v>
                </c:pt>
                <c:pt idx="242">
                  <c:v>1.843</c:v>
                </c:pt>
                <c:pt idx="243">
                  <c:v>1.847</c:v>
                </c:pt>
                <c:pt idx="244">
                  <c:v>1.85</c:v>
                </c:pt>
                <c:pt idx="245">
                  <c:v>1.853</c:v>
                </c:pt>
                <c:pt idx="246">
                  <c:v>1.857</c:v>
                </c:pt>
                <c:pt idx="247">
                  <c:v>1.86</c:v>
                </c:pt>
                <c:pt idx="248">
                  <c:v>1.863</c:v>
                </c:pt>
                <c:pt idx="249">
                  <c:v>1.8660000000000001</c:v>
                </c:pt>
                <c:pt idx="250">
                  <c:v>1.87</c:v>
                </c:pt>
                <c:pt idx="251">
                  <c:v>1.873</c:v>
                </c:pt>
                <c:pt idx="252">
                  <c:v>1.8759999999999999</c:v>
                </c:pt>
                <c:pt idx="253">
                  <c:v>1.88</c:v>
                </c:pt>
                <c:pt idx="254">
                  <c:v>1.883</c:v>
                </c:pt>
                <c:pt idx="255">
                  <c:v>1.8859999999999999</c:v>
                </c:pt>
                <c:pt idx="256">
                  <c:v>1.889</c:v>
                </c:pt>
                <c:pt idx="257">
                  <c:v>1.893</c:v>
                </c:pt>
                <c:pt idx="258">
                  <c:v>1.8959999999999999</c:v>
                </c:pt>
                <c:pt idx="259">
                  <c:v>1.899</c:v>
                </c:pt>
                <c:pt idx="260">
                  <c:v>1.9019999999999999</c:v>
                </c:pt>
                <c:pt idx="261">
                  <c:v>1.9059999999999999</c:v>
                </c:pt>
                <c:pt idx="262">
                  <c:v>1.909</c:v>
                </c:pt>
                <c:pt idx="263">
                  <c:v>1.9119999999999999</c:v>
                </c:pt>
                <c:pt idx="264">
                  <c:v>1.9159999999999999</c:v>
                </c:pt>
                <c:pt idx="265">
                  <c:v>1.919</c:v>
                </c:pt>
                <c:pt idx="266">
                  <c:v>1.9219999999999999</c:v>
                </c:pt>
                <c:pt idx="267">
                  <c:v>1.925</c:v>
                </c:pt>
                <c:pt idx="268">
                  <c:v>1.929</c:v>
                </c:pt>
                <c:pt idx="269">
                  <c:v>1.9319999999999999</c:v>
                </c:pt>
                <c:pt idx="270">
                  <c:v>1.9350000000000001</c:v>
                </c:pt>
                <c:pt idx="271">
                  <c:v>1.9390000000000001</c:v>
                </c:pt>
                <c:pt idx="272">
                  <c:v>1.9419999999999999</c:v>
                </c:pt>
                <c:pt idx="273">
                  <c:v>1.9450000000000001</c:v>
                </c:pt>
                <c:pt idx="274">
                  <c:v>1.948</c:v>
                </c:pt>
                <c:pt idx="275">
                  <c:v>1.952</c:v>
                </c:pt>
                <c:pt idx="276">
                  <c:v>1.9550000000000001</c:v>
                </c:pt>
                <c:pt idx="277">
                  <c:v>1.958</c:v>
                </c:pt>
                <c:pt idx="278">
                  <c:v>1.9610000000000001</c:v>
                </c:pt>
                <c:pt idx="279">
                  <c:v>1.9650000000000001</c:v>
                </c:pt>
                <c:pt idx="280">
                  <c:v>1.968</c:v>
                </c:pt>
                <c:pt idx="281">
                  <c:v>1.9710000000000001</c:v>
                </c:pt>
                <c:pt idx="282">
                  <c:v>1.9750000000000001</c:v>
                </c:pt>
                <c:pt idx="283">
                  <c:v>1.978</c:v>
                </c:pt>
                <c:pt idx="284">
                  <c:v>1.9810000000000001</c:v>
                </c:pt>
                <c:pt idx="285">
                  <c:v>1.984</c:v>
                </c:pt>
                <c:pt idx="286">
                  <c:v>1.988</c:v>
                </c:pt>
                <c:pt idx="287">
                  <c:v>1.9910000000000001</c:v>
                </c:pt>
                <c:pt idx="288">
                  <c:v>1.994</c:v>
                </c:pt>
                <c:pt idx="289">
                  <c:v>1.998</c:v>
                </c:pt>
              </c:numCache>
            </c:numRef>
          </c:xVal>
          <c:yVal>
            <c:numRef>
              <c:f>'Code Data'!$C$2:$C$291</c:f>
              <c:numCache>
                <c:formatCode>General</c:formatCode>
                <c:ptCount val="29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4-4578-86AF-F9FCC986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38872"/>
        <c:axId val="580934608"/>
      </c:scatterChart>
      <c:valAx>
        <c:axId val="580938872"/>
        <c:scaling>
          <c:orientation val="minMax"/>
          <c:max val="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R/R_m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4608"/>
        <c:crosses val="autoZero"/>
        <c:crossBetween val="midCat"/>
      </c:valAx>
      <c:valAx>
        <c:axId val="580934608"/>
        <c:scaling>
          <c:orientation val="minMax"/>
          <c:max val="32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No of 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Optimum</a:t>
            </a:r>
            <a:r>
              <a:rPr lang="en-IN" baseline="0"/>
              <a:t> Reflux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Design_cal!$U$248</c:f>
              <c:strCache>
                <c:ptCount val="1"/>
                <c:pt idx="0">
                  <c:v>Total Annual Cost ( RS crores)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Design_cal!$B$249:$B$268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Design_cal!$U$249:$U$268</c:f>
              <c:numCache>
                <c:formatCode>General</c:formatCode>
                <c:ptCount val="20"/>
                <c:pt idx="0">
                  <c:v>1.3107</c:v>
                </c:pt>
                <c:pt idx="1">
                  <c:v>1.2064999999999999</c:v>
                </c:pt>
                <c:pt idx="2">
                  <c:v>1.1794</c:v>
                </c:pt>
                <c:pt idx="3">
                  <c:v>1.1389</c:v>
                </c:pt>
                <c:pt idx="4">
                  <c:v>1.1400999999999999</c:v>
                </c:pt>
                <c:pt idx="5">
                  <c:v>1.1696</c:v>
                </c:pt>
                <c:pt idx="6">
                  <c:v>1.2072000000000001</c:v>
                </c:pt>
                <c:pt idx="7">
                  <c:v>1.1962999999999999</c:v>
                </c:pt>
                <c:pt idx="8">
                  <c:v>1.1837</c:v>
                </c:pt>
                <c:pt idx="9">
                  <c:v>1.2116</c:v>
                </c:pt>
                <c:pt idx="10">
                  <c:v>1.2465999999999999</c:v>
                </c:pt>
                <c:pt idx="11">
                  <c:v>1.2745</c:v>
                </c:pt>
                <c:pt idx="12">
                  <c:v>1.2573000000000001</c:v>
                </c:pt>
                <c:pt idx="13">
                  <c:v>1.2384999999999999</c:v>
                </c:pt>
                <c:pt idx="14">
                  <c:v>1.2646999999999999</c:v>
                </c:pt>
                <c:pt idx="15">
                  <c:v>1.2972999999999999</c:v>
                </c:pt>
                <c:pt idx="16">
                  <c:v>1.3234999999999999</c:v>
                </c:pt>
                <c:pt idx="17">
                  <c:v>1.3496999999999999</c:v>
                </c:pt>
                <c:pt idx="18">
                  <c:v>1.3758999999999999</c:v>
                </c:pt>
                <c:pt idx="19">
                  <c:v>1.4020999999999999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2-4AD3-8545-36D0B04E9E0F}"/>
            </c:ext>
          </c:extLst>
        </c:ser>
        <c:ser>
          <c:idx val="1"/>
          <c:order val="1"/>
          <c:tx>
            <c:strRef>
              <c:f>Design_cal!$V$248</c:f>
              <c:strCache>
                <c:ptCount val="1"/>
                <c:pt idx="0">
                  <c:v>Operating Cost ( RS crores)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Design_cal!$B$249:$B$268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Design_cal!$V$249:$V$268</c:f>
              <c:numCache>
                <c:formatCode>General</c:formatCode>
                <c:ptCount val="20"/>
                <c:pt idx="0">
                  <c:v>1.0642</c:v>
                </c:pt>
                <c:pt idx="1">
                  <c:v>1.1029</c:v>
                </c:pt>
                <c:pt idx="2">
                  <c:v>1.1415999999999999</c:v>
                </c:pt>
                <c:pt idx="3">
                  <c:v>1.1802999999999999</c:v>
                </c:pt>
                <c:pt idx="4">
                  <c:v>1.2190000000000001</c:v>
                </c:pt>
                <c:pt idx="5">
                  <c:v>1.2577</c:v>
                </c:pt>
                <c:pt idx="6">
                  <c:v>1.2964</c:v>
                </c:pt>
                <c:pt idx="7">
                  <c:v>1.3351</c:v>
                </c:pt>
                <c:pt idx="8">
                  <c:v>1.3737999999999999</c:v>
                </c:pt>
                <c:pt idx="9">
                  <c:v>1.4125000000000001</c:v>
                </c:pt>
                <c:pt idx="10">
                  <c:v>1.4512</c:v>
                </c:pt>
                <c:pt idx="11">
                  <c:v>1.4899</c:v>
                </c:pt>
                <c:pt idx="12">
                  <c:v>1.5286</c:v>
                </c:pt>
                <c:pt idx="13">
                  <c:v>1.5672999999999999</c:v>
                </c:pt>
                <c:pt idx="14">
                  <c:v>1.6060000000000001</c:v>
                </c:pt>
                <c:pt idx="15">
                  <c:v>1.6447000000000001</c:v>
                </c:pt>
                <c:pt idx="16">
                  <c:v>1.6834</c:v>
                </c:pt>
                <c:pt idx="17">
                  <c:v>1.7221</c:v>
                </c:pt>
                <c:pt idx="18">
                  <c:v>1.7607999999999999</c:v>
                </c:pt>
                <c:pt idx="19">
                  <c:v>1.7995000000000001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62-4AD3-8545-36D0B04E9E0F}"/>
            </c:ext>
          </c:extLst>
        </c:ser>
        <c:ser>
          <c:idx val="2"/>
          <c:order val="2"/>
          <c:tx>
            <c:strRef>
              <c:f>Design_cal!$W$248</c:f>
              <c:strCache>
                <c:ptCount val="1"/>
                <c:pt idx="0">
                  <c:v>Total Cost ( RS crores)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Design_cal!$B$249:$B$268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Design_cal!$W$249:$W$268</c:f>
              <c:numCache>
                <c:formatCode>General</c:formatCode>
                <c:ptCount val="20"/>
                <c:pt idx="0">
                  <c:v>2.3749000000000002</c:v>
                </c:pt>
                <c:pt idx="1">
                  <c:v>2.3094000000000001</c:v>
                </c:pt>
                <c:pt idx="2">
                  <c:v>2.3209999999999997</c:v>
                </c:pt>
                <c:pt idx="3">
                  <c:v>2.3191999999999999</c:v>
                </c:pt>
                <c:pt idx="4">
                  <c:v>2.3590999999999998</c:v>
                </c:pt>
                <c:pt idx="5">
                  <c:v>2.4272999999999998</c:v>
                </c:pt>
                <c:pt idx="6">
                  <c:v>2.5036</c:v>
                </c:pt>
                <c:pt idx="7">
                  <c:v>2.5313999999999997</c:v>
                </c:pt>
                <c:pt idx="8">
                  <c:v>2.5575000000000001</c:v>
                </c:pt>
                <c:pt idx="9">
                  <c:v>2.6241000000000003</c:v>
                </c:pt>
                <c:pt idx="10">
                  <c:v>2.6978</c:v>
                </c:pt>
                <c:pt idx="11">
                  <c:v>2.7644000000000002</c:v>
                </c:pt>
                <c:pt idx="12">
                  <c:v>2.7858999999999998</c:v>
                </c:pt>
                <c:pt idx="13">
                  <c:v>2.8057999999999996</c:v>
                </c:pt>
                <c:pt idx="14">
                  <c:v>2.8707000000000003</c:v>
                </c:pt>
                <c:pt idx="15">
                  <c:v>2.9420000000000002</c:v>
                </c:pt>
                <c:pt idx="16">
                  <c:v>3.0068999999999999</c:v>
                </c:pt>
                <c:pt idx="17">
                  <c:v>3.0717999999999996</c:v>
                </c:pt>
                <c:pt idx="18">
                  <c:v>3.1366999999999998</c:v>
                </c:pt>
                <c:pt idx="19">
                  <c:v>3.2016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2-4AD3-8545-36D0B04E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82984"/>
        <c:axId val="100552344"/>
      </c:scatterChart>
      <c:valAx>
        <c:axId val="552882984"/>
        <c:scaling>
          <c:orientation val="minMax"/>
          <c:max val="2.049999999999999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R/R_min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2344"/>
        <c:crosses val="autoZero"/>
        <c:crossBetween val="midCat"/>
      </c:valAx>
      <c:valAx>
        <c:axId val="1005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in Crores (Rs.)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Optimum</a:t>
            </a:r>
            <a:r>
              <a:rPr lang="en-IN" baseline="0"/>
              <a:t> Reflux Plot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'Cost_table'!$O$4</c:f>
              <c:strCache>
                <c:ptCount val="1"/>
                <c:pt idx="0">
                  <c:v>Total Annual Cost ( RS crores)</c:v>
                </c:pt>
              </c:strCache>
            </c:strRef>
          </c:tx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'Cost_table'!$O$5:$O$24</c:f>
              <c:numCache>
                <c:formatCode>General</c:formatCode>
                <c:ptCount val="20"/>
                <c:pt idx="0">
                  <c:v>1.3107</c:v>
                </c:pt>
                <c:pt idx="1">
                  <c:v>1.2064999999999999</c:v>
                </c:pt>
                <c:pt idx="2">
                  <c:v>1.1794</c:v>
                </c:pt>
                <c:pt idx="3">
                  <c:v>1.1389</c:v>
                </c:pt>
                <c:pt idx="4">
                  <c:v>1.1400999999999999</c:v>
                </c:pt>
                <c:pt idx="5">
                  <c:v>1.1696</c:v>
                </c:pt>
                <c:pt idx="6">
                  <c:v>1.2072000000000001</c:v>
                </c:pt>
                <c:pt idx="7">
                  <c:v>1.1962999999999999</c:v>
                </c:pt>
                <c:pt idx="8">
                  <c:v>1.1837</c:v>
                </c:pt>
                <c:pt idx="9">
                  <c:v>1.2116</c:v>
                </c:pt>
                <c:pt idx="10">
                  <c:v>1.2465999999999999</c:v>
                </c:pt>
                <c:pt idx="11">
                  <c:v>1.2745</c:v>
                </c:pt>
                <c:pt idx="12">
                  <c:v>1.2573000000000001</c:v>
                </c:pt>
                <c:pt idx="13">
                  <c:v>1.2384999999999999</c:v>
                </c:pt>
                <c:pt idx="14">
                  <c:v>1.2646999999999999</c:v>
                </c:pt>
                <c:pt idx="15">
                  <c:v>1.2972999999999999</c:v>
                </c:pt>
                <c:pt idx="16">
                  <c:v>1.3234999999999999</c:v>
                </c:pt>
                <c:pt idx="17">
                  <c:v>1.3496999999999999</c:v>
                </c:pt>
                <c:pt idx="18">
                  <c:v>1.3758999999999999</c:v>
                </c:pt>
                <c:pt idx="19">
                  <c:v>1.4020999999999999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E0A-4381-8ED4-30987B82BA3B}"/>
            </c:ext>
          </c:extLst>
        </c:ser>
        <c:ser>
          <c:idx val="6"/>
          <c:order val="1"/>
          <c:tx>
            <c:strRef>
              <c:f>'Cost_table'!$P$4</c:f>
              <c:strCache>
                <c:ptCount val="1"/>
                <c:pt idx="0">
                  <c:v>Operating Cost ( RS crores)</c:v>
                </c:pt>
              </c:strCache>
            </c:strRef>
          </c:tx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'Cost_table'!$P$5:$P$24</c:f>
              <c:numCache>
                <c:formatCode>General</c:formatCode>
                <c:ptCount val="20"/>
                <c:pt idx="0">
                  <c:v>1.0642</c:v>
                </c:pt>
                <c:pt idx="1">
                  <c:v>1.1029</c:v>
                </c:pt>
                <c:pt idx="2">
                  <c:v>1.1415999999999999</c:v>
                </c:pt>
                <c:pt idx="3">
                  <c:v>1.1802999999999999</c:v>
                </c:pt>
                <c:pt idx="4">
                  <c:v>1.2190000000000001</c:v>
                </c:pt>
                <c:pt idx="5">
                  <c:v>1.2577</c:v>
                </c:pt>
                <c:pt idx="6">
                  <c:v>1.2964</c:v>
                </c:pt>
                <c:pt idx="7">
                  <c:v>1.3351</c:v>
                </c:pt>
                <c:pt idx="8">
                  <c:v>1.3737999999999999</c:v>
                </c:pt>
                <c:pt idx="9">
                  <c:v>1.4125000000000001</c:v>
                </c:pt>
                <c:pt idx="10">
                  <c:v>1.4512</c:v>
                </c:pt>
                <c:pt idx="11">
                  <c:v>1.4899</c:v>
                </c:pt>
                <c:pt idx="12">
                  <c:v>1.5286</c:v>
                </c:pt>
                <c:pt idx="13">
                  <c:v>1.5672999999999999</c:v>
                </c:pt>
                <c:pt idx="14">
                  <c:v>1.6060000000000001</c:v>
                </c:pt>
                <c:pt idx="15">
                  <c:v>1.6447000000000001</c:v>
                </c:pt>
                <c:pt idx="16">
                  <c:v>1.6834</c:v>
                </c:pt>
                <c:pt idx="17">
                  <c:v>1.7221</c:v>
                </c:pt>
                <c:pt idx="18">
                  <c:v>1.7607999999999999</c:v>
                </c:pt>
                <c:pt idx="19">
                  <c:v>1.7995000000000001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E0A-4381-8ED4-30987B82BA3B}"/>
            </c:ext>
          </c:extLst>
        </c:ser>
        <c:ser>
          <c:idx val="7"/>
          <c:order val="2"/>
          <c:tx>
            <c:strRef>
              <c:f>'Cost_table'!$Q$4</c:f>
              <c:strCache>
                <c:ptCount val="1"/>
                <c:pt idx="0">
                  <c:v>Total Cost ( RS crores)</c:v>
                </c:pt>
              </c:strCache>
            </c:strRef>
          </c:tx>
          <c:spPr>
            <a:ln>
              <a:headEnd type="stealth"/>
              <a:tailEnd type="stealth"/>
            </a:ln>
          </c:spPr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'Cost_table'!$Q$5:$Q$24</c:f>
              <c:numCache>
                <c:formatCode>General</c:formatCode>
                <c:ptCount val="20"/>
                <c:pt idx="0">
                  <c:v>2.3749000000000002</c:v>
                </c:pt>
                <c:pt idx="1">
                  <c:v>2.3094000000000001</c:v>
                </c:pt>
                <c:pt idx="2">
                  <c:v>2.3209999999999997</c:v>
                </c:pt>
                <c:pt idx="3">
                  <c:v>2.3191999999999999</c:v>
                </c:pt>
                <c:pt idx="4">
                  <c:v>2.3590999999999998</c:v>
                </c:pt>
                <c:pt idx="5">
                  <c:v>2.4272999999999998</c:v>
                </c:pt>
                <c:pt idx="6">
                  <c:v>2.5036</c:v>
                </c:pt>
                <c:pt idx="7">
                  <c:v>2.5313999999999997</c:v>
                </c:pt>
                <c:pt idx="8">
                  <c:v>2.5575000000000001</c:v>
                </c:pt>
                <c:pt idx="9">
                  <c:v>2.6241000000000003</c:v>
                </c:pt>
                <c:pt idx="10">
                  <c:v>2.6978</c:v>
                </c:pt>
                <c:pt idx="11">
                  <c:v>2.7644000000000002</c:v>
                </c:pt>
                <c:pt idx="12">
                  <c:v>2.7858999999999998</c:v>
                </c:pt>
                <c:pt idx="13">
                  <c:v>2.8057999999999996</c:v>
                </c:pt>
                <c:pt idx="14">
                  <c:v>2.8707000000000003</c:v>
                </c:pt>
                <c:pt idx="15">
                  <c:v>2.9420000000000002</c:v>
                </c:pt>
                <c:pt idx="16">
                  <c:v>3.0068999999999999</c:v>
                </c:pt>
                <c:pt idx="17">
                  <c:v>3.0717999999999996</c:v>
                </c:pt>
                <c:pt idx="18">
                  <c:v>3.1366999999999998</c:v>
                </c:pt>
                <c:pt idx="19">
                  <c:v>3.2016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E0A-4381-8ED4-30987B82BA3B}"/>
            </c:ext>
          </c:extLst>
        </c:ser>
        <c:ser>
          <c:idx val="8"/>
          <c:order val="3"/>
          <c:tx>
            <c:v>r_opt</c:v>
          </c:tx>
          <c:spPr>
            <a:ln w="25400">
              <a:solidFill>
                <a:srgbClr val="FF0000">
                  <a:alpha val="63000"/>
                </a:srgbClr>
              </a:solidFill>
              <a:prstDash val="sysDash"/>
              <a:tailEnd type="triangle"/>
            </a:ln>
          </c:spPr>
          <c:xVal>
            <c:numRef>
              <c:f>'Cost_table'!$D$27:$D$28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xVal>
          <c:yVal>
            <c:numRef>
              <c:f>'Cost_table'!$E$27:$E$28</c:f>
              <c:numCache>
                <c:formatCode>General</c:formatCode>
                <c:ptCount val="2"/>
                <c:pt idx="0">
                  <c:v>0</c:v>
                </c:pt>
                <c:pt idx="1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E0A-4381-8ED4-30987B82BA3B}"/>
            </c:ext>
          </c:extLst>
        </c:ser>
        <c:ser>
          <c:idx val="9"/>
          <c:order val="4"/>
          <c:tx>
            <c:v>cost_opt</c:v>
          </c:tx>
          <c:spPr>
            <a:ln w="25400">
              <a:solidFill>
                <a:srgbClr val="FF0000">
                  <a:alpha val="63000"/>
                </a:srgbClr>
              </a:solidFill>
              <a:prstDash val="sysDash"/>
              <a:headEnd type="triangle"/>
            </a:ln>
          </c:spPr>
          <c:xVal>
            <c:numRef>
              <c:f>'Cost_table'!$G$27:$G$28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xVal>
          <c:yVal>
            <c:numRef>
              <c:f>'Cost_table'!$H$27:$H$28</c:f>
              <c:numCache>
                <c:formatCode>General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E0A-4381-8ED4-30987B82BA3B}"/>
            </c:ext>
          </c:extLst>
        </c:ser>
        <c:ser>
          <c:idx val="0"/>
          <c:order val="5"/>
          <c:tx>
            <c:strRef>
              <c:f>'Cost_table'!$O$4</c:f>
              <c:strCache>
                <c:ptCount val="1"/>
                <c:pt idx="0">
                  <c:v>Total Annual Cost ( RS crores)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'Cost_table'!$O$5:$O$24</c:f>
              <c:numCache>
                <c:formatCode>General</c:formatCode>
                <c:ptCount val="20"/>
                <c:pt idx="0">
                  <c:v>1.3107</c:v>
                </c:pt>
                <c:pt idx="1">
                  <c:v>1.2064999999999999</c:v>
                </c:pt>
                <c:pt idx="2">
                  <c:v>1.1794</c:v>
                </c:pt>
                <c:pt idx="3">
                  <c:v>1.1389</c:v>
                </c:pt>
                <c:pt idx="4">
                  <c:v>1.1400999999999999</c:v>
                </c:pt>
                <c:pt idx="5">
                  <c:v>1.1696</c:v>
                </c:pt>
                <c:pt idx="6">
                  <c:v>1.2072000000000001</c:v>
                </c:pt>
                <c:pt idx="7">
                  <c:v>1.1962999999999999</c:v>
                </c:pt>
                <c:pt idx="8">
                  <c:v>1.1837</c:v>
                </c:pt>
                <c:pt idx="9">
                  <c:v>1.2116</c:v>
                </c:pt>
                <c:pt idx="10">
                  <c:v>1.2465999999999999</c:v>
                </c:pt>
                <c:pt idx="11">
                  <c:v>1.2745</c:v>
                </c:pt>
                <c:pt idx="12">
                  <c:v>1.2573000000000001</c:v>
                </c:pt>
                <c:pt idx="13">
                  <c:v>1.2384999999999999</c:v>
                </c:pt>
                <c:pt idx="14">
                  <c:v>1.2646999999999999</c:v>
                </c:pt>
                <c:pt idx="15">
                  <c:v>1.2972999999999999</c:v>
                </c:pt>
                <c:pt idx="16">
                  <c:v>1.3234999999999999</c:v>
                </c:pt>
                <c:pt idx="17">
                  <c:v>1.3496999999999999</c:v>
                </c:pt>
                <c:pt idx="18">
                  <c:v>1.3758999999999999</c:v>
                </c:pt>
                <c:pt idx="19">
                  <c:v>1.4020999999999999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0A-4381-8ED4-30987B82BA3B}"/>
            </c:ext>
          </c:extLst>
        </c:ser>
        <c:ser>
          <c:idx val="1"/>
          <c:order val="6"/>
          <c:tx>
            <c:strRef>
              <c:f>'Cost_table'!$P$4</c:f>
              <c:strCache>
                <c:ptCount val="1"/>
                <c:pt idx="0">
                  <c:v>Operating Cost ( RS crores)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'Cost_table'!$P$5:$P$24</c:f>
              <c:numCache>
                <c:formatCode>General</c:formatCode>
                <c:ptCount val="20"/>
                <c:pt idx="0">
                  <c:v>1.0642</c:v>
                </c:pt>
                <c:pt idx="1">
                  <c:v>1.1029</c:v>
                </c:pt>
                <c:pt idx="2">
                  <c:v>1.1415999999999999</c:v>
                </c:pt>
                <c:pt idx="3">
                  <c:v>1.1802999999999999</c:v>
                </c:pt>
                <c:pt idx="4">
                  <c:v>1.2190000000000001</c:v>
                </c:pt>
                <c:pt idx="5">
                  <c:v>1.2577</c:v>
                </c:pt>
                <c:pt idx="6">
                  <c:v>1.2964</c:v>
                </c:pt>
                <c:pt idx="7">
                  <c:v>1.3351</c:v>
                </c:pt>
                <c:pt idx="8">
                  <c:v>1.3737999999999999</c:v>
                </c:pt>
                <c:pt idx="9">
                  <c:v>1.4125000000000001</c:v>
                </c:pt>
                <c:pt idx="10">
                  <c:v>1.4512</c:v>
                </c:pt>
                <c:pt idx="11">
                  <c:v>1.4899</c:v>
                </c:pt>
                <c:pt idx="12">
                  <c:v>1.5286</c:v>
                </c:pt>
                <c:pt idx="13">
                  <c:v>1.5672999999999999</c:v>
                </c:pt>
                <c:pt idx="14">
                  <c:v>1.6060000000000001</c:v>
                </c:pt>
                <c:pt idx="15">
                  <c:v>1.6447000000000001</c:v>
                </c:pt>
                <c:pt idx="16">
                  <c:v>1.6834</c:v>
                </c:pt>
                <c:pt idx="17">
                  <c:v>1.7221</c:v>
                </c:pt>
                <c:pt idx="18">
                  <c:v>1.7607999999999999</c:v>
                </c:pt>
                <c:pt idx="19">
                  <c:v>1.7995000000000001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0A-4381-8ED4-30987B82BA3B}"/>
            </c:ext>
          </c:extLst>
        </c:ser>
        <c:ser>
          <c:idx val="2"/>
          <c:order val="7"/>
          <c:tx>
            <c:strRef>
              <c:f>'Cost_table'!$Q$4</c:f>
              <c:strCache>
                <c:ptCount val="1"/>
                <c:pt idx="0">
                  <c:v>Total Cost ( RS crores)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stealth"/>
              <a:tailEnd type="stealth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'Cost_table'!$A$5:$A$24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'Cost_table'!$Q$5:$Q$24</c:f>
              <c:numCache>
                <c:formatCode>General</c:formatCode>
                <c:ptCount val="20"/>
                <c:pt idx="0">
                  <c:v>2.3749000000000002</c:v>
                </c:pt>
                <c:pt idx="1">
                  <c:v>2.3094000000000001</c:v>
                </c:pt>
                <c:pt idx="2">
                  <c:v>2.3209999999999997</c:v>
                </c:pt>
                <c:pt idx="3">
                  <c:v>2.3191999999999999</c:v>
                </c:pt>
                <c:pt idx="4">
                  <c:v>2.3590999999999998</c:v>
                </c:pt>
                <c:pt idx="5">
                  <c:v>2.4272999999999998</c:v>
                </c:pt>
                <c:pt idx="6">
                  <c:v>2.5036</c:v>
                </c:pt>
                <c:pt idx="7">
                  <c:v>2.5313999999999997</c:v>
                </c:pt>
                <c:pt idx="8">
                  <c:v>2.5575000000000001</c:v>
                </c:pt>
                <c:pt idx="9">
                  <c:v>2.6241000000000003</c:v>
                </c:pt>
                <c:pt idx="10">
                  <c:v>2.6978</c:v>
                </c:pt>
                <c:pt idx="11">
                  <c:v>2.7644000000000002</c:v>
                </c:pt>
                <c:pt idx="12">
                  <c:v>2.7858999999999998</c:v>
                </c:pt>
                <c:pt idx="13">
                  <c:v>2.8057999999999996</c:v>
                </c:pt>
                <c:pt idx="14">
                  <c:v>2.8707000000000003</c:v>
                </c:pt>
                <c:pt idx="15">
                  <c:v>2.9420000000000002</c:v>
                </c:pt>
                <c:pt idx="16">
                  <c:v>3.0068999999999999</c:v>
                </c:pt>
                <c:pt idx="17">
                  <c:v>3.0717999999999996</c:v>
                </c:pt>
                <c:pt idx="18">
                  <c:v>3.1366999999999998</c:v>
                </c:pt>
                <c:pt idx="19">
                  <c:v>3.2016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0A-4381-8ED4-30987B82BA3B}"/>
            </c:ext>
          </c:extLst>
        </c:ser>
        <c:ser>
          <c:idx val="3"/>
          <c:order val="8"/>
          <c:tx>
            <c:v>r_opt</c:v>
          </c:tx>
          <c:spPr>
            <a:ln w="25400" cap="rnd">
              <a:solidFill>
                <a:srgbClr val="FF0000">
                  <a:alpha val="63000"/>
                </a:srgbClr>
              </a:solidFill>
              <a:prstDash val="sysDash"/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765432098764979E-3"/>
                  <c:y val="-3.9322240081025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R_opt = </a:t>
                    </a:r>
                    <a:fld id="{70123D7E-5C5D-4D91-9FD2-E59ED3E311FD}" type="XVALUE">
                      <a:rPr lang="en-US" sz="1600"/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[X VALUE]</a:t>
                    </a:fld>
                    <a:endParaRPr lang="en-US" sz="160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E0A-4381-8ED4-30987B82BA3B}"/>
                </c:ext>
              </c:extLst>
            </c:dLbl>
            <c:dLbl>
              <c:idx val="1"/>
              <c:layout>
                <c:manualLayout>
                  <c:x val="8.6419753086419745E-3"/>
                  <c:y val="4.15068089744154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Min_cost = </a:t>
                    </a:r>
                    <a:fld id="{9916E437-551E-4EDD-B916-0EFC4D0503CA}" type="YVALUE">
                      <a:rPr lang="en-US"/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E0A-4381-8ED4-30987B82B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'Cost_table'!$D$27:$D$28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xVal>
          <c:yVal>
            <c:numRef>
              <c:f>'Cost_table'!$E$27:$E$28</c:f>
              <c:numCache>
                <c:formatCode>General</c:formatCode>
                <c:ptCount val="2"/>
                <c:pt idx="0">
                  <c:v>0</c:v>
                </c:pt>
                <c:pt idx="1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0A-4381-8ED4-30987B82BA3B}"/>
            </c:ext>
          </c:extLst>
        </c:ser>
        <c:ser>
          <c:idx val="4"/>
          <c:order val="9"/>
          <c:tx>
            <c:v>cost_opt</c:v>
          </c:tx>
          <c:spPr>
            <a:ln w="25400" cap="rnd">
              <a:solidFill>
                <a:srgbClr val="FF0000">
                  <a:alpha val="63000"/>
                </a:srgbClr>
              </a:solidFill>
              <a:prstDash val="sysDash"/>
              <a:round/>
              <a:headEnd type="triangle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bubble3D val="0"/>
            <c:spPr>
              <a:ln w="25400" cap="rnd">
                <a:solidFill>
                  <a:srgbClr val="FF0000">
                    <a:alpha val="55000"/>
                  </a:srgbClr>
                </a:solidFill>
                <a:prstDash val="sysDash"/>
                <a:round/>
                <a:head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0A-4381-8ED4-30987B82BA3B}"/>
              </c:ext>
            </c:extLst>
          </c:dPt>
          <c:xVal>
            <c:numRef>
              <c:f>'Cost_table'!$G$27:$G$28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xVal>
          <c:yVal>
            <c:numRef>
              <c:f>'Cost_table'!$H$27:$H$28</c:f>
              <c:numCache>
                <c:formatCode>General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0A-4381-8ED4-30987B8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82984"/>
        <c:axId val="100552344"/>
      </c:scatterChart>
      <c:valAx>
        <c:axId val="552882984"/>
        <c:scaling>
          <c:orientation val="minMax"/>
          <c:max val="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R/R_min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2344"/>
        <c:crosses val="autoZero"/>
        <c:crossBetween val="midCat"/>
      </c:valAx>
      <c:valAx>
        <c:axId val="1005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in Crores (Rs.)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2984"/>
        <c:crosses val="autoZero"/>
        <c:crossBetween val="midCat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Optimum</a:t>
            </a:r>
            <a:r>
              <a:rPr lang="en-IN" baseline="0"/>
              <a:t> Reflux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'Design_cal (3)'!$U$244</c:f>
              <c:strCache>
                <c:ptCount val="1"/>
                <c:pt idx="0">
                  <c:v>Total Annual Cost ( RS crores)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'Design_cal (3)'!$B$245:$B$264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'Design_cal (3)'!$U$245:$U$264</c:f>
              <c:numCache>
                <c:formatCode>General</c:formatCode>
                <c:ptCount val="20"/>
                <c:pt idx="0">
                  <c:v>1.1653</c:v>
                </c:pt>
                <c:pt idx="1">
                  <c:v>1.079</c:v>
                </c:pt>
                <c:pt idx="2">
                  <c:v>1.0442</c:v>
                </c:pt>
                <c:pt idx="3">
                  <c:v>1.014</c:v>
                </c:pt>
                <c:pt idx="4">
                  <c:v>1.0064</c:v>
                </c:pt>
                <c:pt idx="5">
                  <c:v>1.0387</c:v>
                </c:pt>
                <c:pt idx="6">
                  <c:v>1.0640000000000001</c:v>
                </c:pt>
                <c:pt idx="7">
                  <c:v>1.0598000000000001</c:v>
                </c:pt>
                <c:pt idx="8">
                  <c:v>1.0472999999999999</c:v>
                </c:pt>
                <c:pt idx="9">
                  <c:v>1.0711999999999999</c:v>
                </c:pt>
                <c:pt idx="10">
                  <c:v>1.1012999999999999</c:v>
                </c:pt>
                <c:pt idx="11">
                  <c:v>1.1253</c:v>
                </c:pt>
                <c:pt idx="12">
                  <c:v>1.1088</c:v>
                </c:pt>
                <c:pt idx="13">
                  <c:v>1.0965</c:v>
                </c:pt>
                <c:pt idx="14">
                  <c:v>1.119</c:v>
                </c:pt>
                <c:pt idx="15">
                  <c:v>1.1415</c:v>
                </c:pt>
                <c:pt idx="16">
                  <c:v>1.1639999999999999</c:v>
                </c:pt>
                <c:pt idx="17">
                  <c:v>1.1865000000000001</c:v>
                </c:pt>
                <c:pt idx="18">
                  <c:v>1.2090000000000001</c:v>
                </c:pt>
                <c:pt idx="19">
                  <c:v>1.2314000000000001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A-40D1-9EF4-CF8A52C41A9C}"/>
            </c:ext>
          </c:extLst>
        </c:ser>
        <c:ser>
          <c:idx val="1"/>
          <c:order val="1"/>
          <c:tx>
            <c:strRef>
              <c:f>'Design_cal (3)'!$V$244</c:f>
              <c:strCache>
                <c:ptCount val="1"/>
                <c:pt idx="0">
                  <c:v>Operating Cost ( RS crores)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'Design_cal (3)'!$B$245:$B$264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'Design_cal (3)'!$V$245:$V$264</c:f>
              <c:numCache>
                <c:formatCode>General</c:formatCode>
                <c:ptCount val="20"/>
                <c:pt idx="0">
                  <c:v>1.0085</c:v>
                </c:pt>
                <c:pt idx="1">
                  <c:v>1.0451999999999999</c:v>
                </c:pt>
                <c:pt idx="2">
                  <c:v>1.0819000000000001</c:v>
                </c:pt>
                <c:pt idx="3">
                  <c:v>1.1186</c:v>
                </c:pt>
                <c:pt idx="4">
                  <c:v>1.1553</c:v>
                </c:pt>
                <c:pt idx="5">
                  <c:v>1.1919999999999999</c:v>
                </c:pt>
                <c:pt idx="6">
                  <c:v>1.2286999999999999</c:v>
                </c:pt>
                <c:pt idx="7">
                  <c:v>1.2654000000000001</c:v>
                </c:pt>
                <c:pt idx="8">
                  <c:v>1.3021</c:v>
                </c:pt>
                <c:pt idx="9">
                  <c:v>1.3388</c:v>
                </c:pt>
                <c:pt idx="10">
                  <c:v>1.3754</c:v>
                </c:pt>
                <c:pt idx="11">
                  <c:v>1.4120999999999999</c:v>
                </c:pt>
                <c:pt idx="12">
                  <c:v>1.4488000000000001</c:v>
                </c:pt>
                <c:pt idx="13">
                  <c:v>1.4855</c:v>
                </c:pt>
                <c:pt idx="14">
                  <c:v>1.5222</c:v>
                </c:pt>
                <c:pt idx="15">
                  <c:v>1.5589</c:v>
                </c:pt>
                <c:pt idx="16">
                  <c:v>1.5955999999999999</c:v>
                </c:pt>
                <c:pt idx="17">
                  <c:v>1.6323000000000001</c:v>
                </c:pt>
                <c:pt idx="18">
                  <c:v>1.669</c:v>
                </c:pt>
                <c:pt idx="19">
                  <c:v>1.7057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A-40D1-9EF4-CF8A52C41A9C}"/>
            </c:ext>
          </c:extLst>
        </c:ser>
        <c:ser>
          <c:idx val="2"/>
          <c:order val="2"/>
          <c:tx>
            <c:strRef>
              <c:f>'Design_cal (3)'!$W$244</c:f>
              <c:strCache>
                <c:ptCount val="1"/>
                <c:pt idx="0">
                  <c:v>Total Cost ( RS crores)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'Design_cal (3)'!$B$245:$B$264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'Design_cal (3)'!$W$245:$W$264</c:f>
              <c:numCache>
                <c:formatCode>General</c:formatCode>
                <c:ptCount val="20"/>
                <c:pt idx="0">
                  <c:v>2.1738</c:v>
                </c:pt>
                <c:pt idx="1">
                  <c:v>2.1242000000000001</c:v>
                </c:pt>
                <c:pt idx="2">
                  <c:v>2.1261000000000001</c:v>
                </c:pt>
                <c:pt idx="3">
                  <c:v>2.1326000000000001</c:v>
                </c:pt>
                <c:pt idx="4">
                  <c:v>2.1616999999999997</c:v>
                </c:pt>
                <c:pt idx="5">
                  <c:v>2.2306999999999997</c:v>
                </c:pt>
                <c:pt idx="6">
                  <c:v>2.2927</c:v>
                </c:pt>
                <c:pt idx="7">
                  <c:v>2.3252000000000002</c:v>
                </c:pt>
                <c:pt idx="8">
                  <c:v>2.3494000000000002</c:v>
                </c:pt>
                <c:pt idx="9">
                  <c:v>2.41</c:v>
                </c:pt>
                <c:pt idx="10">
                  <c:v>2.4767000000000001</c:v>
                </c:pt>
                <c:pt idx="11">
                  <c:v>2.5373999999999999</c:v>
                </c:pt>
                <c:pt idx="12">
                  <c:v>2.5575999999999999</c:v>
                </c:pt>
                <c:pt idx="13">
                  <c:v>2.5819999999999999</c:v>
                </c:pt>
                <c:pt idx="14">
                  <c:v>2.6412</c:v>
                </c:pt>
                <c:pt idx="15">
                  <c:v>2.7004000000000001</c:v>
                </c:pt>
                <c:pt idx="16">
                  <c:v>2.7595999999999998</c:v>
                </c:pt>
                <c:pt idx="17">
                  <c:v>2.8188000000000004</c:v>
                </c:pt>
                <c:pt idx="18">
                  <c:v>2.8780000000000001</c:v>
                </c:pt>
                <c:pt idx="19">
                  <c:v>2.9371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A-40D1-9EF4-CF8A52C4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82984"/>
        <c:axId val="100552344"/>
      </c:scatterChart>
      <c:valAx>
        <c:axId val="552882984"/>
        <c:scaling>
          <c:orientation val="minMax"/>
          <c:max val="2.049999999999999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R/R_min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2344"/>
        <c:crosses val="autoZero"/>
        <c:crossBetween val="midCat"/>
      </c:valAx>
      <c:valAx>
        <c:axId val="1005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in Crores (Rs.)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Stages VS </a:t>
            </a:r>
            <a:r>
              <a:rPr lang="en-IN" sz="1800" b="0" i="0" baseline="0">
                <a:effectLst/>
              </a:rPr>
              <a:t>R/R_m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'Calculation (2)'!$A$98:$A$133</c:f>
              <c:numCache>
                <c:formatCode>General</c:formatCode>
                <c:ptCount val="36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1.3800000000000001</c:v>
                </c:pt>
                <c:pt idx="19">
                  <c:v>1.3900000000000001</c:v>
                </c:pt>
                <c:pt idx="20">
                  <c:v>1.4000000000000001</c:v>
                </c:pt>
                <c:pt idx="21">
                  <c:v>1.4100000000000001</c:v>
                </c:pt>
                <c:pt idx="22">
                  <c:v>1.4200000000000002</c:v>
                </c:pt>
                <c:pt idx="23">
                  <c:v>1.4300000000000002</c:v>
                </c:pt>
                <c:pt idx="24">
                  <c:v>1.4400000000000002</c:v>
                </c:pt>
                <c:pt idx="25">
                  <c:v>1.4500000000000002</c:v>
                </c:pt>
                <c:pt idx="26">
                  <c:v>1.4600000000000002</c:v>
                </c:pt>
                <c:pt idx="27">
                  <c:v>1.4700000000000002</c:v>
                </c:pt>
                <c:pt idx="28">
                  <c:v>1.4800000000000002</c:v>
                </c:pt>
                <c:pt idx="29">
                  <c:v>1.4900000000000002</c:v>
                </c:pt>
                <c:pt idx="30">
                  <c:v>1.5000000000000002</c:v>
                </c:pt>
                <c:pt idx="31">
                  <c:v>1.5100000000000002</c:v>
                </c:pt>
                <c:pt idx="32">
                  <c:v>1.5200000000000002</c:v>
                </c:pt>
                <c:pt idx="33">
                  <c:v>1.5300000000000002</c:v>
                </c:pt>
                <c:pt idx="34">
                  <c:v>1.5400000000000003</c:v>
                </c:pt>
                <c:pt idx="35">
                  <c:v>1.5500000000000003</c:v>
                </c:pt>
              </c:numCache>
            </c:numRef>
          </c:xVal>
          <c:yVal>
            <c:numRef>
              <c:f>'Calculation (2)'!$F$98:$F$133</c:f>
              <c:numCache>
                <c:formatCode>General</c:formatCode>
                <c:ptCount val="3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9-40F1-95ED-D4404247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57664"/>
        <c:axId val="584970128"/>
      </c:scatterChart>
      <c:valAx>
        <c:axId val="584957664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R/R_m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70128"/>
        <c:crosses val="autoZero"/>
        <c:crossBetween val="midCat"/>
      </c:valAx>
      <c:valAx>
        <c:axId val="584970128"/>
        <c:scaling>
          <c:orientation val="minMax"/>
          <c:max val="21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Number of Stages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Optimum</a:t>
            </a:r>
            <a:r>
              <a:rPr lang="en-IN" baseline="0"/>
              <a:t> Reflux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'Design_cal (2)'!$P$206</c:f>
              <c:strCache>
                <c:ptCount val="1"/>
                <c:pt idx="0">
                  <c:v>Total Annual Cost ( RS crores)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'Design_cal (2)'!$B$207:$B$496</c:f>
              <c:numCache>
                <c:formatCode>General</c:formatCode>
                <c:ptCount val="290"/>
                <c:pt idx="0">
                  <c:v>1.05</c:v>
                </c:pt>
                <c:pt idx="1">
                  <c:v>1.0529999999999999</c:v>
                </c:pt>
                <c:pt idx="2">
                  <c:v>1.0569999999999999</c:v>
                </c:pt>
                <c:pt idx="3">
                  <c:v>1.06</c:v>
                </c:pt>
                <c:pt idx="4">
                  <c:v>1.0629999999999999</c:v>
                </c:pt>
                <c:pt idx="5">
                  <c:v>1.0660000000000001</c:v>
                </c:pt>
                <c:pt idx="6">
                  <c:v>1.07</c:v>
                </c:pt>
                <c:pt idx="7">
                  <c:v>1.073</c:v>
                </c:pt>
                <c:pt idx="8">
                  <c:v>1.0760000000000001</c:v>
                </c:pt>
                <c:pt idx="9">
                  <c:v>1.08</c:v>
                </c:pt>
                <c:pt idx="10">
                  <c:v>1.083</c:v>
                </c:pt>
                <c:pt idx="11">
                  <c:v>1.0860000000000001</c:v>
                </c:pt>
                <c:pt idx="12">
                  <c:v>1.089</c:v>
                </c:pt>
                <c:pt idx="13">
                  <c:v>1.093</c:v>
                </c:pt>
                <c:pt idx="14">
                  <c:v>1.0960000000000001</c:v>
                </c:pt>
                <c:pt idx="15">
                  <c:v>1.099</c:v>
                </c:pt>
                <c:pt idx="16">
                  <c:v>1.1020000000000001</c:v>
                </c:pt>
                <c:pt idx="17">
                  <c:v>1.1060000000000001</c:v>
                </c:pt>
                <c:pt idx="18">
                  <c:v>1.109</c:v>
                </c:pt>
                <c:pt idx="19">
                  <c:v>1.1120000000000001</c:v>
                </c:pt>
                <c:pt idx="20">
                  <c:v>1.1160000000000001</c:v>
                </c:pt>
                <c:pt idx="21">
                  <c:v>1.119</c:v>
                </c:pt>
                <c:pt idx="22">
                  <c:v>1.1220000000000001</c:v>
                </c:pt>
                <c:pt idx="23">
                  <c:v>1.125</c:v>
                </c:pt>
                <c:pt idx="24">
                  <c:v>1.129</c:v>
                </c:pt>
                <c:pt idx="25">
                  <c:v>1.1319999999999999</c:v>
                </c:pt>
                <c:pt idx="26">
                  <c:v>1.135</c:v>
                </c:pt>
                <c:pt idx="27">
                  <c:v>1.139</c:v>
                </c:pt>
                <c:pt idx="28">
                  <c:v>1.1419999999999999</c:v>
                </c:pt>
                <c:pt idx="29">
                  <c:v>1.145</c:v>
                </c:pt>
                <c:pt idx="30">
                  <c:v>1.1479999999999999</c:v>
                </c:pt>
                <c:pt idx="31">
                  <c:v>1.1519999999999999</c:v>
                </c:pt>
                <c:pt idx="32">
                  <c:v>1.155</c:v>
                </c:pt>
                <c:pt idx="33">
                  <c:v>1.1579999999999999</c:v>
                </c:pt>
                <c:pt idx="34">
                  <c:v>1.161</c:v>
                </c:pt>
                <c:pt idx="35">
                  <c:v>1.165</c:v>
                </c:pt>
                <c:pt idx="36">
                  <c:v>1.1679999999999999</c:v>
                </c:pt>
                <c:pt idx="37">
                  <c:v>1.171</c:v>
                </c:pt>
                <c:pt idx="38">
                  <c:v>1.175</c:v>
                </c:pt>
                <c:pt idx="39">
                  <c:v>1.1779999999999999</c:v>
                </c:pt>
                <c:pt idx="40">
                  <c:v>1.181</c:v>
                </c:pt>
                <c:pt idx="41">
                  <c:v>1.1839999999999999</c:v>
                </c:pt>
                <c:pt idx="42">
                  <c:v>1.1879999999999999</c:v>
                </c:pt>
                <c:pt idx="43">
                  <c:v>1.1910000000000001</c:v>
                </c:pt>
                <c:pt idx="44">
                  <c:v>1.194</c:v>
                </c:pt>
                <c:pt idx="45">
                  <c:v>1.198</c:v>
                </c:pt>
                <c:pt idx="46">
                  <c:v>1.2010000000000001</c:v>
                </c:pt>
                <c:pt idx="47">
                  <c:v>1.204</c:v>
                </c:pt>
                <c:pt idx="48">
                  <c:v>1.2070000000000001</c:v>
                </c:pt>
                <c:pt idx="49">
                  <c:v>1.2110000000000001</c:v>
                </c:pt>
                <c:pt idx="50">
                  <c:v>1.214</c:v>
                </c:pt>
                <c:pt idx="51">
                  <c:v>1.2170000000000001</c:v>
                </c:pt>
                <c:pt idx="52">
                  <c:v>1.22</c:v>
                </c:pt>
                <c:pt idx="53">
                  <c:v>1.224</c:v>
                </c:pt>
                <c:pt idx="54">
                  <c:v>1.2270000000000001</c:v>
                </c:pt>
                <c:pt idx="55">
                  <c:v>1.23</c:v>
                </c:pt>
                <c:pt idx="56">
                  <c:v>1.234</c:v>
                </c:pt>
                <c:pt idx="57">
                  <c:v>1.2370000000000001</c:v>
                </c:pt>
                <c:pt idx="58">
                  <c:v>1.24</c:v>
                </c:pt>
                <c:pt idx="59">
                  <c:v>1.2430000000000001</c:v>
                </c:pt>
                <c:pt idx="60">
                  <c:v>1.2470000000000001</c:v>
                </c:pt>
                <c:pt idx="61">
                  <c:v>1.25</c:v>
                </c:pt>
                <c:pt idx="62">
                  <c:v>1.2529999999999999</c:v>
                </c:pt>
                <c:pt idx="63">
                  <c:v>1.2569999999999999</c:v>
                </c:pt>
                <c:pt idx="64">
                  <c:v>1.26</c:v>
                </c:pt>
                <c:pt idx="65">
                  <c:v>1.2629999999999999</c:v>
                </c:pt>
                <c:pt idx="66">
                  <c:v>1.266</c:v>
                </c:pt>
                <c:pt idx="67">
                  <c:v>1.27</c:v>
                </c:pt>
                <c:pt idx="68">
                  <c:v>1.2729999999999999</c:v>
                </c:pt>
                <c:pt idx="69">
                  <c:v>1.276</c:v>
                </c:pt>
                <c:pt idx="70">
                  <c:v>1.28</c:v>
                </c:pt>
                <c:pt idx="71">
                  <c:v>1.2829999999999999</c:v>
                </c:pt>
                <c:pt idx="72">
                  <c:v>1.286</c:v>
                </c:pt>
                <c:pt idx="73">
                  <c:v>1.2889999999999999</c:v>
                </c:pt>
                <c:pt idx="74">
                  <c:v>1.2929999999999999</c:v>
                </c:pt>
                <c:pt idx="75">
                  <c:v>1.296</c:v>
                </c:pt>
                <c:pt idx="76">
                  <c:v>1.2989999999999999</c:v>
                </c:pt>
                <c:pt idx="77">
                  <c:v>1.302</c:v>
                </c:pt>
                <c:pt idx="78">
                  <c:v>1.306</c:v>
                </c:pt>
                <c:pt idx="79">
                  <c:v>1.3089999999999999</c:v>
                </c:pt>
                <c:pt idx="80">
                  <c:v>1.3120000000000001</c:v>
                </c:pt>
                <c:pt idx="81">
                  <c:v>1.3160000000000001</c:v>
                </c:pt>
                <c:pt idx="82">
                  <c:v>1.319</c:v>
                </c:pt>
                <c:pt idx="83">
                  <c:v>1.3220000000000001</c:v>
                </c:pt>
                <c:pt idx="84">
                  <c:v>1.325</c:v>
                </c:pt>
                <c:pt idx="85">
                  <c:v>1.329</c:v>
                </c:pt>
                <c:pt idx="86">
                  <c:v>1.3320000000000001</c:v>
                </c:pt>
                <c:pt idx="87">
                  <c:v>1.335</c:v>
                </c:pt>
                <c:pt idx="88">
                  <c:v>1.339</c:v>
                </c:pt>
                <c:pt idx="89">
                  <c:v>1.3420000000000001</c:v>
                </c:pt>
                <c:pt idx="90">
                  <c:v>1.345</c:v>
                </c:pt>
                <c:pt idx="91">
                  <c:v>1.3480000000000001</c:v>
                </c:pt>
                <c:pt idx="92">
                  <c:v>1.3520000000000001</c:v>
                </c:pt>
                <c:pt idx="93">
                  <c:v>1.355</c:v>
                </c:pt>
                <c:pt idx="94">
                  <c:v>1.3580000000000001</c:v>
                </c:pt>
                <c:pt idx="95">
                  <c:v>1.361</c:v>
                </c:pt>
                <c:pt idx="96">
                  <c:v>1.365</c:v>
                </c:pt>
                <c:pt idx="97">
                  <c:v>1.3680000000000001</c:v>
                </c:pt>
                <c:pt idx="98">
                  <c:v>1.371</c:v>
                </c:pt>
                <c:pt idx="99">
                  <c:v>1.375</c:v>
                </c:pt>
                <c:pt idx="100">
                  <c:v>1.3779999999999999</c:v>
                </c:pt>
                <c:pt idx="101">
                  <c:v>1.381</c:v>
                </c:pt>
                <c:pt idx="102">
                  <c:v>1.3839999999999999</c:v>
                </c:pt>
                <c:pt idx="103">
                  <c:v>1.3879999999999999</c:v>
                </c:pt>
                <c:pt idx="104">
                  <c:v>1.391</c:v>
                </c:pt>
                <c:pt idx="105">
                  <c:v>1.3939999999999999</c:v>
                </c:pt>
                <c:pt idx="106">
                  <c:v>1.3979999999999999</c:v>
                </c:pt>
                <c:pt idx="107">
                  <c:v>1.401</c:v>
                </c:pt>
                <c:pt idx="108">
                  <c:v>1.4039999999999999</c:v>
                </c:pt>
                <c:pt idx="109">
                  <c:v>1.407</c:v>
                </c:pt>
                <c:pt idx="110">
                  <c:v>1.411</c:v>
                </c:pt>
                <c:pt idx="111">
                  <c:v>1.4139999999999999</c:v>
                </c:pt>
                <c:pt idx="112">
                  <c:v>1.417</c:v>
                </c:pt>
                <c:pt idx="113">
                  <c:v>1.42</c:v>
                </c:pt>
                <c:pt idx="114">
                  <c:v>1.4239999999999999</c:v>
                </c:pt>
                <c:pt idx="115">
                  <c:v>1.427</c:v>
                </c:pt>
                <c:pt idx="116">
                  <c:v>1.43</c:v>
                </c:pt>
                <c:pt idx="117">
                  <c:v>1.4339999999999999</c:v>
                </c:pt>
                <c:pt idx="118">
                  <c:v>1.4370000000000001</c:v>
                </c:pt>
                <c:pt idx="119">
                  <c:v>1.44</c:v>
                </c:pt>
                <c:pt idx="120">
                  <c:v>1.4430000000000001</c:v>
                </c:pt>
                <c:pt idx="121">
                  <c:v>1.4470000000000001</c:v>
                </c:pt>
                <c:pt idx="122">
                  <c:v>1.45</c:v>
                </c:pt>
                <c:pt idx="123">
                  <c:v>1.4530000000000001</c:v>
                </c:pt>
                <c:pt idx="124">
                  <c:v>1.4570000000000001</c:v>
                </c:pt>
                <c:pt idx="125">
                  <c:v>1.46</c:v>
                </c:pt>
                <c:pt idx="126">
                  <c:v>1.4630000000000001</c:v>
                </c:pt>
                <c:pt idx="127">
                  <c:v>1.466</c:v>
                </c:pt>
                <c:pt idx="128">
                  <c:v>1.47</c:v>
                </c:pt>
                <c:pt idx="129">
                  <c:v>1.4730000000000001</c:v>
                </c:pt>
                <c:pt idx="130">
                  <c:v>1.476</c:v>
                </c:pt>
                <c:pt idx="131">
                  <c:v>1.48</c:v>
                </c:pt>
                <c:pt idx="132">
                  <c:v>1.4830000000000001</c:v>
                </c:pt>
                <c:pt idx="133">
                  <c:v>1.486</c:v>
                </c:pt>
                <c:pt idx="134">
                  <c:v>1.4890000000000001</c:v>
                </c:pt>
                <c:pt idx="135">
                  <c:v>1.4930000000000001</c:v>
                </c:pt>
                <c:pt idx="136">
                  <c:v>1.496</c:v>
                </c:pt>
                <c:pt idx="137">
                  <c:v>1.4990000000000001</c:v>
                </c:pt>
                <c:pt idx="138">
                  <c:v>1.502</c:v>
                </c:pt>
                <c:pt idx="139">
                  <c:v>1.506</c:v>
                </c:pt>
                <c:pt idx="140">
                  <c:v>1.5089999999999999</c:v>
                </c:pt>
                <c:pt idx="141">
                  <c:v>1.512</c:v>
                </c:pt>
                <c:pt idx="142">
                  <c:v>1.516</c:v>
                </c:pt>
                <c:pt idx="143">
                  <c:v>1.5189999999999999</c:v>
                </c:pt>
                <c:pt idx="144">
                  <c:v>1.522</c:v>
                </c:pt>
                <c:pt idx="145">
                  <c:v>1.5249999999999999</c:v>
                </c:pt>
                <c:pt idx="146">
                  <c:v>1.5289999999999999</c:v>
                </c:pt>
                <c:pt idx="147">
                  <c:v>1.532</c:v>
                </c:pt>
                <c:pt idx="148">
                  <c:v>1.5349999999999999</c:v>
                </c:pt>
                <c:pt idx="149">
                  <c:v>1.5389999999999999</c:v>
                </c:pt>
                <c:pt idx="150">
                  <c:v>1.542</c:v>
                </c:pt>
                <c:pt idx="151">
                  <c:v>1.5449999999999999</c:v>
                </c:pt>
                <c:pt idx="152">
                  <c:v>1.548</c:v>
                </c:pt>
                <c:pt idx="153">
                  <c:v>1.552</c:v>
                </c:pt>
                <c:pt idx="154">
                  <c:v>1.5549999999999999</c:v>
                </c:pt>
                <c:pt idx="155">
                  <c:v>1.5580000000000001</c:v>
                </c:pt>
                <c:pt idx="156">
                  <c:v>1.5609999999999999</c:v>
                </c:pt>
                <c:pt idx="157">
                  <c:v>1.5649999999999999</c:v>
                </c:pt>
                <c:pt idx="158">
                  <c:v>1.5680000000000001</c:v>
                </c:pt>
                <c:pt idx="159">
                  <c:v>1.571</c:v>
                </c:pt>
                <c:pt idx="160">
                  <c:v>1.575</c:v>
                </c:pt>
                <c:pt idx="161">
                  <c:v>1.5780000000000001</c:v>
                </c:pt>
                <c:pt idx="162">
                  <c:v>1.581</c:v>
                </c:pt>
                <c:pt idx="163">
                  <c:v>1.5840000000000001</c:v>
                </c:pt>
                <c:pt idx="164">
                  <c:v>1.5880000000000001</c:v>
                </c:pt>
                <c:pt idx="165">
                  <c:v>1.591</c:v>
                </c:pt>
                <c:pt idx="166">
                  <c:v>1.5940000000000001</c:v>
                </c:pt>
                <c:pt idx="167">
                  <c:v>1.5980000000000001</c:v>
                </c:pt>
                <c:pt idx="168">
                  <c:v>1.601</c:v>
                </c:pt>
                <c:pt idx="169">
                  <c:v>1.6040000000000001</c:v>
                </c:pt>
                <c:pt idx="170">
                  <c:v>1.607</c:v>
                </c:pt>
                <c:pt idx="171">
                  <c:v>1.611</c:v>
                </c:pt>
                <c:pt idx="172">
                  <c:v>1.6140000000000001</c:v>
                </c:pt>
                <c:pt idx="173">
                  <c:v>1.617</c:v>
                </c:pt>
                <c:pt idx="174">
                  <c:v>1.62</c:v>
                </c:pt>
                <c:pt idx="175">
                  <c:v>1.6240000000000001</c:v>
                </c:pt>
                <c:pt idx="176">
                  <c:v>1.627</c:v>
                </c:pt>
                <c:pt idx="177">
                  <c:v>1.63</c:v>
                </c:pt>
                <c:pt idx="178">
                  <c:v>1.6339999999999999</c:v>
                </c:pt>
                <c:pt idx="179">
                  <c:v>1.637</c:v>
                </c:pt>
                <c:pt idx="180">
                  <c:v>1.64</c:v>
                </c:pt>
                <c:pt idx="181">
                  <c:v>1.643</c:v>
                </c:pt>
                <c:pt idx="182">
                  <c:v>1.647</c:v>
                </c:pt>
                <c:pt idx="183">
                  <c:v>1.65</c:v>
                </c:pt>
                <c:pt idx="184">
                  <c:v>1.653</c:v>
                </c:pt>
                <c:pt idx="185">
                  <c:v>1.657</c:v>
                </c:pt>
                <c:pt idx="186">
                  <c:v>1.66</c:v>
                </c:pt>
                <c:pt idx="187">
                  <c:v>1.663</c:v>
                </c:pt>
                <c:pt idx="188">
                  <c:v>1.6659999999999999</c:v>
                </c:pt>
                <c:pt idx="189">
                  <c:v>1.67</c:v>
                </c:pt>
                <c:pt idx="190">
                  <c:v>1.673</c:v>
                </c:pt>
                <c:pt idx="191">
                  <c:v>1.6759999999999999</c:v>
                </c:pt>
                <c:pt idx="192">
                  <c:v>1.68</c:v>
                </c:pt>
                <c:pt idx="193">
                  <c:v>1.6830000000000001</c:v>
                </c:pt>
                <c:pt idx="194">
                  <c:v>1.6859999999999999</c:v>
                </c:pt>
                <c:pt idx="195">
                  <c:v>1.6890000000000001</c:v>
                </c:pt>
                <c:pt idx="196">
                  <c:v>1.6930000000000001</c:v>
                </c:pt>
                <c:pt idx="197">
                  <c:v>1.696</c:v>
                </c:pt>
                <c:pt idx="198">
                  <c:v>1.6990000000000001</c:v>
                </c:pt>
                <c:pt idx="199">
                  <c:v>1.702</c:v>
                </c:pt>
                <c:pt idx="200">
                  <c:v>1.706</c:v>
                </c:pt>
                <c:pt idx="201">
                  <c:v>1.7090000000000001</c:v>
                </c:pt>
                <c:pt idx="202">
                  <c:v>1.712</c:v>
                </c:pt>
                <c:pt idx="203">
                  <c:v>1.716</c:v>
                </c:pt>
                <c:pt idx="204">
                  <c:v>1.7190000000000001</c:v>
                </c:pt>
                <c:pt idx="205">
                  <c:v>1.722</c:v>
                </c:pt>
                <c:pt idx="206">
                  <c:v>1.7250000000000001</c:v>
                </c:pt>
                <c:pt idx="207">
                  <c:v>1.7290000000000001</c:v>
                </c:pt>
                <c:pt idx="208">
                  <c:v>1.732</c:v>
                </c:pt>
                <c:pt idx="209">
                  <c:v>1.7350000000000001</c:v>
                </c:pt>
                <c:pt idx="210">
                  <c:v>1.7390000000000001</c:v>
                </c:pt>
                <c:pt idx="211">
                  <c:v>1.742</c:v>
                </c:pt>
                <c:pt idx="212">
                  <c:v>1.7450000000000001</c:v>
                </c:pt>
                <c:pt idx="213">
                  <c:v>1.748</c:v>
                </c:pt>
                <c:pt idx="214">
                  <c:v>1.752</c:v>
                </c:pt>
                <c:pt idx="215">
                  <c:v>1.7549999999999999</c:v>
                </c:pt>
                <c:pt idx="216">
                  <c:v>1.758</c:v>
                </c:pt>
                <c:pt idx="217">
                  <c:v>1.7609999999999999</c:v>
                </c:pt>
                <c:pt idx="218">
                  <c:v>1.7649999999999999</c:v>
                </c:pt>
                <c:pt idx="219">
                  <c:v>1.768</c:v>
                </c:pt>
                <c:pt idx="220">
                  <c:v>1.7709999999999999</c:v>
                </c:pt>
                <c:pt idx="221">
                  <c:v>1.7749999999999999</c:v>
                </c:pt>
                <c:pt idx="222">
                  <c:v>1.778</c:v>
                </c:pt>
                <c:pt idx="223">
                  <c:v>1.7809999999999999</c:v>
                </c:pt>
                <c:pt idx="224">
                  <c:v>1.784</c:v>
                </c:pt>
                <c:pt idx="225">
                  <c:v>1.788</c:v>
                </c:pt>
                <c:pt idx="226">
                  <c:v>1.7909999999999999</c:v>
                </c:pt>
                <c:pt idx="227">
                  <c:v>1.794</c:v>
                </c:pt>
                <c:pt idx="228">
                  <c:v>1.798</c:v>
                </c:pt>
                <c:pt idx="229">
                  <c:v>1.8009999999999999</c:v>
                </c:pt>
                <c:pt idx="230">
                  <c:v>1.804</c:v>
                </c:pt>
                <c:pt idx="231">
                  <c:v>1.8069999999999999</c:v>
                </c:pt>
                <c:pt idx="232">
                  <c:v>1.8109999999999999</c:v>
                </c:pt>
                <c:pt idx="233">
                  <c:v>1.8140000000000001</c:v>
                </c:pt>
                <c:pt idx="234">
                  <c:v>1.8169999999999999</c:v>
                </c:pt>
                <c:pt idx="235">
                  <c:v>1.82</c:v>
                </c:pt>
                <c:pt idx="236">
                  <c:v>1.8240000000000001</c:v>
                </c:pt>
                <c:pt idx="237">
                  <c:v>1.827</c:v>
                </c:pt>
                <c:pt idx="238">
                  <c:v>1.83</c:v>
                </c:pt>
                <c:pt idx="239">
                  <c:v>1.8340000000000001</c:v>
                </c:pt>
                <c:pt idx="240">
                  <c:v>1.837</c:v>
                </c:pt>
                <c:pt idx="241">
                  <c:v>1.84</c:v>
                </c:pt>
                <c:pt idx="242">
                  <c:v>1.843</c:v>
                </c:pt>
                <c:pt idx="243">
                  <c:v>1.847</c:v>
                </c:pt>
                <c:pt idx="244">
                  <c:v>1.85</c:v>
                </c:pt>
                <c:pt idx="245">
                  <c:v>1.853</c:v>
                </c:pt>
                <c:pt idx="246">
                  <c:v>1.857</c:v>
                </c:pt>
                <c:pt idx="247">
                  <c:v>1.86</c:v>
                </c:pt>
                <c:pt idx="248">
                  <c:v>1.863</c:v>
                </c:pt>
                <c:pt idx="249">
                  <c:v>1.8660000000000001</c:v>
                </c:pt>
                <c:pt idx="250">
                  <c:v>1.87</c:v>
                </c:pt>
                <c:pt idx="251">
                  <c:v>1.873</c:v>
                </c:pt>
                <c:pt idx="252">
                  <c:v>1.8759999999999999</c:v>
                </c:pt>
                <c:pt idx="253">
                  <c:v>1.88</c:v>
                </c:pt>
                <c:pt idx="254">
                  <c:v>1.883</c:v>
                </c:pt>
                <c:pt idx="255">
                  <c:v>1.8859999999999999</c:v>
                </c:pt>
                <c:pt idx="256">
                  <c:v>1.889</c:v>
                </c:pt>
                <c:pt idx="257">
                  <c:v>1.893</c:v>
                </c:pt>
                <c:pt idx="258">
                  <c:v>1.8959999999999999</c:v>
                </c:pt>
                <c:pt idx="259">
                  <c:v>1.899</c:v>
                </c:pt>
                <c:pt idx="260">
                  <c:v>1.9019999999999999</c:v>
                </c:pt>
                <c:pt idx="261">
                  <c:v>1.9059999999999999</c:v>
                </c:pt>
                <c:pt idx="262">
                  <c:v>1.909</c:v>
                </c:pt>
                <c:pt idx="263">
                  <c:v>1.9119999999999999</c:v>
                </c:pt>
                <c:pt idx="264">
                  <c:v>1.9159999999999999</c:v>
                </c:pt>
                <c:pt idx="265">
                  <c:v>1.919</c:v>
                </c:pt>
                <c:pt idx="266">
                  <c:v>1.9219999999999999</c:v>
                </c:pt>
                <c:pt idx="267">
                  <c:v>1.925</c:v>
                </c:pt>
                <c:pt idx="268">
                  <c:v>1.929</c:v>
                </c:pt>
                <c:pt idx="269">
                  <c:v>1.9319999999999999</c:v>
                </c:pt>
                <c:pt idx="270">
                  <c:v>1.9350000000000001</c:v>
                </c:pt>
                <c:pt idx="271">
                  <c:v>1.9390000000000001</c:v>
                </c:pt>
                <c:pt idx="272">
                  <c:v>1.9419999999999999</c:v>
                </c:pt>
                <c:pt idx="273">
                  <c:v>1.9450000000000001</c:v>
                </c:pt>
                <c:pt idx="274">
                  <c:v>1.948</c:v>
                </c:pt>
                <c:pt idx="275">
                  <c:v>1.952</c:v>
                </c:pt>
                <c:pt idx="276">
                  <c:v>1.9550000000000001</c:v>
                </c:pt>
                <c:pt idx="277">
                  <c:v>1.958</c:v>
                </c:pt>
                <c:pt idx="278">
                  <c:v>1.9610000000000001</c:v>
                </c:pt>
                <c:pt idx="279">
                  <c:v>1.9650000000000001</c:v>
                </c:pt>
                <c:pt idx="280">
                  <c:v>1.968</c:v>
                </c:pt>
                <c:pt idx="281">
                  <c:v>1.9710000000000001</c:v>
                </c:pt>
                <c:pt idx="282">
                  <c:v>1.9750000000000001</c:v>
                </c:pt>
                <c:pt idx="283">
                  <c:v>1.978</c:v>
                </c:pt>
                <c:pt idx="284">
                  <c:v>1.9810000000000001</c:v>
                </c:pt>
                <c:pt idx="285">
                  <c:v>1.984</c:v>
                </c:pt>
                <c:pt idx="286">
                  <c:v>1.988</c:v>
                </c:pt>
                <c:pt idx="287">
                  <c:v>1.9910000000000001</c:v>
                </c:pt>
                <c:pt idx="288">
                  <c:v>1.994</c:v>
                </c:pt>
                <c:pt idx="289">
                  <c:v>1.998</c:v>
                </c:pt>
              </c:numCache>
            </c:numRef>
          </c:xVal>
          <c:yVal>
            <c:numRef>
              <c:f>'Design_cal (2)'!$P$207:$P$496</c:f>
              <c:numCache>
                <c:formatCode>General</c:formatCode>
                <c:ptCount val="290"/>
                <c:pt idx="0">
                  <c:v>1.4505999999999999</c:v>
                </c:pt>
                <c:pt idx="1">
                  <c:v>1.4134</c:v>
                </c:pt>
                <c:pt idx="2">
                  <c:v>1.3773</c:v>
                </c:pt>
                <c:pt idx="3">
                  <c:v>1.3402000000000001</c:v>
                </c:pt>
                <c:pt idx="4">
                  <c:v>1.3409</c:v>
                </c:pt>
                <c:pt idx="5">
                  <c:v>1.3512</c:v>
                </c:pt>
                <c:pt idx="6">
                  <c:v>1.3521000000000001</c:v>
                </c:pt>
                <c:pt idx="7">
                  <c:v>1.3528</c:v>
                </c:pt>
                <c:pt idx="8">
                  <c:v>1.3534999999999999</c:v>
                </c:pt>
                <c:pt idx="9">
                  <c:v>1.3544</c:v>
                </c:pt>
                <c:pt idx="10">
                  <c:v>1.3647</c:v>
                </c:pt>
                <c:pt idx="11">
                  <c:v>1.3275999999999999</c:v>
                </c:pt>
                <c:pt idx="12">
                  <c:v>1.2898000000000001</c:v>
                </c:pt>
                <c:pt idx="13">
                  <c:v>1.2907</c:v>
                </c:pt>
                <c:pt idx="14">
                  <c:v>1.2914000000000001</c:v>
                </c:pt>
                <c:pt idx="15">
                  <c:v>1.3009999999999999</c:v>
                </c:pt>
                <c:pt idx="16">
                  <c:v>1.3017000000000001</c:v>
                </c:pt>
                <c:pt idx="17">
                  <c:v>1.3026</c:v>
                </c:pt>
                <c:pt idx="18">
                  <c:v>1.3032999999999999</c:v>
                </c:pt>
                <c:pt idx="19">
                  <c:v>1.2598</c:v>
                </c:pt>
                <c:pt idx="20">
                  <c:v>1.2692000000000001</c:v>
                </c:pt>
                <c:pt idx="21">
                  <c:v>1.2699</c:v>
                </c:pt>
                <c:pt idx="22">
                  <c:v>1.2706</c:v>
                </c:pt>
                <c:pt idx="23">
                  <c:v>1.2713000000000001</c:v>
                </c:pt>
                <c:pt idx="24">
                  <c:v>1.2722</c:v>
                </c:pt>
                <c:pt idx="25">
                  <c:v>1.2814000000000001</c:v>
                </c:pt>
                <c:pt idx="26">
                  <c:v>1.2821</c:v>
                </c:pt>
                <c:pt idx="27">
                  <c:v>1.2830999999999999</c:v>
                </c:pt>
                <c:pt idx="28">
                  <c:v>1.2054</c:v>
                </c:pt>
                <c:pt idx="29">
                  <c:v>1.2060999999999999</c:v>
                </c:pt>
                <c:pt idx="30">
                  <c:v>1.2145999999999999</c:v>
                </c:pt>
                <c:pt idx="31">
                  <c:v>1.2155</c:v>
                </c:pt>
                <c:pt idx="32">
                  <c:v>1.2161999999999999</c:v>
                </c:pt>
                <c:pt idx="33">
                  <c:v>1.2169000000000001</c:v>
                </c:pt>
                <c:pt idx="34">
                  <c:v>1.2176</c:v>
                </c:pt>
                <c:pt idx="35">
                  <c:v>1.2262999999999999</c:v>
                </c:pt>
                <c:pt idx="36">
                  <c:v>1.2270000000000001</c:v>
                </c:pt>
                <c:pt idx="37">
                  <c:v>1.2277</c:v>
                </c:pt>
                <c:pt idx="38">
                  <c:v>1.2285999999999999</c:v>
                </c:pt>
                <c:pt idx="39">
                  <c:v>1.2293000000000001</c:v>
                </c:pt>
                <c:pt idx="40">
                  <c:v>1.2378</c:v>
                </c:pt>
                <c:pt idx="41">
                  <c:v>1.2384999999999999</c:v>
                </c:pt>
                <c:pt idx="42">
                  <c:v>1.2394000000000001</c:v>
                </c:pt>
                <c:pt idx="43">
                  <c:v>1.2401</c:v>
                </c:pt>
                <c:pt idx="44">
                  <c:v>1.2407999999999999</c:v>
                </c:pt>
                <c:pt idx="45">
                  <c:v>1.2495000000000001</c:v>
                </c:pt>
                <c:pt idx="46">
                  <c:v>1.2502</c:v>
                </c:pt>
                <c:pt idx="47">
                  <c:v>1.2508999999999999</c:v>
                </c:pt>
                <c:pt idx="48">
                  <c:v>1.2516</c:v>
                </c:pt>
                <c:pt idx="49">
                  <c:v>1.2524999999999999</c:v>
                </c:pt>
                <c:pt idx="50">
                  <c:v>1.2611000000000001</c:v>
                </c:pt>
                <c:pt idx="51">
                  <c:v>1.2617</c:v>
                </c:pt>
                <c:pt idx="52">
                  <c:v>1.2624</c:v>
                </c:pt>
                <c:pt idx="53">
                  <c:v>1.1409</c:v>
                </c:pt>
                <c:pt idx="54">
                  <c:v>1.1415999999999999</c:v>
                </c:pt>
                <c:pt idx="55">
                  <c:v>1.1423000000000001</c:v>
                </c:pt>
                <c:pt idx="56">
                  <c:v>1.1499999999999999</c:v>
                </c:pt>
                <c:pt idx="57">
                  <c:v>1.1507000000000001</c:v>
                </c:pt>
                <c:pt idx="58">
                  <c:v>1.1514</c:v>
                </c:pt>
                <c:pt idx="59">
                  <c:v>1.1520999999999999</c:v>
                </c:pt>
                <c:pt idx="60">
                  <c:v>1.153</c:v>
                </c:pt>
                <c:pt idx="61">
                  <c:v>1.1605000000000001</c:v>
                </c:pt>
                <c:pt idx="62">
                  <c:v>1.1612</c:v>
                </c:pt>
                <c:pt idx="63">
                  <c:v>1.1620999999999999</c:v>
                </c:pt>
                <c:pt idx="64">
                  <c:v>1.1628000000000001</c:v>
                </c:pt>
                <c:pt idx="65">
                  <c:v>1.1635</c:v>
                </c:pt>
                <c:pt idx="66">
                  <c:v>1.1709000000000001</c:v>
                </c:pt>
                <c:pt idx="67">
                  <c:v>1.1718999999999999</c:v>
                </c:pt>
                <c:pt idx="68">
                  <c:v>1.1726000000000001</c:v>
                </c:pt>
                <c:pt idx="69">
                  <c:v>1.1732</c:v>
                </c:pt>
                <c:pt idx="70">
                  <c:v>1.1741999999999999</c:v>
                </c:pt>
                <c:pt idx="71">
                  <c:v>1.1816</c:v>
                </c:pt>
                <c:pt idx="72">
                  <c:v>1.1822999999999999</c:v>
                </c:pt>
                <c:pt idx="73">
                  <c:v>1.1830000000000001</c:v>
                </c:pt>
                <c:pt idx="74">
                  <c:v>1.1839</c:v>
                </c:pt>
                <c:pt idx="75">
                  <c:v>1.1846000000000001</c:v>
                </c:pt>
                <c:pt idx="76">
                  <c:v>1.1853</c:v>
                </c:pt>
                <c:pt idx="77">
                  <c:v>1.1928000000000001</c:v>
                </c:pt>
                <c:pt idx="78">
                  <c:v>1.1937</c:v>
                </c:pt>
                <c:pt idx="79">
                  <c:v>1.1943999999999999</c:v>
                </c:pt>
                <c:pt idx="80">
                  <c:v>1.1951000000000001</c:v>
                </c:pt>
                <c:pt idx="81">
                  <c:v>1.196</c:v>
                </c:pt>
                <c:pt idx="82">
                  <c:v>1.2035</c:v>
                </c:pt>
                <c:pt idx="83">
                  <c:v>1.2041999999999999</c:v>
                </c:pt>
                <c:pt idx="84">
                  <c:v>1.2048000000000001</c:v>
                </c:pt>
                <c:pt idx="85">
                  <c:v>1.2058</c:v>
                </c:pt>
                <c:pt idx="86">
                  <c:v>1.2064999999999999</c:v>
                </c:pt>
                <c:pt idx="87">
                  <c:v>1.2139</c:v>
                </c:pt>
                <c:pt idx="88">
                  <c:v>1.2148000000000001</c:v>
                </c:pt>
                <c:pt idx="89">
                  <c:v>1.2155</c:v>
                </c:pt>
                <c:pt idx="90">
                  <c:v>1.2161999999999999</c:v>
                </c:pt>
                <c:pt idx="91">
                  <c:v>1.2169000000000001</c:v>
                </c:pt>
                <c:pt idx="92">
                  <c:v>1.2178</c:v>
                </c:pt>
                <c:pt idx="93">
                  <c:v>1.2253000000000001</c:v>
                </c:pt>
                <c:pt idx="94">
                  <c:v>1.226</c:v>
                </c:pt>
                <c:pt idx="95">
                  <c:v>1.2266999999999999</c:v>
                </c:pt>
                <c:pt idx="96">
                  <c:v>1.2276</c:v>
                </c:pt>
                <c:pt idx="97">
                  <c:v>1.2282999999999999</c:v>
                </c:pt>
                <c:pt idx="98">
                  <c:v>1.2358</c:v>
                </c:pt>
                <c:pt idx="99">
                  <c:v>1.2366999999999999</c:v>
                </c:pt>
                <c:pt idx="100">
                  <c:v>1.1929000000000001</c:v>
                </c:pt>
                <c:pt idx="101">
                  <c:v>1.1936</c:v>
                </c:pt>
                <c:pt idx="102">
                  <c:v>1.1942999999999999</c:v>
                </c:pt>
                <c:pt idx="103">
                  <c:v>1.1952</c:v>
                </c:pt>
                <c:pt idx="104">
                  <c:v>1.2022999999999999</c:v>
                </c:pt>
                <c:pt idx="105">
                  <c:v>1.2030000000000001</c:v>
                </c:pt>
                <c:pt idx="106">
                  <c:v>1.2039</c:v>
                </c:pt>
                <c:pt idx="107">
                  <c:v>1.2045999999999999</c:v>
                </c:pt>
                <c:pt idx="108">
                  <c:v>1.2053</c:v>
                </c:pt>
                <c:pt idx="109">
                  <c:v>1.2123999999999999</c:v>
                </c:pt>
                <c:pt idx="110">
                  <c:v>1.169</c:v>
                </c:pt>
                <c:pt idx="111">
                  <c:v>1.1697</c:v>
                </c:pt>
                <c:pt idx="112">
                  <c:v>1.1702999999999999</c:v>
                </c:pt>
                <c:pt idx="113">
                  <c:v>1.171</c:v>
                </c:pt>
                <c:pt idx="114">
                  <c:v>1.1719999999999999</c:v>
                </c:pt>
                <c:pt idx="115">
                  <c:v>1.1787000000000001</c:v>
                </c:pt>
                <c:pt idx="116">
                  <c:v>1.1794</c:v>
                </c:pt>
                <c:pt idx="117">
                  <c:v>1.1802999999999999</c:v>
                </c:pt>
                <c:pt idx="118">
                  <c:v>1.181</c:v>
                </c:pt>
                <c:pt idx="119">
                  <c:v>1.1817</c:v>
                </c:pt>
                <c:pt idx="120">
                  <c:v>1.1884999999999999</c:v>
                </c:pt>
                <c:pt idx="121">
                  <c:v>1.1894</c:v>
                </c:pt>
                <c:pt idx="122">
                  <c:v>1.1900999999999999</c:v>
                </c:pt>
                <c:pt idx="123">
                  <c:v>1.1908000000000001</c:v>
                </c:pt>
                <c:pt idx="124">
                  <c:v>1.2367999999999999</c:v>
                </c:pt>
                <c:pt idx="125">
                  <c:v>1.2375</c:v>
                </c:pt>
                <c:pt idx="126">
                  <c:v>1.2445999999999999</c:v>
                </c:pt>
                <c:pt idx="127">
                  <c:v>1.2453000000000001</c:v>
                </c:pt>
                <c:pt idx="128">
                  <c:v>1.2462</c:v>
                </c:pt>
                <c:pt idx="129">
                  <c:v>1.2468999999999999</c:v>
                </c:pt>
                <c:pt idx="130">
                  <c:v>1.2476</c:v>
                </c:pt>
                <c:pt idx="131">
                  <c:v>1.2548999999999999</c:v>
                </c:pt>
                <c:pt idx="132">
                  <c:v>1.2556</c:v>
                </c:pt>
                <c:pt idx="133">
                  <c:v>1.2563</c:v>
                </c:pt>
                <c:pt idx="134">
                  <c:v>1.2569999999999999</c:v>
                </c:pt>
                <c:pt idx="135">
                  <c:v>1.2579</c:v>
                </c:pt>
                <c:pt idx="136">
                  <c:v>1.2585999999999999</c:v>
                </c:pt>
                <c:pt idx="137">
                  <c:v>1.2657</c:v>
                </c:pt>
                <c:pt idx="138">
                  <c:v>1.2664</c:v>
                </c:pt>
                <c:pt idx="139">
                  <c:v>1.2212000000000001</c:v>
                </c:pt>
                <c:pt idx="140">
                  <c:v>1.2219</c:v>
                </c:pt>
                <c:pt idx="141">
                  <c:v>1.2225999999999999</c:v>
                </c:pt>
                <c:pt idx="142">
                  <c:v>1.2296</c:v>
                </c:pt>
                <c:pt idx="143">
                  <c:v>1.2302999999999999</c:v>
                </c:pt>
                <c:pt idx="144">
                  <c:v>1.2310000000000001</c:v>
                </c:pt>
                <c:pt idx="145">
                  <c:v>1.2317</c:v>
                </c:pt>
                <c:pt idx="146">
                  <c:v>1.2325999999999999</c:v>
                </c:pt>
                <c:pt idx="147">
                  <c:v>1.2333000000000001</c:v>
                </c:pt>
                <c:pt idx="148">
                  <c:v>1.24</c:v>
                </c:pt>
                <c:pt idx="149">
                  <c:v>1.2410000000000001</c:v>
                </c:pt>
                <c:pt idx="150">
                  <c:v>1.2417</c:v>
                </c:pt>
                <c:pt idx="151">
                  <c:v>1.2423</c:v>
                </c:pt>
                <c:pt idx="152">
                  <c:v>1.2430000000000001</c:v>
                </c:pt>
                <c:pt idx="153">
                  <c:v>1.244</c:v>
                </c:pt>
                <c:pt idx="154">
                  <c:v>1.2506999999999999</c:v>
                </c:pt>
                <c:pt idx="155">
                  <c:v>1.2514000000000001</c:v>
                </c:pt>
                <c:pt idx="156">
                  <c:v>1.2521</c:v>
                </c:pt>
                <c:pt idx="157">
                  <c:v>1.2529999999999999</c:v>
                </c:pt>
                <c:pt idx="158">
                  <c:v>1.2537</c:v>
                </c:pt>
                <c:pt idx="159">
                  <c:v>1.2544</c:v>
                </c:pt>
                <c:pt idx="160">
                  <c:v>1.2614000000000001</c:v>
                </c:pt>
                <c:pt idx="161">
                  <c:v>1.2621</c:v>
                </c:pt>
                <c:pt idx="162">
                  <c:v>1.2627999999999999</c:v>
                </c:pt>
                <c:pt idx="163">
                  <c:v>1.2635000000000001</c:v>
                </c:pt>
                <c:pt idx="164">
                  <c:v>1.2644</c:v>
                </c:pt>
                <c:pt idx="165">
                  <c:v>1.2712000000000001</c:v>
                </c:pt>
                <c:pt idx="166">
                  <c:v>1.2718</c:v>
                </c:pt>
                <c:pt idx="167">
                  <c:v>1.2727999999999999</c:v>
                </c:pt>
                <c:pt idx="168">
                  <c:v>1.2735000000000001</c:v>
                </c:pt>
                <c:pt idx="169">
                  <c:v>1.2742</c:v>
                </c:pt>
                <c:pt idx="170">
                  <c:v>1.2747999999999999</c:v>
                </c:pt>
                <c:pt idx="171">
                  <c:v>1.2818000000000001</c:v>
                </c:pt>
                <c:pt idx="172">
                  <c:v>1.2825</c:v>
                </c:pt>
                <c:pt idx="173">
                  <c:v>1.2831999999999999</c:v>
                </c:pt>
                <c:pt idx="174">
                  <c:v>1.2839</c:v>
                </c:pt>
                <c:pt idx="175">
                  <c:v>1.2847999999999999</c:v>
                </c:pt>
                <c:pt idx="176">
                  <c:v>1.2855000000000001</c:v>
                </c:pt>
                <c:pt idx="177">
                  <c:v>1.2923</c:v>
                </c:pt>
                <c:pt idx="178">
                  <c:v>1.2438</c:v>
                </c:pt>
                <c:pt idx="179">
                  <c:v>1.2444999999999999</c:v>
                </c:pt>
                <c:pt idx="180">
                  <c:v>1.2452000000000001</c:v>
                </c:pt>
                <c:pt idx="181">
                  <c:v>1.2459</c:v>
                </c:pt>
                <c:pt idx="182">
                  <c:v>1.2467999999999999</c:v>
                </c:pt>
                <c:pt idx="183">
                  <c:v>1.2532000000000001</c:v>
                </c:pt>
                <c:pt idx="184">
                  <c:v>1.2539</c:v>
                </c:pt>
                <c:pt idx="185">
                  <c:v>1.2547999999999999</c:v>
                </c:pt>
                <c:pt idx="186">
                  <c:v>1.2555000000000001</c:v>
                </c:pt>
                <c:pt idx="187">
                  <c:v>1.2562</c:v>
                </c:pt>
                <c:pt idx="188">
                  <c:v>1.2568999999999999</c:v>
                </c:pt>
                <c:pt idx="189">
                  <c:v>1.2635000000000001</c:v>
                </c:pt>
                <c:pt idx="190">
                  <c:v>1.2642</c:v>
                </c:pt>
                <c:pt idx="191">
                  <c:v>1.2648999999999999</c:v>
                </c:pt>
                <c:pt idx="192">
                  <c:v>1.2658</c:v>
                </c:pt>
                <c:pt idx="193">
                  <c:v>1.2665</c:v>
                </c:pt>
                <c:pt idx="194">
                  <c:v>1.2672000000000001</c:v>
                </c:pt>
                <c:pt idx="195">
                  <c:v>1.2736000000000001</c:v>
                </c:pt>
                <c:pt idx="196">
                  <c:v>1.2746</c:v>
                </c:pt>
                <c:pt idx="197">
                  <c:v>1.2751999999999999</c:v>
                </c:pt>
                <c:pt idx="198">
                  <c:v>1.2759</c:v>
                </c:pt>
                <c:pt idx="199">
                  <c:v>1.2766</c:v>
                </c:pt>
                <c:pt idx="200">
                  <c:v>1.2833000000000001</c:v>
                </c:pt>
                <c:pt idx="201">
                  <c:v>1.284</c:v>
                </c:pt>
                <c:pt idx="202">
                  <c:v>1.2847</c:v>
                </c:pt>
                <c:pt idx="203">
                  <c:v>1.2856000000000001</c:v>
                </c:pt>
                <c:pt idx="204">
                  <c:v>1.2863</c:v>
                </c:pt>
                <c:pt idx="205">
                  <c:v>1.2869999999999999</c:v>
                </c:pt>
                <c:pt idx="206">
                  <c:v>1.2876000000000001</c:v>
                </c:pt>
                <c:pt idx="207">
                  <c:v>1.2943</c:v>
                </c:pt>
                <c:pt idx="208">
                  <c:v>1.2949999999999999</c:v>
                </c:pt>
                <c:pt idx="209">
                  <c:v>1.2957000000000001</c:v>
                </c:pt>
                <c:pt idx="210">
                  <c:v>1.2966</c:v>
                </c:pt>
                <c:pt idx="211">
                  <c:v>1.2972999999999999</c:v>
                </c:pt>
                <c:pt idx="212">
                  <c:v>1.298</c:v>
                </c:pt>
                <c:pt idx="213">
                  <c:v>1.3044</c:v>
                </c:pt>
                <c:pt idx="214">
                  <c:v>1.3052999999999999</c:v>
                </c:pt>
                <c:pt idx="215">
                  <c:v>1.306</c:v>
                </c:pt>
                <c:pt idx="216">
                  <c:v>1.3067</c:v>
                </c:pt>
                <c:pt idx="217">
                  <c:v>1.3073999999999999</c:v>
                </c:pt>
                <c:pt idx="218">
                  <c:v>1.3140000000000001</c:v>
                </c:pt>
                <c:pt idx="219">
                  <c:v>1.3147</c:v>
                </c:pt>
                <c:pt idx="220">
                  <c:v>1.3153999999999999</c:v>
                </c:pt>
                <c:pt idx="221">
                  <c:v>1.3163</c:v>
                </c:pt>
                <c:pt idx="222">
                  <c:v>1.3169999999999999</c:v>
                </c:pt>
                <c:pt idx="223">
                  <c:v>1.3177000000000001</c:v>
                </c:pt>
                <c:pt idx="224">
                  <c:v>1.3184</c:v>
                </c:pt>
                <c:pt idx="225">
                  <c:v>1.325</c:v>
                </c:pt>
                <c:pt idx="226">
                  <c:v>1.3257000000000001</c:v>
                </c:pt>
                <c:pt idx="227">
                  <c:v>1.3264</c:v>
                </c:pt>
                <c:pt idx="228">
                  <c:v>1.3272999999999999</c:v>
                </c:pt>
                <c:pt idx="229">
                  <c:v>1.3280000000000001</c:v>
                </c:pt>
                <c:pt idx="230">
                  <c:v>1.2774000000000001</c:v>
                </c:pt>
                <c:pt idx="231">
                  <c:v>1.2835000000000001</c:v>
                </c:pt>
                <c:pt idx="232">
                  <c:v>1.2844</c:v>
                </c:pt>
                <c:pt idx="233">
                  <c:v>1.2850999999999999</c:v>
                </c:pt>
                <c:pt idx="234">
                  <c:v>1.2858000000000001</c:v>
                </c:pt>
                <c:pt idx="235">
                  <c:v>1.2865</c:v>
                </c:pt>
                <c:pt idx="236">
                  <c:v>1.2874000000000001</c:v>
                </c:pt>
                <c:pt idx="237">
                  <c:v>1.2935000000000001</c:v>
                </c:pt>
                <c:pt idx="238">
                  <c:v>1.2942</c:v>
                </c:pt>
                <c:pt idx="239">
                  <c:v>1.2950999999999999</c:v>
                </c:pt>
                <c:pt idx="240">
                  <c:v>1.2958000000000001</c:v>
                </c:pt>
                <c:pt idx="241">
                  <c:v>1.2965</c:v>
                </c:pt>
                <c:pt idx="242">
                  <c:v>1.2971999999999999</c:v>
                </c:pt>
                <c:pt idx="243">
                  <c:v>1.3035000000000001</c:v>
                </c:pt>
                <c:pt idx="244">
                  <c:v>1.3041</c:v>
                </c:pt>
                <c:pt idx="245">
                  <c:v>1.3048</c:v>
                </c:pt>
                <c:pt idx="246">
                  <c:v>1.3058000000000001</c:v>
                </c:pt>
                <c:pt idx="247">
                  <c:v>1.3065</c:v>
                </c:pt>
                <c:pt idx="248">
                  <c:v>1.3070999999999999</c:v>
                </c:pt>
                <c:pt idx="249">
                  <c:v>1.3131999999999999</c:v>
                </c:pt>
                <c:pt idx="250">
                  <c:v>1.3141</c:v>
                </c:pt>
                <c:pt idx="251">
                  <c:v>1.3148</c:v>
                </c:pt>
                <c:pt idx="252">
                  <c:v>1.3154999999999999</c:v>
                </c:pt>
                <c:pt idx="253">
                  <c:v>1.3164</c:v>
                </c:pt>
                <c:pt idx="254">
                  <c:v>1.3170999999999999</c:v>
                </c:pt>
                <c:pt idx="255">
                  <c:v>1.3231999999999999</c:v>
                </c:pt>
                <c:pt idx="256">
                  <c:v>1.3239000000000001</c:v>
                </c:pt>
                <c:pt idx="257">
                  <c:v>1.3248</c:v>
                </c:pt>
                <c:pt idx="258">
                  <c:v>1.3254999999999999</c:v>
                </c:pt>
                <c:pt idx="259">
                  <c:v>1.3262</c:v>
                </c:pt>
                <c:pt idx="260">
                  <c:v>1.3269</c:v>
                </c:pt>
                <c:pt idx="261">
                  <c:v>1.3331999999999999</c:v>
                </c:pt>
                <c:pt idx="262">
                  <c:v>1.3339000000000001</c:v>
                </c:pt>
                <c:pt idx="263">
                  <c:v>1.3346</c:v>
                </c:pt>
                <c:pt idx="264">
                  <c:v>1.3354999999999999</c:v>
                </c:pt>
                <c:pt idx="265">
                  <c:v>1.3362000000000001</c:v>
                </c:pt>
                <c:pt idx="266">
                  <c:v>1.3369</c:v>
                </c:pt>
                <c:pt idx="267">
                  <c:v>1.3374999999999999</c:v>
                </c:pt>
                <c:pt idx="268">
                  <c:v>1.3438000000000001</c:v>
                </c:pt>
                <c:pt idx="269">
                  <c:v>1.3445</c:v>
                </c:pt>
                <c:pt idx="270">
                  <c:v>1.3452</c:v>
                </c:pt>
                <c:pt idx="271">
                  <c:v>1.3461000000000001</c:v>
                </c:pt>
                <c:pt idx="272">
                  <c:v>1.3468</c:v>
                </c:pt>
                <c:pt idx="273">
                  <c:v>1.3474999999999999</c:v>
                </c:pt>
                <c:pt idx="274">
                  <c:v>1.3535999999999999</c:v>
                </c:pt>
                <c:pt idx="275">
                  <c:v>1.3545</c:v>
                </c:pt>
                <c:pt idx="276">
                  <c:v>1.3552</c:v>
                </c:pt>
                <c:pt idx="277">
                  <c:v>1.3559000000000001</c:v>
                </c:pt>
                <c:pt idx="278">
                  <c:v>1.3566</c:v>
                </c:pt>
                <c:pt idx="279">
                  <c:v>1.3574999999999999</c:v>
                </c:pt>
                <c:pt idx="280">
                  <c:v>1.3635999999999999</c:v>
                </c:pt>
                <c:pt idx="281">
                  <c:v>1.3643000000000001</c:v>
                </c:pt>
                <c:pt idx="282">
                  <c:v>1.3652</c:v>
                </c:pt>
                <c:pt idx="283">
                  <c:v>1.3658999999999999</c:v>
                </c:pt>
                <c:pt idx="284">
                  <c:v>1.3666</c:v>
                </c:pt>
                <c:pt idx="285">
                  <c:v>1.3673</c:v>
                </c:pt>
                <c:pt idx="286">
                  <c:v>1.3682000000000001</c:v>
                </c:pt>
                <c:pt idx="287">
                  <c:v>1.3742000000000001</c:v>
                </c:pt>
                <c:pt idx="288">
                  <c:v>1.3749</c:v>
                </c:pt>
                <c:pt idx="289">
                  <c:v>1.3758999999999999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7-4DE7-B476-AE9F3C4EFF2F}"/>
            </c:ext>
          </c:extLst>
        </c:ser>
        <c:ser>
          <c:idx val="1"/>
          <c:order val="1"/>
          <c:tx>
            <c:strRef>
              <c:f>'Design_cal (2)'!$Q$206</c:f>
              <c:strCache>
                <c:ptCount val="1"/>
                <c:pt idx="0">
                  <c:v>Operating Cost ( RS crores)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'Design_cal (2)'!$B$207:$B$496</c:f>
              <c:numCache>
                <c:formatCode>General</c:formatCode>
                <c:ptCount val="290"/>
                <c:pt idx="0">
                  <c:v>1.05</c:v>
                </c:pt>
                <c:pt idx="1">
                  <c:v>1.0529999999999999</c:v>
                </c:pt>
                <c:pt idx="2">
                  <c:v>1.0569999999999999</c:v>
                </c:pt>
                <c:pt idx="3">
                  <c:v>1.06</c:v>
                </c:pt>
                <c:pt idx="4">
                  <c:v>1.0629999999999999</c:v>
                </c:pt>
                <c:pt idx="5">
                  <c:v>1.0660000000000001</c:v>
                </c:pt>
                <c:pt idx="6">
                  <c:v>1.07</c:v>
                </c:pt>
                <c:pt idx="7">
                  <c:v>1.073</c:v>
                </c:pt>
                <c:pt idx="8">
                  <c:v>1.0760000000000001</c:v>
                </c:pt>
                <c:pt idx="9">
                  <c:v>1.08</c:v>
                </c:pt>
                <c:pt idx="10">
                  <c:v>1.083</c:v>
                </c:pt>
                <c:pt idx="11">
                  <c:v>1.0860000000000001</c:v>
                </c:pt>
                <c:pt idx="12">
                  <c:v>1.089</c:v>
                </c:pt>
                <c:pt idx="13">
                  <c:v>1.093</c:v>
                </c:pt>
                <c:pt idx="14">
                  <c:v>1.0960000000000001</c:v>
                </c:pt>
                <c:pt idx="15">
                  <c:v>1.099</c:v>
                </c:pt>
                <c:pt idx="16">
                  <c:v>1.1020000000000001</c:v>
                </c:pt>
                <c:pt idx="17">
                  <c:v>1.1060000000000001</c:v>
                </c:pt>
                <c:pt idx="18">
                  <c:v>1.109</c:v>
                </c:pt>
                <c:pt idx="19">
                  <c:v>1.1120000000000001</c:v>
                </c:pt>
                <c:pt idx="20">
                  <c:v>1.1160000000000001</c:v>
                </c:pt>
                <c:pt idx="21">
                  <c:v>1.119</c:v>
                </c:pt>
                <c:pt idx="22">
                  <c:v>1.1220000000000001</c:v>
                </c:pt>
                <c:pt idx="23">
                  <c:v>1.125</c:v>
                </c:pt>
                <c:pt idx="24">
                  <c:v>1.129</c:v>
                </c:pt>
                <c:pt idx="25">
                  <c:v>1.1319999999999999</c:v>
                </c:pt>
                <c:pt idx="26">
                  <c:v>1.135</c:v>
                </c:pt>
                <c:pt idx="27">
                  <c:v>1.139</c:v>
                </c:pt>
                <c:pt idx="28">
                  <c:v>1.1419999999999999</c:v>
                </c:pt>
                <c:pt idx="29">
                  <c:v>1.145</c:v>
                </c:pt>
                <c:pt idx="30">
                  <c:v>1.1479999999999999</c:v>
                </c:pt>
                <c:pt idx="31">
                  <c:v>1.1519999999999999</c:v>
                </c:pt>
                <c:pt idx="32">
                  <c:v>1.155</c:v>
                </c:pt>
                <c:pt idx="33">
                  <c:v>1.1579999999999999</c:v>
                </c:pt>
                <c:pt idx="34">
                  <c:v>1.161</c:v>
                </c:pt>
                <c:pt idx="35">
                  <c:v>1.165</c:v>
                </c:pt>
                <c:pt idx="36">
                  <c:v>1.1679999999999999</c:v>
                </c:pt>
                <c:pt idx="37">
                  <c:v>1.171</c:v>
                </c:pt>
                <c:pt idx="38">
                  <c:v>1.175</c:v>
                </c:pt>
                <c:pt idx="39">
                  <c:v>1.1779999999999999</c:v>
                </c:pt>
                <c:pt idx="40">
                  <c:v>1.181</c:v>
                </c:pt>
                <c:pt idx="41">
                  <c:v>1.1839999999999999</c:v>
                </c:pt>
                <c:pt idx="42">
                  <c:v>1.1879999999999999</c:v>
                </c:pt>
                <c:pt idx="43">
                  <c:v>1.1910000000000001</c:v>
                </c:pt>
                <c:pt idx="44">
                  <c:v>1.194</c:v>
                </c:pt>
                <c:pt idx="45">
                  <c:v>1.198</c:v>
                </c:pt>
                <c:pt idx="46">
                  <c:v>1.2010000000000001</c:v>
                </c:pt>
                <c:pt idx="47">
                  <c:v>1.204</c:v>
                </c:pt>
                <c:pt idx="48">
                  <c:v>1.2070000000000001</c:v>
                </c:pt>
                <c:pt idx="49">
                  <c:v>1.2110000000000001</c:v>
                </c:pt>
                <c:pt idx="50">
                  <c:v>1.214</c:v>
                </c:pt>
                <c:pt idx="51">
                  <c:v>1.2170000000000001</c:v>
                </c:pt>
                <c:pt idx="52">
                  <c:v>1.22</c:v>
                </c:pt>
                <c:pt idx="53">
                  <c:v>1.224</c:v>
                </c:pt>
                <c:pt idx="54">
                  <c:v>1.2270000000000001</c:v>
                </c:pt>
                <c:pt idx="55">
                  <c:v>1.23</c:v>
                </c:pt>
                <c:pt idx="56">
                  <c:v>1.234</c:v>
                </c:pt>
                <c:pt idx="57">
                  <c:v>1.2370000000000001</c:v>
                </c:pt>
                <c:pt idx="58">
                  <c:v>1.24</c:v>
                </c:pt>
                <c:pt idx="59">
                  <c:v>1.2430000000000001</c:v>
                </c:pt>
                <c:pt idx="60">
                  <c:v>1.2470000000000001</c:v>
                </c:pt>
                <c:pt idx="61">
                  <c:v>1.25</c:v>
                </c:pt>
                <c:pt idx="62">
                  <c:v>1.2529999999999999</c:v>
                </c:pt>
                <c:pt idx="63">
                  <c:v>1.2569999999999999</c:v>
                </c:pt>
                <c:pt idx="64">
                  <c:v>1.26</c:v>
                </c:pt>
                <c:pt idx="65">
                  <c:v>1.2629999999999999</c:v>
                </c:pt>
                <c:pt idx="66">
                  <c:v>1.266</c:v>
                </c:pt>
                <c:pt idx="67">
                  <c:v>1.27</c:v>
                </c:pt>
                <c:pt idx="68">
                  <c:v>1.2729999999999999</c:v>
                </c:pt>
                <c:pt idx="69">
                  <c:v>1.276</c:v>
                </c:pt>
                <c:pt idx="70">
                  <c:v>1.28</c:v>
                </c:pt>
                <c:pt idx="71">
                  <c:v>1.2829999999999999</c:v>
                </c:pt>
                <c:pt idx="72">
                  <c:v>1.286</c:v>
                </c:pt>
                <c:pt idx="73">
                  <c:v>1.2889999999999999</c:v>
                </c:pt>
                <c:pt idx="74">
                  <c:v>1.2929999999999999</c:v>
                </c:pt>
                <c:pt idx="75">
                  <c:v>1.296</c:v>
                </c:pt>
                <c:pt idx="76">
                  <c:v>1.2989999999999999</c:v>
                </c:pt>
                <c:pt idx="77">
                  <c:v>1.302</c:v>
                </c:pt>
                <c:pt idx="78">
                  <c:v>1.306</c:v>
                </c:pt>
                <c:pt idx="79">
                  <c:v>1.3089999999999999</c:v>
                </c:pt>
                <c:pt idx="80">
                  <c:v>1.3120000000000001</c:v>
                </c:pt>
                <c:pt idx="81">
                  <c:v>1.3160000000000001</c:v>
                </c:pt>
                <c:pt idx="82">
                  <c:v>1.319</c:v>
                </c:pt>
                <c:pt idx="83">
                  <c:v>1.3220000000000001</c:v>
                </c:pt>
                <c:pt idx="84">
                  <c:v>1.325</c:v>
                </c:pt>
                <c:pt idx="85">
                  <c:v>1.329</c:v>
                </c:pt>
                <c:pt idx="86">
                  <c:v>1.3320000000000001</c:v>
                </c:pt>
                <c:pt idx="87">
                  <c:v>1.335</c:v>
                </c:pt>
                <c:pt idx="88">
                  <c:v>1.339</c:v>
                </c:pt>
                <c:pt idx="89">
                  <c:v>1.3420000000000001</c:v>
                </c:pt>
                <c:pt idx="90">
                  <c:v>1.345</c:v>
                </c:pt>
                <c:pt idx="91">
                  <c:v>1.3480000000000001</c:v>
                </c:pt>
                <c:pt idx="92">
                  <c:v>1.3520000000000001</c:v>
                </c:pt>
                <c:pt idx="93">
                  <c:v>1.355</c:v>
                </c:pt>
                <c:pt idx="94">
                  <c:v>1.3580000000000001</c:v>
                </c:pt>
                <c:pt idx="95">
                  <c:v>1.361</c:v>
                </c:pt>
                <c:pt idx="96">
                  <c:v>1.365</c:v>
                </c:pt>
                <c:pt idx="97">
                  <c:v>1.3680000000000001</c:v>
                </c:pt>
                <c:pt idx="98">
                  <c:v>1.371</c:v>
                </c:pt>
                <c:pt idx="99">
                  <c:v>1.375</c:v>
                </c:pt>
                <c:pt idx="100">
                  <c:v>1.3779999999999999</c:v>
                </c:pt>
                <c:pt idx="101">
                  <c:v>1.381</c:v>
                </c:pt>
                <c:pt idx="102">
                  <c:v>1.3839999999999999</c:v>
                </c:pt>
                <c:pt idx="103">
                  <c:v>1.3879999999999999</c:v>
                </c:pt>
                <c:pt idx="104">
                  <c:v>1.391</c:v>
                </c:pt>
                <c:pt idx="105">
                  <c:v>1.3939999999999999</c:v>
                </c:pt>
                <c:pt idx="106">
                  <c:v>1.3979999999999999</c:v>
                </c:pt>
                <c:pt idx="107">
                  <c:v>1.401</c:v>
                </c:pt>
                <c:pt idx="108">
                  <c:v>1.4039999999999999</c:v>
                </c:pt>
                <c:pt idx="109">
                  <c:v>1.407</c:v>
                </c:pt>
                <c:pt idx="110">
                  <c:v>1.411</c:v>
                </c:pt>
                <c:pt idx="111">
                  <c:v>1.4139999999999999</c:v>
                </c:pt>
                <c:pt idx="112">
                  <c:v>1.417</c:v>
                </c:pt>
                <c:pt idx="113">
                  <c:v>1.42</c:v>
                </c:pt>
                <c:pt idx="114">
                  <c:v>1.4239999999999999</c:v>
                </c:pt>
                <c:pt idx="115">
                  <c:v>1.427</c:v>
                </c:pt>
                <c:pt idx="116">
                  <c:v>1.43</c:v>
                </c:pt>
                <c:pt idx="117">
                  <c:v>1.4339999999999999</c:v>
                </c:pt>
                <c:pt idx="118">
                  <c:v>1.4370000000000001</c:v>
                </c:pt>
                <c:pt idx="119">
                  <c:v>1.44</c:v>
                </c:pt>
                <c:pt idx="120">
                  <c:v>1.4430000000000001</c:v>
                </c:pt>
                <c:pt idx="121">
                  <c:v>1.4470000000000001</c:v>
                </c:pt>
                <c:pt idx="122">
                  <c:v>1.45</c:v>
                </c:pt>
                <c:pt idx="123">
                  <c:v>1.4530000000000001</c:v>
                </c:pt>
                <c:pt idx="124">
                  <c:v>1.4570000000000001</c:v>
                </c:pt>
                <c:pt idx="125">
                  <c:v>1.46</c:v>
                </c:pt>
                <c:pt idx="126">
                  <c:v>1.4630000000000001</c:v>
                </c:pt>
                <c:pt idx="127">
                  <c:v>1.466</c:v>
                </c:pt>
                <c:pt idx="128">
                  <c:v>1.47</c:v>
                </c:pt>
                <c:pt idx="129">
                  <c:v>1.4730000000000001</c:v>
                </c:pt>
                <c:pt idx="130">
                  <c:v>1.476</c:v>
                </c:pt>
                <c:pt idx="131">
                  <c:v>1.48</c:v>
                </c:pt>
                <c:pt idx="132">
                  <c:v>1.4830000000000001</c:v>
                </c:pt>
                <c:pt idx="133">
                  <c:v>1.486</c:v>
                </c:pt>
                <c:pt idx="134">
                  <c:v>1.4890000000000001</c:v>
                </c:pt>
                <c:pt idx="135">
                  <c:v>1.4930000000000001</c:v>
                </c:pt>
                <c:pt idx="136">
                  <c:v>1.496</c:v>
                </c:pt>
                <c:pt idx="137">
                  <c:v>1.4990000000000001</c:v>
                </c:pt>
                <c:pt idx="138">
                  <c:v>1.502</c:v>
                </c:pt>
                <c:pt idx="139">
                  <c:v>1.506</c:v>
                </c:pt>
                <c:pt idx="140">
                  <c:v>1.5089999999999999</c:v>
                </c:pt>
                <c:pt idx="141">
                  <c:v>1.512</c:v>
                </c:pt>
                <c:pt idx="142">
                  <c:v>1.516</c:v>
                </c:pt>
                <c:pt idx="143">
                  <c:v>1.5189999999999999</c:v>
                </c:pt>
                <c:pt idx="144">
                  <c:v>1.522</c:v>
                </c:pt>
                <c:pt idx="145">
                  <c:v>1.5249999999999999</c:v>
                </c:pt>
                <c:pt idx="146">
                  <c:v>1.5289999999999999</c:v>
                </c:pt>
                <c:pt idx="147">
                  <c:v>1.532</c:v>
                </c:pt>
                <c:pt idx="148">
                  <c:v>1.5349999999999999</c:v>
                </c:pt>
                <c:pt idx="149">
                  <c:v>1.5389999999999999</c:v>
                </c:pt>
                <c:pt idx="150">
                  <c:v>1.542</c:v>
                </c:pt>
                <c:pt idx="151">
                  <c:v>1.5449999999999999</c:v>
                </c:pt>
                <c:pt idx="152">
                  <c:v>1.548</c:v>
                </c:pt>
                <c:pt idx="153">
                  <c:v>1.552</c:v>
                </c:pt>
                <c:pt idx="154">
                  <c:v>1.5549999999999999</c:v>
                </c:pt>
                <c:pt idx="155">
                  <c:v>1.5580000000000001</c:v>
                </c:pt>
                <c:pt idx="156">
                  <c:v>1.5609999999999999</c:v>
                </c:pt>
                <c:pt idx="157">
                  <c:v>1.5649999999999999</c:v>
                </c:pt>
                <c:pt idx="158">
                  <c:v>1.5680000000000001</c:v>
                </c:pt>
                <c:pt idx="159">
                  <c:v>1.571</c:v>
                </c:pt>
                <c:pt idx="160">
                  <c:v>1.575</c:v>
                </c:pt>
                <c:pt idx="161">
                  <c:v>1.5780000000000001</c:v>
                </c:pt>
                <c:pt idx="162">
                  <c:v>1.581</c:v>
                </c:pt>
                <c:pt idx="163">
                  <c:v>1.5840000000000001</c:v>
                </c:pt>
                <c:pt idx="164">
                  <c:v>1.5880000000000001</c:v>
                </c:pt>
                <c:pt idx="165">
                  <c:v>1.591</c:v>
                </c:pt>
                <c:pt idx="166">
                  <c:v>1.5940000000000001</c:v>
                </c:pt>
                <c:pt idx="167">
                  <c:v>1.5980000000000001</c:v>
                </c:pt>
                <c:pt idx="168">
                  <c:v>1.601</c:v>
                </c:pt>
                <c:pt idx="169">
                  <c:v>1.6040000000000001</c:v>
                </c:pt>
                <c:pt idx="170">
                  <c:v>1.607</c:v>
                </c:pt>
                <c:pt idx="171">
                  <c:v>1.611</c:v>
                </c:pt>
                <c:pt idx="172">
                  <c:v>1.6140000000000001</c:v>
                </c:pt>
                <c:pt idx="173">
                  <c:v>1.617</c:v>
                </c:pt>
                <c:pt idx="174">
                  <c:v>1.62</c:v>
                </c:pt>
                <c:pt idx="175">
                  <c:v>1.6240000000000001</c:v>
                </c:pt>
                <c:pt idx="176">
                  <c:v>1.627</c:v>
                </c:pt>
                <c:pt idx="177">
                  <c:v>1.63</c:v>
                </c:pt>
                <c:pt idx="178">
                  <c:v>1.6339999999999999</c:v>
                </c:pt>
                <c:pt idx="179">
                  <c:v>1.637</c:v>
                </c:pt>
                <c:pt idx="180">
                  <c:v>1.64</c:v>
                </c:pt>
                <c:pt idx="181">
                  <c:v>1.643</c:v>
                </c:pt>
                <c:pt idx="182">
                  <c:v>1.647</c:v>
                </c:pt>
                <c:pt idx="183">
                  <c:v>1.65</c:v>
                </c:pt>
                <c:pt idx="184">
                  <c:v>1.653</c:v>
                </c:pt>
                <c:pt idx="185">
                  <c:v>1.657</c:v>
                </c:pt>
                <c:pt idx="186">
                  <c:v>1.66</c:v>
                </c:pt>
                <c:pt idx="187">
                  <c:v>1.663</c:v>
                </c:pt>
                <c:pt idx="188">
                  <c:v>1.6659999999999999</c:v>
                </c:pt>
                <c:pt idx="189">
                  <c:v>1.67</c:v>
                </c:pt>
                <c:pt idx="190">
                  <c:v>1.673</c:v>
                </c:pt>
                <c:pt idx="191">
                  <c:v>1.6759999999999999</c:v>
                </c:pt>
                <c:pt idx="192">
                  <c:v>1.68</c:v>
                </c:pt>
                <c:pt idx="193">
                  <c:v>1.6830000000000001</c:v>
                </c:pt>
                <c:pt idx="194">
                  <c:v>1.6859999999999999</c:v>
                </c:pt>
                <c:pt idx="195">
                  <c:v>1.6890000000000001</c:v>
                </c:pt>
                <c:pt idx="196">
                  <c:v>1.6930000000000001</c:v>
                </c:pt>
                <c:pt idx="197">
                  <c:v>1.696</c:v>
                </c:pt>
                <c:pt idx="198">
                  <c:v>1.6990000000000001</c:v>
                </c:pt>
                <c:pt idx="199">
                  <c:v>1.702</c:v>
                </c:pt>
                <c:pt idx="200">
                  <c:v>1.706</c:v>
                </c:pt>
                <c:pt idx="201">
                  <c:v>1.7090000000000001</c:v>
                </c:pt>
                <c:pt idx="202">
                  <c:v>1.712</c:v>
                </c:pt>
                <c:pt idx="203">
                  <c:v>1.716</c:v>
                </c:pt>
                <c:pt idx="204">
                  <c:v>1.7190000000000001</c:v>
                </c:pt>
                <c:pt idx="205">
                  <c:v>1.722</c:v>
                </c:pt>
                <c:pt idx="206">
                  <c:v>1.7250000000000001</c:v>
                </c:pt>
                <c:pt idx="207">
                  <c:v>1.7290000000000001</c:v>
                </c:pt>
                <c:pt idx="208">
                  <c:v>1.732</c:v>
                </c:pt>
                <c:pt idx="209">
                  <c:v>1.7350000000000001</c:v>
                </c:pt>
                <c:pt idx="210">
                  <c:v>1.7390000000000001</c:v>
                </c:pt>
                <c:pt idx="211">
                  <c:v>1.742</c:v>
                </c:pt>
                <c:pt idx="212">
                  <c:v>1.7450000000000001</c:v>
                </c:pt>
                <c:pt idx="213">
                  <c:v>1.748</c:v>
                </c:pt>
                <c:pt idx="214">
                  <c:v>1.752</c:v>
                </c:pt>
                <c:pt idx="215">
                  <c:v>1.7549999999999999</c:v>
                </c:pt>
                <c:pt idx="216">
                  <c:v>1.758</c:v>
                </c:pt>
                <c:pt idx="217">
                  <c:v>1.7609999999999999</c:v>
                </c:pt>
                <c:pt idx="218">
                  <c:v>1.7649999999999999</c:v>
                </c:pt>
                <c:pt idx="219">
                  <c:v>1.768</c:v>
                </c:pt>
                <c:pt idx="220">
                  <c:v>1.7709999999999999</c:v>
                </c:pt>
                <c:pt idx="221">
                  <c:v>1.7749999999999999</c:v>
                </c:pt>
                <c:pt idx="222">
                  <c:v>1.778</c:v>
                </c:pt>
                <c:pt idx="223">
                  <c:v>1.7809999999999999</c:v>
                </c:pt>
                <c:pt idx="224">
                  <c:v>1.784</c:v>
                </c:pt>
                <c:pt idx="225">
                  <c:v>1.788</c:v>
                </c:pt>
                <c:pt idx="226">
                  <c:v>1.7909999999999999</c:v>
                </c:pt>
                <c:pt idx="227">
                  <c:v>1.794</c:v>
                </c:pt>
                <c:pt idx="228">
                  <c:v>1.798</c:v>
                </c:pt>
                <c:pt idx="229">
                  <c:v>1.8009999999999999</c:v>
                </c:pt>
                <c:pt idx="230">
                  <c:v>1.804</c:v>
                </c:pt>
                <c:pt idx="231">
                  <c:v>1.8069999999999999</c:v>
                </c:pt>
                <c:pt idx="232">
                  <c:v>1.8109999999999999</c:v>
                </c:pt>
                <c:pt idx="233">
                  <c:v>1.8140000000000001</c:v>
                </c:pt>
                <c:pt idx="234">
                  <c:v>1.8169999999999999</c:v>
                </c:pt>
                <c:pt idx="235">
                  <c:v>1.82</c:v>
                </c:pt>
                <c:pt idx="236">
                  <c:v>1.8240000000000001</c:v>
                </c:pt>
                <c:pt idx="237">
                  <c:v>1.827</c:v>
                </c:pt>
                <c:pt idx="238">
                  <c:v>1.83</c:v>
                </c:pt>
                <c:pt idx="239">
                  <c:v>1.8340000000000001</c:v>
                </c:pt>
                <c:pt idx="240">
                  <c:v>1.837</c:v>
                </c:pt>
                <c:pt idx="241">
                  <c:v>1.84</c:v>
                </c:pt>
                <c:pt idx="242">
                  <c:v>1.843</c:v>
                </c:pt>
                <c:pt idx="243">
                  <c:v>1.847</c:v>
                </c:pt>
                <c:pt idx="244">
                  <c:v>1.85</c:v>
                </c:pt>
                <c:pt idx="245">
                  <c:v>1.853</c:v>
                </c:pt>
                <c:pt idx="246">
                  <c:v>1.857</c:v>
                </c:pt>
                <c:pt idx="247">
                  <c:v>1.86</c:v>
                </c:pt>
                <c:pt idx="248">
                  <c:v>1.863</c:v>
                </c:pt>
                <c:pt idx="249">
                  <c:v>1.8660000000000001</c:v>
                </c:pt>
                <c:pt idx="250">
                  <c:v>1.87</c:v>
                </c:pt>
                <c:pt idx="251">
                  <c:v>1.873</c:v>
                </c:pt>
                <c:pt idx="252">
                  <c:v>1.8759999999999999</c:v>
                </c:pt>
                <c:pt idx="253">
                  <c:v>1.88</c:v>
                </c:pt>
                <c:pt idx="254">
                  <c:v>1.883</c:v>
                </c:pt>
                <c:pt idx="255">
                  <c:v>1.8859999999999999</c:v>
                </c:pt>
                <c:pt idx="256">
                  <c:v>1.889</c:v>
                </c:pt>
                <c:pt idx="257">
                  <c:v>1.893</c:v>
                </c:pt>
                <c:pt idx="258">
                  <c:v>1.8959999999999999</c:v>
                </c:pt>
                <c:pt idx="259">
                  <c:v>1.899</c:v>
                </c:pt>
                <c:pt idx="260">
                  <c:v>1.9019999999999999</c:v>
                </c:pt>
                <c:pt idx="261">
                  <c:v>1.9059999999999999</c:v>
                </c:pt>
                <c:pt idx="262">
                  <c:v>1.909</c:v>
                </c:pt>
                <c:pt idx="263">
                  <c:v>1.9119999999999999</c:v>
                </c:pt>
                <c:pt idx="264">
                  <c:v>1.9159999999999999</c:v>
                </c:pt>
                <c:pt idx="265">
                  <c:v>1.919</c:v>
                </c:pt>
                <c:pt idx="266">
                  <c:v>1.9219999999999999</c:v>
                </c:pt>
                <c:pt idx="267">
                  <c:v>1.925</c:v>
                </c:pt>
                <c:pt idx="268">
                  <c:v>1.929</c:v>
                </c:pt>
                <c:pt idx="269">
                  <c:v>1.9319999999999999</c:v>
                </c:pt>
                <c:pt idx="270">
                  <c:v>1.9350000000000001</c:v>
                </c:pt>
                <c:pt idx="271">
                  <c:v>1.9390000000000001</c:v>
                </c:pt>
                <c:pt idx="272">
                  <c:v>1.9419999999999999</c:v>
                </c:pt>
                <c:pt idx="273">
                  <c:v>1.9450000000000001</c:v>
                </c:pt>
                <c:pt idx="274">
                  <c:v>1.948</c:v>
                </c:pt>
                <c:pt idx="275">
                  <c:v>1.952</c:v>
                </c:pt>
                <c:pt idx="276">
                  <c:v>1.9550000000000001</c:v>
                </c:pt>
                <c:pt idx="277">
                  <c:v>1.958</c:v>
                </c:pt>
                <c:pt idx="278">
                  <c:v>1.9610000000000001</c:v>
                </c:pt>
                <c:pt idx="279">
                  <c:v>1.9650000000000001</c:v>
                </c:pt>
                <c:pt idx="280">
                  <c:v>1.968</c:v>
                </c:pt>
                <c:pt idx="281">
                  <c:v>1.9710000000000001</c:v>
                </c:pt>
                <c:pt idx="282">
                  <c:v>1.9750000000000001</c:v>
                </c:pt>
                <c:pt idx="283">
                  <c:v>1.978</c:v>
                </c:pt>
                <c:pt idx="284">
                  <c:v>1.9810000000000001</c:v>
                </c:pt>
                <c:pt idx="285">
                  <c:v>1.984</c:v>
                </c:pt>
                <c:pt idx="286">
                  <c:v>1.988</c:v>
                </c:pt>
                <c:pt idx="287">
                  <c:v>1.9910000000000001</c:v>
                </c:pt>
                <c:pt idx="288">
                  <c:v>1.994</c:v>
                </c:pt>
                <c:pt idx="289">
                  <c:v>1.998</c:v>
                </c:pt>
              </c:numCache>
            </c:numRef>
          </c:xVal>
          <c:yVal>
            <c:numRef>
              <c:f>'Design_cal (2)'!$Q$207:$Q$496</c:f>
              <c:numCache>
                <c:formatCode>General</c:formatCode>
                <c:ptCount val="290"/>
                <c:pt idx="0">
                  <c:v>1.0065</c:v>
                </c:pt>
                <c:pt idx="1">
                  <c:v>1.0086999999999999</c:v>
                </c:pt>
                <c:pt idx="2">
                  <c:v>1.0116000000000001</c:v>
                </c:pt>
                <c:pt idx="3">
                  <c:v>1.0138</c:v>
                </c:pt>
                <c:pt idx="4">
                  <c:v>1.016</c:v>
                </c:pt>
                <c:pt idx="5">
                  <c:v>1.0182</c:v>
                </c:pt>
                <c:pt idx="6">
                  <c:v>1.0212000000000001</c:v>
                </c:pt>
                <c:pt idx="7">
                  <c:v>1.0234000000000001</c:v>
                </c:pt>
                <c:pt idx="8">
                  <c:v>1.0255000000000001</c:v>
                </c:pt>
                <c:pt idx="9">
                  <c:v>1.0285</c:v>
                </c:pt>
                <c:pt idx="10">
                  <c:v>1.0306999999999999</c:v>
                </c:pt>
                <c:pt idx="11">
                  <c:v>1.0328999999999999</c:v>
                </c:pt>
                <c:pt idx="12">
                  <c:v>1.0350999999999999</c:v>
                </c:pt>
                <c:pt idx="13">
                  <c:v>1.038</c:v>
                </c:pt>
                <c:pt idx="14">
                  <c:v>1.0402</c:v>
                </c:pt>
                <c:pt idx="15">
                  <c:v>1.0424</c:v>
                </c:pt>
                <c:pt idx="16">
                  <c:v>1.0446</c:v>
                </c:pt>
                <c:pt idx="17">
                  <c:v>1.0475000000000001</c:v>
                </c:pt>
                <c:pt idx="18">
                  <c:v>1.0497000000000001</c:v>
                </c:pt>
                <c:pt idx="19">
                  <c:v>1.0519000000000001</c:v>
                </c:pt>
                <c:pt idx="20">
                  <c:v>1.0548</c:v>
                </c:pt>
                <c:pt idx="21">
                  <c:v>1.0569999999999999</c:v>
                </c:pt>
                <c:pt idx="22">
                  <c:v>1.0591999999999999</c:v>
                </c:pt>
                <c:pt idx="23">
                  <c:v>1.0613999999999999</c:v>
                </c:pt>
                <c:pt idx="24">
                  <c:v>1.0644</c:v>
                </c:pt>
                <c:pt idx="25">
                  <c:v>1.0666</c:v>
                </c:pt>
                <c:pt idx="26">
                  <c:v>1.0688</c:v>
                </c:pt>
                <c:pt idx="27">
                  <c:v>1.0717000000000001</c:v>
                </c:pt>
                <c:pt idx="28">
                  <c:v>1.0739000000000001</c:v>
                </c:pt>
                <c:pt idx="29">
                  <c:v>1.0761000000000001</c:v>
                </c:pt>
                <c:pt idx="30">
                  <c:v>1.0783</c:v>
                </c:pt>
                <c:pt idx="31">
                  <c:v>1.0811999999999999</c:v>
                </c:pt>
                <c:pt idx="32">
                  <c:v>1.0833999999999999</c:v>
                </c:pt>
                <c:pt idx="33">
                  <c:v>1.0855999999999999</c:v>
                </c:pt>
                <c:pt idx="34">
                  <c:v>1.0878000000000001</c:v>
                </c:pt>
                <c:pt idx="35">
                  <c:v>1.0907</c:v>
                </c:pt>
                <c:pt idx="36">
                  <c:v>1.0929</c:v>
                </c:pt>
                <c:pt idx="37">
                  <c:v>1.0951</c:v>
                </c:pt>
                <c:pt idx="38">
                  <c:v>1.0981000000000001</c:v>
                </c:pt>
                <c:pt idx="39">
                  <c:v>1.1003000000000001</c:v>
                </c:pt>
                <c:pt idx="40">
                  <c:v>1.1025</c:v>
                </c:pt>
                <c:pt idx="41">
                  <c:v>1.1047</c:v>
                </c:pt>
                <c:pt idx="42">
                  <c:v>1.1075999999999999</c:v>
                </c:pt>
                <c:pt idx="43">
                  <c:v>1.1097999999999999</c:v>
                </c:pt>
                <c:pt idx="44">
                  <c:v>1.1120000000000001</c:v>
                </c:pt>
                <c:pt idx="45">
                  <c:v>1.1149</c:v>
                </c:pt>
                <c:pt idx="46">
                  <c:v>1.1171</c:v>
                </c:pt>
                <c:pt idx="47">
                  <c:v>1.1193</c:v>
                </c:pt>
                <c:pt idx="48">
                  <c:v>1.1214999999999999</c:v>
                </c:pt>
                <c:pt idx="49">
                  <c:v>1.1244000000000001</c:v>
                </c:pt>
                <c:pt idx="50">
                  <c:v>1.1266</c:v>
                </c:pt>
                <c:pt idx="51">
                  <c:v>1.1288</c:v>
                </c:pt>
                <c:pt idx="52">
                  <c:v>1.131</c:v>
                </c:pt>
                <c:pt idx="53">
                  <c:v>1.1339999999999999</c:v>
                </c:pt>
                <c:pt idx="54">
                  <c:v>1.1362000000000001</c:v>
                </c:pt>
                <c:pt idx="55">
                  <c:v>1.1384000000000001</c:v>
                </c:pt>
                <c:pt idx="56">
                  <c:v>1.1413</c:v>
                </c:pt>
                <c:pt idx="57">
                  <c:v>1.1435</c:v>
                </c:pt>
                <c:pt idx="58">
                  <c:v>1.1456999999999999</c:v>
                </c:pt>
                <c:pt idx="59">
                  <c:v>1.1478999999999999</c:v>
                </c:pt>
                <c:pt idx="60">
                  <c:v>1.1508</c:v>
                </c:pt>
                <c:pt idx="61">
                  <c:v>1.153</c:v>
                </c:pt>
                <c:pt idx="62">
                  <c:v>1.1552</c:v>
                </c:pt>
                <c:pt idx="63">
                  <c:v>1.1580999999999999</c:v>
                </c:pt>
                <c:pt idx="64">
                  <c:v>1.1603000000000001</c:v>
                </c:pt>
                <c:pt idx="65">
                  <c:v>1.1625000000000001</c:v>
                </c:pt>
                <c:pt idx="66">
                  <c:v>1.1647000000000001</c:v>
                </c:pt>
                <c:pt idx="67">
                  <c:v>1.1677</c:v>
                </c:pt>
                <c:pt idx="68">
                  <c:v>1.1698999999999999</c:v>
                </c:pt>
                <c:pt idx="69">
                  <c:v>1.1720999999999999</c:v>
                </c:pt>
                <c:pt idx="70">
                  <c:v>1.175</c:v>
                </c:pt>
                <c:pt idx="71">
                  <c:v>1.1772</c:v>
                </c:pt>
                <c:pt idx="72">
                  <c:v>1.1794</c:v>
                </c:pt>
                <c:pt idx="73">
                  <c:v>1.1816</c:v>
                </c:pt>
                <c:pt idx="74">
                  <c:v>1.1845000000000001</c:v>
                </c:pt>
                <c:pt idx="75">
                  <c:v>1.1867000000000001</c:v>
                </c:pt>
                <c:pt idx="76">
                  <c:v>1.1889000000000001</c:v>
                </c:pt>
                <c:pt idx="77">
                  <c:v>1.1911</c:v>
                </c:pt>
                <c:pt idx="78">
                  <c:v>1.194</c:v>
                </c:pt>
                <c:pt idx="79">
                  <c:v>1.1961999999999999</c:v>
                </c:pt>
                <c:pt idx="80">
                  <c:v>1.1983999999999999</c:v>
                </c:pt>
                <c:pt idx="81">
                  <c:v>1.2014</c:v>
                </c:pt>
                <c:pt idx="82">
                  <c:v>1.2035</c:v>
                </c:pt>
                <c:pt idx="83">
                  <c:v>1.2057</c:v>
                </c:pt>
                <c:pt idx="84">
                  <c:v>1.2079</c:v>
                </c:pt>
                <c:pt idx="85">
                  <c:v>1.2109000000000001</c:v>
                </c:pt>
                <c:pt idx="86">
                  <c:v>1.2131000000000001</c:v>
                </c:pt>
                <c:pt idx="87">
                  <c:v>1.2153</c:v>
                </c:pt>
                <c:pt idx="88">
                  <c:v>1.2181999999999999</c:v>
                </c:pt>
                <c:pt idx="89">
                  <c:v>1.2203999999999999</c:v>
                </c:pt>
                <c:pt idx="90">
                  <c:v>1.2225999999999999</c:v>
                </c:pt>
                <c:pt idx="91">
                  <c:v>1.2248000000000001</c:v>
                </c:pt>
                <c:pt idx="92">
                  <c:v>1.2277</c:v>
                </c:pt>
                <c:pt idx="93">
                  <c:v>1.2299</c:v>
                </c:pt>
                <c:pt idx="94">
                  <c:v>1.2321</c:v>
                </c:pt>
                <c:pt idx="95">
                  <c:v>1.2343</c:v>
                </c:pt>
                <c:pt idx="96">
                  <c:v>1.2372000000000001</c:v>
                </c:pt>
                <c:pt idx="97">
                  <c:v>1.2394000000000001</c:v>
                </c:pt>
                <c:pt idx="98">
                  <c:v>1.2416</c:v>
                </c:pt>
                <c:pt idx="99">
                  <c:v>1.2445999999999999</c:v>
                </c:pt>
                <c:pt idx="100">
                  <c:v>1.2467999999999999</c:v>
                </c:pt>
                <c:pt idx="101">
                  <c:v>1.2490000000000001</c:v>
                </c:pt>
                <c:pt idx="102">
                  <c:v>1.2512000000000001</c:v>
                </c:pt>
                <c:pt idx="103">
                  <c:v>1.2541</c:v>
                </c:pt>
                <c:pt idx="104">
                  <c:v>1.2563</c:v>
                </c:pt>
                <c:pt idx="105">
                  <c:v>1.2585</c:v>
                </c:pt>
                <c:pt idx="106">
                  <c:v>1.2614000000000001</c:v>
                </c:pt>
                <c:pt idx="107">
                  <c:v>1.2636000000000001</c:v>
                </c:pt>
                <c:pt idx="108">
                  <c:v>1.2658</c:v>
                </c:pt>
                <c:pt idx="109">
                  <c:v>1.268</c:v>
                </c:pt>
                <c:pt idx="110">
                  <c:v>1.2708999999999999</c:v>
                </c:pt>
                <c:pt idx="111">
                  <c:v>1.2730999999999999</c:v>
                </c:pt>
                <c:pt idx="112">
                  <c:v>1.2753000000000001</c:v>
                </c:pt>
                <c:pt idx="113">
                  <c:v>1.2775000000000001</c:v>
                </c:pt>
                <c:pt idx="114">
                  <c:v>1.2805</c:v>
                </c:pt>
                <c:pt idx="115">
                  <c:v>1.2827</c:v>
                </c:pt>
                <c:pt idx="116">
                  <c:v>1.2848999999999999</c:v>
                </c:pt>
                <c:pt idx="117">
                  <c:v>1.2878000000000001</c:v>
                </c:pt>
                <c:pt idx="118">
                  <c:v>1.29</c:v>
                </c:pt>
                <c:pt idx="119">
                  <c:v>1.2922</c:v>
                </c:pt>
                <c:pt idx="120">
                  <c:v>1.2944</c:v>
                </c:pt>
                <c:pt idx="121">
                  <c:v>1.2972999999999999</c:v>
                </c:pt>
                <c:pt idx="122">
                  <c:v>1.2995000000000001</c:v>
                </c:pt>
                <c:pt idx="123">
                  <c:v>1.3017000000000001</c:v>
                </c:pt>
                <c:pt idx="124">
                  <c:v>1.3046</c:v>
                </c:pt>
                <c:pt idx="125">
                  <c:v>1.3068</c:v>
                </c:pt>
                <c:pt idx="126">
                  <c:v>1.3089999999999999</c:v>
                </c:pt>
                <c:pt idx="127">
                  <c:v>1.3111999999999999</c:v>
                </c:pt>
                <c:pt idx="128">
                  <c:v>1.3142</c:v>
                </c:pt>
                <c:pt idx="129">
                  <c:v>1.3164</c:v>
                </c:pt>
                <c:pt idx="130">
                  <c:v>1.3186</c:v>
                </c:pt>
                <c:pt idx="131">
                  <c:v>1.3214999999999999</c:v>
                </c:pt>
                <c:pt idx="132">
                  <c:v>1.3237000000000001</c:v>
                </c:pt>
                <c:pt idx="133">
                  <c:v>1.3259000000000001</c:v>
                </c:pt>
                <c:pt idx="134">
                  <c:v>1.3281000000000001</c:v>
                </c:pt>
                <c:pt idx="135">
                  <c:v>1.331</c:v>
                </c:pt>
                <c:pt idx="136">
                  <c:v>1.3331999999999999</c:v>
                </c:pt>
                <c:pt idx="137">
                  <c:v>1.3353999999999999</c:v>
                </c:pt>
                <c:pt idx="138">
                  <c:v>1.3375999999999999</c:v>
                </c:pt>
                <c:pt idx="139">
                  <c:v>1.3405</c:v>
                </c:pt>
                <c:pt idx="140">
                  <c:v>1.3427</c:v>
                </c:pt>
                <c:pt idx="141">
                  <c:v>1.3449</c:v>
                </c:pt>
                <c:pt idx="142">
                  <c:v>1.3479000000000001</c:v>
                </c:pt>
                <c:pt idx="143">
                  <c:v>1.35</c:v>
                </c:pt>
                <c:pt idx="144">
                  <c:v>1.3522000000000001</c:v>
                </c:pt>
                <c:pt idx="145">
                  <c:v>1.3544</c:v>
                </c:pt>
                <c:pt idx="146">
                  <c:v>1.3573999999999999</c:v>
                </c:pt>
                <c:pt idx="147">
                  <c:v>1.3595999999999999</c:v>
                </c:pt>
                <c:pt idx="148">
                  <c:v>1.3617999999999999</c:v>
                </c:pt>
                <c:pt idx="149">
                  <c:v>1.3647</c:v>
                </c:pt>
                <c:pt idx="150">
                  <c:v>1.3669</c:v>
                </c:pt>
                <c:pt idx="151">
                  <c:v>1.3691</c:v>
                </c:pt>
                <c:pt idx="152">
                  <c:v>1.3713</c:v>
                </c:pt>
                <c:pt idx="153">
                  <c:v>1.3742000000000001</c:v>
                </c:pt>
                <c:pt idx="154">
                  <c:v>1.3764000000000001</c:v>
                </c:pt>
                <c:pt idx="155">
                  <c:v>1.3786</c:v>
                </c:pt>
                <c:pt idx="156">
                  <c:v>1.3808</c:v>
                </c:pt>
                <c:pt idx="157">
                  <c:v>1.3836999999999999</c:v>
                </c:pt>
                <c:pt idx="158">
                  <c:v>1.3858999999999999</c:v>
                </c:pt>
                <c:pt idx="159">
                  <c:v>1.3880999999999999</c:v>
                </c:pt>
                <c:pt idx="160">
                  <c:v>1.3911</c:v>
                </c:pt>
                <c:pt idx="161">
                  <c:v>1.3933</c:v>
                </c:pt>
                <c:pt idx="162">
                  <c:v>1.3955</c:v>
                </c:pt>
                <c:pt idx="163">
                  <c:v>1.3976999999999999</c:v>
                </c:pt>
                <c:pt idx="164">
                  <c:v>1.4006000000000001</c:v>
                </c:pt>
                <c:pt idx="165">
                  <c:v>1.4028</c:v>
                </c:pt>
                <c:pt idx="166">
                  <c:v>1.405</c:v>
                </c:pt>
                <c:pt idx="167">
                  <c:v>1.4078999999999999</c:v>
                </c:pt>
                <c:pt idx="168">
                  <c:v>1.4100999999999999</c:v>
                </c:pt>
                <c:pt idx="169">
                  <c:v>1.4123000000000001</c:v>
                </c:pt>
                <c:pt idx="170">
                  <c:v>1.4145000000000001</c:v>
                </c:pt>
                <c:pt idx="171">
                  <c:v>1.4174</c:v>
                </c:pt>
                <c:pt idx="172">
                  <c:v>1.4196</c:v>
                </c:pt>
                <c:pt idx="173">
                  <c:v>1.4218</c:v>
                </c:pt>
                <c:pt idx="174">
                  <c:v>1.4239999999999999</c:v>
                </c:pt>
                <c:pt idx="175">
                  <c:v>1.427</c:v>
                </c:pt>
                <c:pt idx="176">
                  <c:v>1.4292</c:v>
                </c:pt>
                <c:pt idx="177">
                  <c:v>1.4314</c:v>
                </c:pt>
                <c:pt idx="178">
                  <c:v>1.4342999999999999</c:v>
                </c:pt>
                <c:pt idx="179">
                  <c:v>1.4365000000000001</c:v>
                </c:pt>
                <c:pt idx="180">
                  <c:v>1.4387000000000001</c:v>
                </c:pt>
                <c:pt idx="181">
                  <c:v>1.4409000000000001</c:v>
                </c:pt>
                <c:pt idx="182">
                  <c:v>1.4438</c:v>
                </c:pt>
                <c:pt idx="183">
                  <c:v>1.446</c:v>
                </c:pt>
                <c:pt idx="184">
                  <c:v>1.4481999999999999</c:v>
                </c:pt>
                <c:pt idx="185">
                  <c:v>1.4511000000000001</c:v>
                </c:pt>
                <c:pt idx="186">
                  <c:v>1.4533</c:v>
                </c:pt>
                <c:pt idx="187">
                  <c:v>1.4555</c:v>
                </c:pt>
                <c:pt idx="188">
                  <c:v>1.4577</c:v>
                </c:pt>
                <c:pt idx="189">
                  <c:v>1.4607000000000001</c:v>
                </c:pt>
                <c:pt idx="190">
                  <c:v>1.4629000000000001</c:v>
                </c:pt>
                <c:pt idx="191">
                  <c:v>1.4651000000000001</c:v>
                </c:pt>
                <c:pt idx="192">
                  <c:v>1.468</c:v>
                </c:pt>
                <c:pt idx="193">
                  <c:v>1.4702</c:v>
                </c:pt>
                <c:pt idx="194">
                  <c:v>1.4723999999999999</c:v>
                </c:pt>
                <c:pt idx="195">
                  <c:v>1.4745999999999999</c:v>
                </c:pt>
                <c:pt idx="196">
                  <c:v>1.4775</c:v>
                </c:pt>
                <c:pt idx="197">
                  <c:v>1.4797</c:v>
                </c:pt>
                <c:pt idx="198">
                  <c:v>1.4819</c:v>
                </c:pt>
                <c:pt idx="199">
                  <c:v>1.4841</c:v>
                </c:pt>
                <c:pt idx="200">
                  <c:v>1.4870000000000001</c:v>
                </c:pt>
                <c:pt idx="201">
                  <c:v>1.4892000000000001</c:v>
                </c:pt>
                <c:pt idx="202">
                  <c:v>1.4914000000000001</c:v>
                </c:pt>
                <c:pt idx="203">
                  <c:v>1.4944</c:v>
                </c:pt>
                <c:pt idx="204">
                  <c:v>1.4964999999999999</c:v>
                </c:pt>
                <c:pt idx="205">
                  <c:v>1.4986999999999999</c:v>
                </c:pt>
                <c:pt idx="206">
                  <c:v>1.5008999999999999</c:v>
                </c:pt>
                <c:pt idx="207">
                  <c:v>1.5039</c:v>
                </c:pt>
                <c:pt idx="208">
                  <c:v>1.5061</c:v>
                </c:pt>
                <c:pt idx="209">
                  <c:v>1.5083</c:v>
                </c:pt>
                <c:pt idx="210">
                  <c:v>1.5112000000000001</c:v>
                </c:pt>
                <c:pt idx="211">
                  <c:v>1.5134000000000001</c:v>
                </c:pt>
                <c:pt idx="212">
                  <c:v>1.5156000000000001</c:v>
                </c:pt>
                <c:pt idx="213">
                  <c:v>1.5178</c:v>
                </c:pt>
                <c:pt idx="214">
                  <c:v>1.5206999999999999</c:v>
                </c:pt>
                <c:pt idx="215">
                  <c:v>1.5228999999999999</c:v>
                </c:pt>
                <c:pt idx="216">
                  <c:v>1.5250999999999999</c:v>
                </c:pt>
                <c:pt idx="217">
                  <c:v>1.5273000000000001</c:v>
                </c:pt>
                <c:pt idx="218">
                  <c:v>1.5302</c:v>
                </c:pt>
                <c:pt idx="219">
                  <c:v>1.5324</c:v>
                </c:pt>
                <c:pt idx="220">
                  <c:v>1.5346</c:v>
                </c:pt>
                <c:pt idx="221">
                  <c:v>1.5376000000000001</c:v>
                </c:pt>
                <c:pt idx="222">
                  <c:v>1.5398000000000001</c:v>
                </c:pt>
                <c:pt idx="223">
                  <c:v>1.542</c:v>
                </c:pt>
                <c:pt idx="224">
                  <c:v>1.5442</c:v>
                </c:pt>
                <c:pt idx="225">
                  <c:v>1.5470999999999999</c:v>
                </c:pt>
                <c:pt idx="226">
                  <c:v>1.5492999999999999</c:v>
                </c:pt>
                <c:pt idx="227">
                  <c:v>1.5515000000000001</c:v>
                </c:pt>
                <c:pt idx="228">
                  <c:v>1.5544</c:v>
                </c:pt>
                <c:pt idx="229">
                  <c:v>1.5566</c:v>
                </c:pt>
                <c:pt idx="230">
                  <c:v>1.5588</c:v>
                </c:pt>
                <c:pt idx="231">
                  <c:v>1.5609999999999999</c:v>
                </c:pt>
                <c:pt idx="232">
                  <c:v>1.5639000000000001</c:v>
                </c:pt>
                <c:pt idx="233">
                  <c:v>1.5661</c:v>
                </c:pt>
                <c:pt idx="234">
                  <c:v>1.5683</c:v>
                </c:pt>
                <c:pt idx="235">
                  <c:v>1.5705</c:v>
                </c:pt>
                <c:pt idx="236">
                  <c:v>1.5734999999999999</c:v>
                </c:pt>
                <c:pt idx="237">
                  <c:v>1.5757000000000001</c:v>
                </c:pt>
                <c:pt idx="238">
                  <c:v>1.5779000000000001</c:v>
                </c:pt>
                <c:pt idx="239">
                  <c:v>1.5808</c:v>
                </c:pt>
                <c:pt idx="240">
                  <c:v>1.583</c:v>
                </c:pt>
                <c:pt idx="241">
                  <c:v>1.5851999999999999</c:v>
                </c:pt>
                <c:pt idx="242">
                  <c:v>1.5873999999999999</c:v>
                </c:pt>
                <c:pt idx="243">
                  <c:v>1.5903</c:v>
                </c:pt>
                <c:pt idx="244">
                  <c:v>1.5925</c:v>
                </c:pt>
                <c:pt idx="245">
                  <c:v>1.5947</c:v>
                </c:pt>
                <c:pt idx="246">
                  <c:v>1.5975999999999999</c:v>
                </c:pt>
                <c:pt idx="247">
                  <c:v>1.5998000000000001</c:v>
                </c:pt>
                <c:pt idx="248">
                  <c:v>1.6020000000000001</c:v>
                </c:pt>
                <c:pt idx="249">
                  <c:v>1.6042000000000001</c:v>
                </c:pt>
                <c:pt idx="250">
                  <c:v>1.6072</c:v>
                </c:pt>
                <c:pt idx="251">
                  <c:v>1.6093999999999999</c:v>
                </c:pt>
                <c:pt idx="252">
                  <c:v>1.6115999999999999</c:v>
                </c:pt>
                <c:pt idx="253">
                  <c:v>1.6145</c:v>
                </c:pt>
                <c:pt idx="254">
                  <c:v>1.6167</c:v>
                </c:pt>
                <c:pt idx="255">
                  <c:v>1.6189</c:v>
                </c:pt>
                <c:pt idx="256">
                  <c:v>1.6211</c:v>
                </c:pt>
                <c:pt idx="257">
                  <c:v>1.6240000000000001</c:v>
                </c:pt>
                <c:pt idx="258">
                  <c:v>1.6262000000000001</c:v>
                </c:pt>
                <c:pt idx="259">
                  <c:v>1.6284000000000001</c:v>
                </c:pt>
                <c:pt idx="260">
                  <c:v>1.6306</c:v>
                </c:pt>
                <c:pt idx="261">
                  <c:v>1.6335</c:v>
                </c:pt>
                <c:pt idx="262">
                  <c:v>1.6356999999999999</c:v>
                </c:pt>
                <c:pt idx="263">
                  <c:v>1.6378999999999999</c:v>
                </c:pt>
                <c:pt idx="264">
                  <c:v>1.6409</c:v>
                </c:pt>
                <c:pt idx="265">
                  <c:v>1.6431</c:v>
                </c:pt>
                <c:pt idx="266">
                  <c:v>1.6452</c:v>
                </c:pt>
                <c:pt idx="267">
                  <c:v>1.6474</c:v>
                </c:pt>
                <c:pt idx="268">
                  <c:v>1.6504000000000001</c:v>
                </c:pt>
                <c:pt idx="269">
                  <c:v>1.6526000000000001</c:v>
                </c:pt>
                <c:pt idx="270">
                  <c:v>1.6548</c:v>
                </c:pt>
                <c:pt idx="271">
                  <c:v>1.6577</c:v>
                </c:pt>
                <c:pt idx="272">
                  <c:v>1.6598999999999999</c:v>
                </c:pt>
                <c:pt idx="273">
                  <c:v>1.6620999999999999</c:v>
                </c:pt>
                <c:pt idx="274">
                  <c:v>1.6642999999999999</c:v>
                </c:pt>
                <c:pt idx="275">
                  <c:v>1.6672</c:v>
                </c:pt>
                <c:pt idx="276">
                  <c:v>1.6694</c:v>
                </c:pt>
                <c:pt idx="277">
                  <c:v>1.6716</c:v>
                </c:pt>
                <c:pt idx="278">
                  <c:v>1.6738</c:v>
                </c:pt>
                <c:pt idx="279">
                  <c:v>1.6767000000000001</c:v>
                </c:pt>
                <c:pt idx="280">
                  <c:v>1.6789000000000001</c:v>
                </c:pt>
                <c:pt idx="281">
                  <c:v>1.6811</c:v>
                </c:pt>
                <c:pt idx="282">
                  <c:v>1.6840999999999999</c:v>
                </c:pt>
                <c:pt idx="283">
                  <c:v>1.6862999999999999</c:v>
                </c:pt>
                <c:pt idx="284">
                  <c:v>1.6884999999999999</c:v>
                </c:pt>
                <c:pt idx="285">
                  <c:v>1.6907000000000001</c:v>
                </c:pt>
                <c:pt idx="286">
                  <c:v>1.6936</c:v>
                </c:pt>
                <c:pt idx="287">
                  <c:v>1.6958</c:v>
                </c:pt>
                <c:pt idx="288">
                  <c:v>1.698</c:v>
                </c:pt>
                <c:pt idx="289">
                  <c:v>1.7009000000000001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7-4DE7-B476-AE9F3C4EFF2F}"/>
            </c:ext>
          </c:extLst>
        </c:ser>
        <c:ser>
          <c:idx val="2"/>
          <c:order val="2"/>
          <c:tx>
            <c:strRef>
              <c:f>'Design_cal (2)'!$R$206</c:f>
              <c:strCache>
                <c:ptCount val="1"/>
                <c:pt idx="0">
                  <c:v>Total Cost ( RS crores)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'Design_cal (2)'!$B$207:$B$496</c:f>
              <c:numCache>
                <c:formatCode>General</c:formatCode>
                <c:ptCount val="290"/>
                <c:pt idx="0">
                  <c:v>1.05</c:v>
                </c:pt>
                <c:pt idx="1">
                  <c:v>1.0529999999999999</c:v>
                </c:pt>
                <c:pt idx="2">
                  <c:v>1.0569999999999999</c:v>
                </c:pt>
                <c:pt idx="3">
                  <c:v>1.06</c:v>
                </c:pt>
                <c:pt idx="4">
                  <c:v>1.0629999999999999</c:v>
                </c:pt>
                <c:pt idx="5">
                  <c:v>1.0660000000000001</c:v>
                </c:pt>
                <c:pt idx="6">
                  <c:v>1.07</c:v>
                </c:pt>
                <c:pt idx="7">
                  <c:v>1.073</c:v>
                </c:pt>
                <c:pt idx="8">
                  <c:v>1.0760000000000001</c:v>
                </c:pt>
                <c:pt idx="9">
                  <c:v>1.08</c:v>
                </c:pt>
                <c:pt idx="10">
                  <c:v>1.083</c:v>
                </c:pt>
                <c:pt idx="11">
                  <c:v>1.0860000000000001</c:v>
                </c:pt>
                <c:pt idx="12">
                  <c:v>1.089</c:v>
                </c:pt>
                <c:pt idx="13">
                  <c:v>1.093</c:v>
                </c:pt>
                <c:pt idx="14">
                  <c:v>1.0960000000000001</c:v>
                </c:pt>
                <c:pt idx="15">
                  <c:v>1.099</c:v>
                </c:pt>
                <c:pt idx="16">
                  <c:v>1.1020000000000001</c:v>
                </c:pt>
                <c:pt idx="17">
                  <c:v>1.1060000000000001</c:v>
                </c:pt>
                <c:pt idx="18">
                  <c:v>1.109</c:v>
                </c:pt>
                <c:pt idx="19">
                  <c:v>1.1120000000000001</c:v>
                </c:pt>
                <c:pt idx="20">
                  <c:v>1.1160000000000001</c:v>
                </c:pt>
                <c:pt idx="21">
                  <c:v>1.119</c:v>
                </c:pt>
                <c:pt idx="22">
                  <c:v>1.1220000000000001</c:v>
                </c:pt>
                <c:pt idx="23">
                  <c:v>1.125</c:v>
                </c:pt>
                <c:pt idx="24">
                  <c:v>1.129</c:v>
                </c:pt>
                <c:pt idx="25">
                  <c:v>1.1319999999999999</c:v>
                </c:pt>
                <c:pt idx="26">
                  <c:v>1.135</c:v>
                </c:pt>
                <c:pt idx="27">
                  <c:v>1.139</c:v>
                </c:pt>
                <c:pt idx="28">
                  <c:v>1.1419999999999999</c:v>
                </c:pt>
                <c:pt idx="29">
                  <c:v>1.145</c:v>
                </c:pt>
                <c:pt idx="30">
                  <c:v>1.1479999999999999</c:v>
                </c:pt>
                <c:pt idx="31">
                  <c:v>1.1519999999999999</c:v>
                </c:pt>
                <c:pt idx="32">
                  <c:v>1.155</c:v>
                </c:pt>
                <c:pt idx="33">
                  <c:v>1.1579999999999999</c:v>
                </c:pt>
                <c:pt idx="34">
                  <c:v>1.161</c:v>
                </c:pt>
                <c:pt idx="35">
                  <c:v>1.165</c:v>
                </c:pt>
                <c:pt idx="36">
                  <c:v>1.1679999999999999</c:v>
                </c:pt>
                <c:pt idx="37">
                  <c:v>1.171</c:v>
                </c:pt>
                <c:pt idx="38">
                  <c:v>1.175</c:v>
                </c:pt>
                <c:pt idx="39">
                  <c:v>1.1779999999999999</c:v>
                </c:pt>
                <c:pt idx="40">
                  <c:v>1.181</c:v>
                </c:pt>
                <c:pt idx="41">
                  <c:v>1.1839999999999999</c:v>
                </c:pt>
                <c:pt idx="42">
                  <c:v>1.1879999999999999</c:v>
                </c:pt>
                <c:pt idx="43">
                  <c:v>1.1910000000000001</c:v>
                </c:pt>
                <c:pt idx="44">
                  <c:v>1.194</c:v>
                </c:pt>
                <c:pt idx="45">
                  <c:v>1.198</c:v>
                </c:pt>
                <c:pt idx="46">
                  <c:v>1.2010000000000001</c:v>
                </c:pt>
                <c:pt idx="47">
                  <c:v>1.204</c:v>
                </c:pt>
                <c:pt idx="48">
                  <c:v>1.2070000000000001</c:v>
                </c:pt>
                <c:pt idx="49">
                  <c:v>1.2110000000000001</c:v>
                </c:pt>
                <c:pt idx="50">
                  <c:v>1.214</c:v>
                </c:pt>
                <c:pt idx="51">
                  <c:v>1.2170000000000001</c:v>
                </c:pt>
                <c:pt idx="52">
                  <c:v>1.22</c:v>
                </c:pt>
                <c:pt idx="53">
                  <c:v>1.224</c:v>
                </c:pt>
                <c:pt idx="54">
                  <c:v>1.2270000000000001</c:v>
                </c:pt>
                <c:pt idx="55">
                  <c:v>1.23</c:v>
                </c:pt>
                <c:pt idx="56">
                  <c:v>1.234</c:v>
                </c:pt>
                <c:pt idx="57">
                  <c:v>1.2370000000000001</c:v>
                </c:pt>
                <c:pt idx="58">
                  <c:v>1.24</c:v>
                </c:pt>
                <c:pt idx="59">
                  <c:v>1.2430000000000001</c:v>
                </c:pt>
                <c:pt idx="60">
                  <c:v>1.2470000000000001</c:v>
                </c:pt>
                <c:pt idx="61">
                  <c:v>1.25</c:v>
                </c:pt>
                <c:pt idx="62">
                  <c:v>1.2529999999999999</c:v>
                </c:pt>
                <c:pt idx="63">
                  <c:v>1.2569999999999999</c:v>
                </c:pt>
                <c:pt idx="64">
                  <c:v>1.26</c:v>
                </c:pt>
                <c:pt idx="65">
                  <c:v>1.2629999999999999</c:v>
                </c:pt>
                <c:pt idx="66">
                  <c:v>1.266</c:v>
                </c:pt>
                <c:pt idx="67">
                  <c:v>1.27</c:v>
                </c:pt>
                <c:pt idx="68">
                  <c:v>1.2729999999999999</c:v>
                </c:pt>
                <c:pt idx="69">
                  <c:v>1.276</c:v>
                </c:pt>
                <c:pt idx="70">
                  <c:v>1.28</c:v>
                </c:pt>
                <c:pt idx="71">
                  <c:v>1.2829999999999999</c:v>
                </c:pt>
                <c:pt idx="72">
                  <c:v>1.286</c:v>
                </c:pt>
                <c:pt idx="73">
                  <c:v>1.2889999999999999</c:v>
                </c:pt>
                <c:pt idx="74">
                  <c:v>1.2929999999999999</c:v>
                </c:pt>
                <c:pt idx="75">
                  <c:v>1.296</c:v>
                </c:pt>
                <c:pt idx="76">
                  <c:v>1.2989999999999999</c:v>
                </c:pt>
                <c:pt idx="77">
                  <c:v>1.302</c:v>
                </c:pt>
                <c:pt idx="78">
                  <c:v>1.306</c:v>
                </c:pt>
                <c:pt idx="79">
                  <c:v>1.3089999999999999</c:v>
                </c:pt>
                <c:pt idx="80">
                  <c:v>1.3120000000000001</c:v>
                </c:pt>
                <c:pt idx="81">
                  <c:v>1.3160000000000001</c:v>
                </c:pt>
                <c:pt idx="82">
                  <c:v>1.319</c:v>
                </c:pt>
                <c:pt idx="83">
                  <c:v>1.3220000000000001</c:v>
                </c:pt>
                <c:pt idx="84">
                  <c:v>1.325</c:v>
                </c:pt>
                <c:pt idx="85">
                  <c:v>1.329</c:v>
                </c:pt>
                <c:pt idx="86">
                  <c:v>1.3320000000000001</c:v>
                </c:pt>
                <c:pt idx="87">
                  <c:v>1.335</c:v>
                </c:pt>
                <c:pt idx="88">
                  <c:v>1.339</c:v>
                </c:pt>
                <c:pt idx="89">
                  <c:v>1.3420000000000001</c:v>
                </c:pt>
                <c:pt idx="90">
                  <c:v>1.345</c:v>
                </c:pt>
                <c:pt idx="91">
                  <c:v>1.3480000000000001</c:v>
                </c:pt>
                <c:pt idx="92">
                  <c:v>1.3520000000000001</c:v>
                </c:pt>
                <c:pt idx="93">
                  <c:v>1.355</c:v>
                </c:pt>
                <c:pt idx="94">
                  <c:v>1.3580000000000001</c:v>
                </c:pt>
                <c:pt idx="95">
                  <c:v>1.361</c:v>
                </c:pt>
                <c:pt idx="96">
                  <c:v>1.365</c:v>
                </c:pt>
                <c:pt idx="97">
                  <c:v>1.3680000000000001</c:v>
                </c:pt>
                <c:pt idx="98">
                  <c:v>1.371</c:v>
                </c:pt>
                <c:pt idx="99">
                  <c:v>1.375</c:v>
                </c:pt>
                <c:pt idx="100">
                  <c:v>1.3779999999999999</c:v>
                </c:pt>
                <c:pt idx="101">
                  <c:v>1.381</c:v>
                </c:pt>
                <c:pt idx="102">
                  <c:v>1.3839999999999999</c:v>
                </c:pt>
                <c:pt idx="103">
                  <c:v>1.3879999999999999</c:v>
                </c:pt>
                <c:pt idx="104">
                  <c:v>1.391</c:v>
                </c:pt>
                <c:pt idx="105">
                  <c:v>1.3939999999999999</c:v>
                </c:pt>
                <c:pt idx="106">
                  <c:v>1.3979999999999999</c:v>
                </c:pt>
                <c:pt idx="107">
                  <c:v>1.401</c:v>
                </c:pt>
                <c:pt idx="108">
                  <c:v>1.4039999999999999</c:v>
                </c:pt>
                <c:pt idx="109">
                  <c:v>1.407</c:v>
                </c:pt>
                <c:pt idx="110">
                  <c:v>1.411</c:v>
                </c:pt>
                <c:pt idx="111">
                  <c:v>1.4139999999999999</c:v>
                </c:pt>
                <c:pt idx="112">
                  <c:v>1.417</c:v>
                </c:pt>
                <c:pt idx="113">
                  <c:v>1.42</c:v>
                </c:pt>
                <c:pt idx="114">
                  <c:v>1.4239999999999999</c:v>
                </c:pt>
                <c:pt idx="115">
                  <c:v>1.427</c:v>
                </c:pt>
                <c:pt idx="116">
                  <c:v>1.43</c:v>
                </c:pt>
                <c:pt idx="117">
                  <c:v>1.4339999999999999</c:v>
                </c:pt>
                <c:pt idx="118">
                  <c:v>1.4370000000000001</c:v>
                </c:pt>
                <c:pt idx="119">
                  <c:v>1.44</c:v>
                </c:pt>
                <c:pt idx="120">
                  <c:v>1.4430000000000001</c:v>
                </c:pt>
                <c:pt idx="121">
                  <c:v>1.4470000000000001</c:v>
                </c:pt>
                <c:pt idx="122">
                  <c:v>1.45</c:v>
                </c:pt>
                <c:pt idx="123">
                  <c:v>1.4530000000000001</c:v>
                </c:pt>
                <c:pt idx="124">
                  <c:v>1.4570000000000001</c:v>
                </c:pt>
                <c:pt idx="125">
                  <c:v>1.46</c:v>
                </c:pt>
                <c:pt idx="126">
                  <c:v>1.4630000000000001</c:v>
                </c:pt>
                <c:pt idx="127">
                  <c:v>1.466</c:v>
                </c:pt>
                <c:pt idx="128">
                  <c:v>1.47</c:v>
                </c:pt>
                <c:pt idx="129">
                  <c:v>1.4730000000000001</c:v>
                </c:pt>
                <c:pt idx="130">
                  <c:v>1.476</c:v>
                </c:pt>
                <c:pt idx="131">
                  <c:v>1.48</c:v>
                </c:pt>
                <c:pt idx="132">
                  <c:v>1.4830000000000001</c:v>
                </c:pt>
                <c:pt idx="133">
                  <c:v>1.486</c:v>
                </c:pt>
                <c:pt idx="134">
                  <c:v>1.4890000000000001</c:v>
                </c:pt>
                <c:pt idx="135">
                  <c:v>1.4930000000000001</c:v>
                </c:pt>
                <c:pt idx="136">
                  <c:v>1.496</c:v>
                </c:pt>
                <c:pt idx="137">
                  <c:v>1.4990000000000001</c:v>
                </c:pt>
                <c:pt idx="138">
                  <c:v>1.502</c:v>
                </c:pt>
                <c:pt idx="139">
                  <c:v>1.506</c:v>
                </c:pt>
                <c:pt idx="140">
                  <c:v>1.5089999999999999</c:v>
                </c:pt>
                <c:pt idx="141">
                  <c:v>1.512</c:v>
                </c:pt>
                <c:pt idx="142">
                  <c:v>1.516</c:v>
                </c:pt>
                <c:pt idx="143">
                  <c:v>1.5189999999999999</c:v>
                </c:pt>
                <c:pt idx="144">
                  <c:v>1.522</c:v>
                </c:pt>
                <c:pt idx="145">
                  <c:v>1.5249999999999999</c:v>
                </c:pt>
                <c:pt idx="146">
                  <c:v>1.5289999999999999</c:v>
                </c:pt>
                <c:pt idx="147">
                  <c:v>1.532</c:v>
                </c:pt>
                <c:pt idx="148">
                  <c:v>1.5349999999999999</c:v>
                </c:pt>
                <c:pt idx="149">
                  <c:v>1.5389999999999999</c:v>
                </c:pt>
                <c:pt idx="150">
                  <c:v>1.542</c:v>
                </c:pt>
                <c:pt idx="151">
                  <c:v>1.5449999999999999</c:v>
                </c:pt>
                <c:pt idx="152">
                  <c:v>1.548</c:v>
                </c:pt>
                <c:pt idx="153">
                  <c:v>1.552</c:v>
                </c:pt>
                <c:pt idx="154">
                  <c:v>1.5549999999999999</c:v>
                </c:pt>
                <c:pt idx="155">
                  <c:v>1.5580000000000001</c:v>
                </c:pt>
                <c:pt idx="156">
                  <c:v>1.5609999999999999</c:v>
                </c:pt>
                <c:pt idx="157">
                  <c:v>1.5649999999999999</c:v>
                </c:pt>
                <c:pt idx="158">
                  <c:v>1.5680000000000001</c:v>
                </c:pt>
                <c:pt idx="159">
                  <c:v>1.571</c:v>
                </c:pt>
                <c:pt idx="160">
                  <c:v>1.575</c:v>
                </c:pt>
                <c:pt idx="161">
                  <c:v>1.5780000000000001</c:v>
                </c:pt>
                <c:pt idx="162">
                  <c:v>1.581</c:v>
                </c:pt>
                <c:pt idx="163">
                  <c:v>1.5840000000000001</c:v>
                </c:pt>
                <c:pt idx="164">
                  <c:v>1.5880000000000001</c:v>
                </c:pt>
                <c:pt idx="165">
                  <c:v>1.591</c:v>
                </c:pt>
                <c:pt idx="166">
                  <c:v>1.5940000000000001</c:v>
                </c:pt>
                <c:pt idx="167">
                  <c:v>1.5980000000000001</c:v>
                </c:pt>
                <c:pt idx="168">
                  <c:v>1.601</c:v>
                </c:pt>
                <c:pt idx="169">
                  <c:v>1.6040000000000001</c:v>
                </c:pt>
                <c:pt idx="170">
                  <c:v>1.607</c:v>
                </c:pt>
                <c:pt idx="171">
                  <c:v>1.611</c:v>
                </c:pt>
                <c:pt idx="172">
                  <c:v>1.6140000000000001</c:v>
                </c:pt>
                <c:pt idx="173">
                  <c:v>1.617</c:v>
                </c:pt>
                <c:pt idx="174">
                  <c:v>1.62</c:v>
                </c:pt>
                <c:pt idx="175">
                  <c:v>1.6240000000000001</c:v>
                </c:pt>
                <c:pt idx="176">
                  <c:v>1.627</c:v>
                </c:pt>
                <c:pt idx="177">
                  <c:v>1.63</c:v>
                </c:pt>
                <c:pt idx="178">
                  <c:v>1.6339999999999999</c:v>
                </c:pt>
                <c:pt idx="179">
                  <c:v>1.637</c:v>
                </c:pt>
                <c:pt idx="180">
                  <c:v>1.64</c:v>
                </c:pt>
                <c:pt idx="181">
                  <c:v>1.643</c:v>
                </c:pt>
                <c:pt idx="182">
                  <c:v>1.647</c:v>
                </c:pt>
                <c:pt idx="183">
                  <c:v>1.65</c:v>
                </c:pt>
                <c:pt idx="184">
                  <c:v>1.653</c:v>
                </c:pt>
                <c:pt idx="185">
                  <c:v>1.657</c:v>
                </c:pt>
                <c:pt idx="186">
                  <c:v>1.66</c:v>
                </c:pt>
                <c:pt idx="187">
                  <c:v>1.663</c:v>
                </c:pt>
                <c:pt idx="188">
                  <c:v>1.6659999999999999</c:v>
                </c:pt>
                <c:pt idx="189">
                  <c:v>1.67</c:v>
                </c:pt>
                <c:pt idx="190">
                  <c:v>1.673</c:v>
                </c:pt>
                <c:pt idx="191">
                  <c:v>1.6759999999999999</c:v>
                </c:pt>
                <c:pt idx="192">
                  <c:v>1.68</c:v>
                </c:pt>
                <c:pt idx="193">
                  <c:v>1.6830000000000001</c:v>
                </c:pt>
                <c:pt idx="194">
                  <c:v>1.6859999999999999</c:v>
                </c:pt>
                <c:pt idx="195">
                  <c:v>1.6890000000000001</c:v>
                </c:pt>
                <c:pt idx="196">
                  <c:v>1.6930000000000001</c:v>
                </c:pt>
                <c:pt idx="197">
                  <c:v>1.696</c:v>
                </c:pt>
                <c:pt idx="198">
                  <c:v>1.6990000000000001</c:v>
                </c:pt>
                <c:pt idx="199">
                  <c:v>1.702</c:v>
                </c:pt>
                <c:pt idx="200">
                  <c:v>1.706</c:v>
                </c:pt>
                <c:pt idx="201">
                  <c:v>1.7090000000000001</c:v>
                </c:pt>
                <c:pt idx="202">
                  <c:v>1.712</c:v>
                </c:pt>
                <c:pt idx="203">
                  <c:v>1.716</c:v>
                </c:pt>
                <c:pt idx="204">
                  <c:v>1.7190000000000001</c:v>
                </c:pt>
                <c:pt idx="205">
                  <c:v>1.722</c:v>
                </c:pt>
                <c:pt idx="206">
                  <c:v>1.7250000000000001</c:v>
                </c:pt>
                <c:pt idx="207">
                  <c:v>1.7290000000000001</c:v>
                </c:pt>
                <c:pt idx="208">
                  <c:v>1.732</c:v>
                </c:pt>
                <c:pt idx="209">
                  <c:v>1.7350000000000001</c:v>
                </c:pt>
                <c:pt idx="210">
                  <c:v>1.7390000000000001</c:v>
                </c:pt>
                <c:pt idx="211">
                  <c:v>1.742</c:v>
                </c:pt>
                <c:pt idx="212">
                  <c:v>1.7450000000000001</c:v>
                </c:pt>
                <c:pt idx="213">
                  <c:v>1.748</c:v>
                </c:pt>
                <c:pt idx="214">
                  <c:v>1.752</c:v>
                </c:pt>
                <c:pt idx="215">
                  <c:v>1.7549999999999999</c:v>
                </c:pt>
                <c:pt idx="216">
                  <c:v>1.758</c:v>
                </c:pt>
                <c:pt idx="217">
                  <c:v>1.7609999999999999</c:v>
                </c:pt>
                <c:pt idx="218">
                  <c:v>1.7649999999999999</c:v>
                </c:pt>
                <c:pt idx="219">
                  <c:v>1.768</c:v>
                </c:pt>
                <c:pt idx="220">
                  <c:v>1.7709999999999999</c:v>
                </c:pt>
                <c:pt idx="221">
                  <c:v>1.7749999999999999</c:v>
                </c:pt>
                <c:pt idx="222">
                  <c:v>1.778</c:v>
                </c:pt>
                <c:pt idx="223">
                  <c:v>1.7809999999999999</c:v>
                </c:pt>
                <c:pt idx="224">
                  <c:v>1.784</c:v>
                </c:pt>
                <c:pt idx="225">
                  <c:v>1.788</c:v>
                </c:pt>
                <c:pt idx="226">
                  <c:v>1.7909999999999999</c:v>
                </c:pt>
                <c:pt idx="227">
                  <c:v>1.794</c:v>
                </c:pt>
                <c:pt idx="228">
                  <c:v>1.798</c:v>
                </c:pt>
                <c:pt idx="229">
                  <c:v>1.8009999999999999</c:v>
                </c:pt>
                <c:pt idx="230">
                  <c:v>1.804</c:v>
                </c:pt>
                <c:pt idx="231">
                  <c:v>1.8069999999999999</c:v>
                </c:pt>
                <c:pt idx="232">
                  <c:v>1.8109999999999999</c:v>
                </c:pt>
                <c:pt idx="233">
                  <c:v>1.8140000000000001</c:v>
                </c:pt>
                <c:pt idx="234">
                  <c:v>1.8169999999999999</c:v>
                </c:pt>
                <c:pt idx="235">
                  <c:v>1.82</c:v>
                </c:pt>
                <c:pt idx="236">
                  <c:v>1.8240000000000001</c:v>
                </c:pt>
                <c:pt idx="237">
                  <c:v>1.827</c:v>
                </c:pt>
                <c:pt idx="238">
                  <c:v>1.83</c:v>
                </c:pt>
                <c:pt idx="239">
                  <c:v>1.8340000000000001</c:v>
                </c:pt>
                <c:pt idx="240">
                  <c:v>1.837</c:v>
                </c:pt>
                <c:pt idx="241">
                  <c:v>1.84</c:v>
                </c:pt>
                <c:pt idx="242">
                  <c:v>1.843</c:v>
                </c:pt>
                <c:pt idx="243">
                  <c:v>1.847</c:v>
                </c:pt>
                <c:pt idx="244">
                  <c:v>1.85</c:v>
                </c:pt>
                <c:pt idx="245">
                  <c:v>1.853</c:v>
                </c:pt>
                <c:pt idx="246">
                  <c:v>1.857</c:v>
                </c:pt>
                <c:pt idx="247">
                  <c:v>1.86</c:v>
                </c:pt>
                <c:pt idx="248">
                  <c:v>1.863</c:v>
                </c:pt>
                <c:pt idx="249">
                  <c:v>1.8660000000000001</c:v>
                </c:pt>
                <c:pt idx="250">
                  <c:v>1.87</c:v>
                </c:pt>
                <c:pt idx="251">
                  <c:v>1.873</c:v>
                </c:pt>
                <c:pt idx="252">
                  <c:v>1.8759999999999999</c:v>
                </c:pt>
                <c:pt idx="253">
                  <c:v>1.88</c:v>
                </c:pt>
                <c:pt idx="254">
                  <c:v>1.883</c:v>
                </c:pt>
                <c:pt idx="255">
                  <c:v>1.8859999999999999</c:v>
                </c:pt>
                <c:pt idx="256">
                  <c:v>1.889</c:v>
                </c:pt>
                <c:pt idx="257">
                  <c:v>1.893</c:v>
                </c:pt>
                <c:pt idx="258">
                  <c:v>1.8959999999999999</c:v>
                </c:pt>
                <c:pt idx="259">
                  <c:v>1.899</c:v>
                </c:pt>
                <c:pt idx="260">
                  <c:v>1.9019999999999999</c:v>
                </c:pt>
                <c:pt idx="261">
                  <c:v>1.9059999999999999</c:v>
                </c:pt>
                <c:pt idx="262">
                  <c:v>1.909</c:v>
                </c:pt>
                <c:pt idx="263">
                  <c:v>1.9119999999999999</c:v>
                </c:pt>
                <c:pt idx="264">
                  <c:v>1.9159999999999999</c:v>
                </c:pt>
                <c:pt idx="265">
                  <c:v>1.919</c:v>
                </c:pt>
                <c:pt idx="266">
                  <c:v>1.9219999999999999</c:v>
                </c:pt>
                <c:pt idx="267">
                  <c:v>1.925</c:v>
                </c:pt>
                <c:pt idx="268">
                  <c:v>1.929</c:v>
                </c:pt>
                <c:pt idx="269">
                  <c:v>1.9319999999999999</c:v>
                </c:pt>
                <c:pt idx="270">
                  <c:v>1.9350000000000001</c:v>
                </c:pt>
                <c:pt idx="271">
                  <c:v>1.9390000000000001</c:v>
                </c:pt>
                <c:pt idx="272">
                  <c:v>1.9419999999999999</c:v>
                </c:pt>
                <c:pt idx="273">
                  <c:v>1.9450000000000001</c:v>
                </c:pt>
                <c:pt idx="274">
                  <c:v>1.948</c:v>
                </c:pt>
                <c:pt idx="275">
                  <c:v>1.952</c:v>
                </c:pt>
                <c:pt idx="276">
                  <c:v>1.9550000000000001</c:v>
                </c:pt>
                <c:pt idx="277">
                  <c:v>1.958</c:v>
                </c:pt>
                <c:pt idx="278">
                  <c:v>1.9610000000000001</c:v>
                </c:pt>
                <c:pt idx="279">
                  <c:v>1.9650000000000001</c:v>
                </c:pt>
                <c:pt idx="280">
                  <c:v>1.968</c:v>
                </c:pt>
                <c:pt idx="281">
                  <c:v>1.9710000000000001</c:v>
                </c:pt>
                <c:pt idx="282">
                  <c:v>1.9750000000000001</c:v>
                </c:pt>
                <c:pt idx="283">
                  <c:v>1.978</c:v>
                </c:pt>
                <c:pt idx="284">
                  <c:v>1.9810000000000001</c:v>
                </c:pt>
                <c:pt idx="285">
                  <c:v>1.984</c:v>
                </c:pt>
                <c:pt idx="286">
                  <c:v>1.988</c:v>
                </c:pt>
                <c:pt idx="287">
                  <c:v>1.9910000000000001</c:v>
                </c:pt>
                <c:pt idx="288">
                  <c:v>1.994</c:v>
                </c:pt>
                <c:pt idx="289">
                  <c:v>1.998</c:v>
                </c:pt>
              </c:numCache>
            </c:numRef>
          </c:xVal>
          <c:yVal>
            <c:numRef>
              <c:f>'Design_cal (2)'!$R$207:$R$496</c:f>
              <c:numCache>
                <c:formatCode>General</c:formatCode>
                <c:ptCount val="290"/>
                <c:pt idx="0">
                  <c:v>2.4570999999999996</c:v>
                </c:pt>
                <c:pt idx="1">
                  <c:v>2.4220999999999999</c:v>
                </c:pt>
                <c:pt idx="2">
                  <c:v>2.3889</c:v>
                </c:pt>
                <c:pt idx="3">
                  <c:v>2.3540000000000001</c:v>
                </c:pt>
                <c:pt idx="4">
                  <c:v>2.3569</c:v>
                </c:pt>
                <c:pt idx="5">
                  <c:v>2.3693999999999997</c:v>
                </c:pt>
                <c:pt idx="6">
                  <c:v>2.3733000000000004</c:v>
                </c:pt>
                <c:pt idx="7">
                  <c:v>2.3761999999999999</c:v>
                </c:pt>
                <c:pt idx="8">
                  <c:v>2.379</c:v>
                </c:pt>
                <c:pt idx="9">
                  <c:v>2.3829000000000002</c:v>
                </c:pt>
                <c:pt idx="10">
                  <c:v>2.3954</c:v>
                </c:pt>
                <c:pt idx="11">
                  <c:v>2.3605</c:v>
                </c:pt>
                <c:pt idx="12">
                  <c:v>2.3249</c:v>
                </c:pt>
                <c:pt idx="13">
                  <c:v>2.3287</c:v>
                </c:pt>
                <c:pt idx="14">
                  <c:v>2.3315999999999999</c:v>
                </c:pt>
                <c:pt idx="15">
                  <c:v>2.3433999999999999</c:v>
                </c:pt>
                <c:pt idx="16">
                  <c:v>2.3463000000000003</c:v>
                </c:pt>
                <c:pt idx="17">
                  <c:v>2.3501000000000003</c:v>
                </c:pt>
                <c:pt idx="18">
                  <c:v>2.3529999999999998</c:v>
                </c:pt>
                <c:pt idx="19">
                  <c:v>2.3117000000000001</c:v>
                </c:pt>
                <c:pt idx="20">
                  <c:v>2.3239999999999998</c:v>
                </c:pt>
                <c:pt idx="21">
                  <c:v>2.3269000000000002</c:v>
                </c:pt>
                <c:pt idx="22">
                  <c:v>2.3297999999999996</c:v>
                </c:pt>
                <c:pt idx="23">
                  <c:v>2.3327</c:v>
                </c:pt>
                <c:pt idx="24">
                  <c:v>2.3365999999999998</c:v>
                </c:pt>
                <c:pt idx="25">
                  <c:v>2.3479999999999999</c:v>
                </c:pt>
                <c:pt idx="26">
                  <c:v>2.3509000000000002</c:v>
                </c:pt>
                <c:pt idx="27">
                  <c:v>2.3548</c:v>
                </c:pt>
                <c:pt idx="28">
                  <c:v>2.2793000000000001</c:v>
                </c:pt>
                <c:pt idx="29">
                  <c:v>2.2822</c:v>
                </c:pt>
                <c:pt idx="30">
                  <c:v>2.2928999999999999</c:v>
                </c:pt>
                <c:pt idx="31">
                  <c:v>2.2967</c:v>
                </c:pt>
                <c:pt idx="32">
                  <c:v>2.2995999999999999</c:v>
                </c:pt>
                <c:pt idx="33">
                  <c:v>2.3025000000000002</c:v>
                </c:pt>
                <c:pt idx="34">
                  <c:v>2.3054000000000001</c:v>
                </c:pt>
                <c:pt idx="35">
                  <c:v>2.3170000000000002</c:v>
                </c:pt>
                <c:pt idx="36">
                  <c:v>2.3199000000000001</c:v>
                </c:pt>
                <c:pt idx="37">
                  <c:v>2.3228</c:v>
                </c:pt>
                <c:pt idx="38">
                  <c:v>2.3266999999999998</c:v>
                </c:pt>
                <c:pt idx="39">
                  <c:v>2.3296000000000001</c:v>
                </c:pt>
                <c:pt idx="40">
                  <c:v>2.3403</c:v>
                </c:pt>
                <c:pt idx="41">
                  <c:v>2.3431999999999999</c:v>
                </c:pt>
                <c:pt idx="42">
                  <c:v>2.347</c:v>
                </c:pt>
                <c:pt idx="43">
                  <c:v>2.3498999999999999</c:v>
                </c:pt>
                <c:pt idx="44">
                  <c:v>2.3528000000000002</c:v>
                </c:pt>
                <c:pt idx="45">
                  <c:v>2.3643999999999998</c:v>
                </c:pt>
                <c:pt idx="46">
                  <c:v>2.3673000000000002</c:v>
                </c:pt>
                <c:pt idx="47">
                  <c:v>2.3701999999999996</c:v>
                </c:pt>
                <c:pt idx="48">
                  <c:v>2.3731</c:v>
                </c:pt>
                <c:pt idx="49">
                  <c:v>2.3769</c:v>
                </c:pt>
                <c:pt idx="50">
                  <c:v>2.3877000000000002</c:v>
                </c:pt>
                <c:pt idx="51">
                  <c:v>2.3905000000000003</c:v>
                </c:pt>
                <c:pt idx="52">
                  <c:v>2.3933999999999997</c:v>
                </c:pt>
                <c:pt idx="53">
                  <c:v>2.2748999999999997</c:v>
                </c:pt>
                <c:pt idx="54">
                  <c:v>2.2778</c:v>
                </c:pt>
                <c:pt idx="55">
                  <c:v>2.2807000000000004</c:v>
                </c:pt>
                <c:pt idx="56">
                  <c:v>2.2912999999999997</c:v>
                </c:pt>
                <c:pt idx="57">
                  <c:v>2.2942</c:v>
                </c:pt>
                <c:pt idx="58">
                  <c:v>2.2970999999999999</c:v>
                </c:pt>
                <c:pt idx="59">
                  <c:v>2.2999999999999998</c:v>
                </c:pt>
                <c:pt idx="60">
                  <c:v>2.3037999999999998</c:v>
                </c:pt>
                <c:pt idx="61">
                  <c:v>2.3135000000000003</c:v>
                </c:pt>
                <c:pt idx="62">
                  <c:v>2.3163999999999998</c:v>
                </c:pt>
                <c:pt idx="63">
                  <c:v>2.3201999999999998</c:v>
                </c:pt>
                <c:pt idx="64">
                  <c:v>2.3231000000000002</c:v>
                </c:pt>
                <c:pt idx="65">
                  <c:v>2.3260000000000001</c:v>
                </c:pt>
                <c:pt idx="66">
                  <c:v>2.3356000000000003</c:v>
                </c:pt>
                <c:pt idx="67">
                  <c:v>2.3395999999999999</c:v>
                </c:pt>
                <c:pt idx="68">
                  <c:v>2.3425000000000002</c:v>
                </c:pt>
                <c:pt idx="69">
                  <c:v>2.3452999999999999</c:v>
                </c:pt>
                <c:pt idx="70">
                  <c:v>2.3491999999999997</c:v>
                </c:pt>
                <c:pt idx="71">
                  <c:v>2.3588</c:v>
                </c:pt>
                <c:pt idx="72">
                  <c:v>2.3616999999999999</c:v>
                </c:pt>
                <c:pt idx="73">
                  <c:v>2.3646000000000003</c:v>
                </c:pt>
                <c:pt idx="74">
                  <c:v>2.3684000000000003</c:v>
                </c:pt>
                <c:pt idx="75">
                  <c:v>2.3713000000000002</c:v>
                </c:pt>
                <c:pt idx="76">
                  <c:v>2.3742000000000001</c:v>
                </c:pt>
                <c:pt idx="77">
                  <c:v>2.3839000000000001</c:v>
                </c:pt>
                <c:pt idx="78">
                  <c:v>2.3876999999999997</c:v>
                </c:pt>
                <c:pt idx="79">
                  <c:v>2.3906000000000001</c:v>
                </c:pt>
                <c:pt idx="80">
                  <c:v>2.3935</c:v>
                </c:pt>
                <c:pt idx="81">
                  <c:v>2.3974000000000002</c:v>
                </c:pt>
                <c:pt idx="82">
                  <c:v>2.407</c:v>
                </c:pt>
                <c:pt idx="83">
                  <c:v>2.4098999999999999</c:v>
                </c:pt>
                <c:pt idx="84">
                  <c:v>2.4127000000000001</c:v>
                </c:pt>
                <c:pt idx="85">
                  <c:v>2.4167000000000001</c:v>
                </c:pt>
                <c:pt idx="86">
                  <c:v>2.4196</c:v>
                </c:pt>
                <c:pt idx="87">
                  <c:v>2.4291999999999998</c:v>
                </c:pt>
                <c:pt idx="88">
                  <c:v>2.4329999999999998</c:v>
                </c:pt>
                <c:pt idx="89">
                  <c:v>2.4359000000000002</c:v>
                </c:pt>
                <c:pt idx="90">
                  <c:v>2.4387999999999996</c:v>
                </c:pt>
                <c:pt idx="91">
                  <c:v>2.4417</c:v>
                </c:pt>
                <c:pt idx="92">
                  <c:v>2.4455</c:v>
                </c:pt>
                <c:pt idx="93">
                  <c:v>2.4552</c:v>
                </c:pt>
                <c:pt idx="94">
                  <c:v>2.4581</c:v>
                </c:pt>
                <c:pt idx="95">
                  <c:v>2.4609999999999999</c:v>
                </c:pt>
                <c:pt idx="96">
                  <c:v>2.4648000000000003</c:v>
                </c:pt>
                <c:pt idx="97">
                  <c:v>2.4676999999999998</c:v>
                </c:pt>
                <c:pt idx="98">
                  <c:v>2.4774000000000003</c:v>
                </c:pt>
                <c:pt idx="99">
                  <c:v>2.4813000000000001</c:v>
                </c:pt>
                <c:pt idx="100">
                  <c:v>2.4397000000000002</c:v>
                </c:pt>
                <c:pt idx="101">
                  <c:v>2.4426000000000001</c:v>
                </c:pt>
                <c:pt idx="102">
                  <c:v>2.4455</c:v>
                </c:pt>
                <c:pt idx="103">
                  <c:v>2.4493</c:v>
                </c:pt>
                <c:pt idx="104">
                  <c:v>2.4585999999999997</c:v>
                </c:pt>
                <c:pt idx="105">
                  <c:v>2.4615</c:v>
                </c:pt>
                <c:pt idx="106">
                  <c:v>2.4653</c:v>
                </c:pt>
                <c:pt idx="107">
                  <c:v>2.4681999999999999</c:v>
                </c:pt>
                <c:pt idx="108">
                  <c:v>2.4710999999999999</c:v>
                </c:pt>
                <c:pt idx="109">
                  <c:v>2.4803999999999999</c:v>
                </c:pt>
                <c:pt idx="110">
                  <c:v>2.4398999999999997</c:v>
                </c:pt>
                <c:pt idx="111">
                  <c:v>2.4428000000000001</c:v>
                </c:pt>
                <c:pt idx="112">
                  <c:v>2.4455999999999998</c:v>
                </c:pt>
                <c:pt idx="113">
                  <c:v>2.4485000000000001</c:v>
                </c:pt>
                <c:pt idx="114">
                  <c:v>2.4524999999999997</c:v>
                </c:pt>
                <c:pt idx="115">
                  <c:v>2.4614000000000003</c:v>
                </c:pt>
                <c:pt idx="116">
                  <c:v>2.4642999999999997</c:v>
                </c:pt>
                <c:pt idx="117">
                  <c:v>2.4680999999999997</c:v>
                </c:pt>
                <c:pt idx="118">
                  <c:v>2.4710000000000001</c:v>
                </c:pt>
                <c:pt idx="119">
                  <c:v>2.4739</c:v>
                </c:pt>
                <c:pt idx="120">
                  <c:v>2.4828999999999999</c:v>
                </c:pt>
                <c:pt idx="121">
                  <c:v>2.4866999999999999</c:v>
                </c:pt>
                <c:pt idx="122">
                  <c:v>2.4896000000000003</c:v>
                </c:pt>
                <c:pt idx="123">
                  <c:v>2.4925000000000002</c:v>
                </c:pt>
                <c:pt idx="124">
                  <c:v>2.5413999999999999</c:v>
                </c:pt>
                <c:pt idx="125">
                  <c:v>2.5442999999999998</c:v>
                </c:pt>
                <c:pt idx="126">
                  <c:v>2.5535999999999999</c:v>
                </c:pt>
                <c:pt idx="127">
                  <c:v>2.5564999999999998</c:v>
                </c:pt>
                <c:pt idx="128">
                  <c:v>2.5604</c:v>
                </c:pt>
                <c:pt idx="129">
                  <c:v>2.5632999999999999</c:v>
                </c:pt>
                <c:pt idx="130">
                  <c:v>2.5662000000000003</c:v>
                </c:pt>
                <c:pt idx="131">
                  <c:v>2.5763999999999996</c:v>
                </c:pt>
                <c:pt idx="132">
                  <c:v>2.5792999999999999</c:v>
                </c:pt>
                <c:pt idx="133">
                  <c:v>2.5822000000000003</c:v>
                </c:pt>
                <c:pt idx="134">
                  <c:v>2.5850999999999997</c:v>
                </c:pt>
                <c:pt idx="135">
                  <c:v>2.5888999999999998</c:v>
                </c:pt>
                <c:pt idx="136">
                  <c:v>2.5918000000000001</c:v>
                </c:pt>
                <c:pt idx="137">
                  <c:v>2.6010999999999997</c:v>
                </c:pt>
                <c:pt idx="138">
                  <c:v>2.6040000000000001</c:v>
                </c:pt>
                <c:pt idx="139">
                  <c:v>2.5617000000000001</c:v>
                </c:pt>
                <c:pt idx="140">
                  <c:v>2.5646</c:v>
                </c:pt>
                <c:pt idx="141">
                  <c:v>2.5674999999999999</c:v>
                </c:pt>
                <c:pt idx="142">
                  <c:v>2.5775000000000001</c:v>
                </c:pt>
                <c:pt idx="143">
                  <c:v>2.5803000000000003</c:v>
                </c:pt>
                <c:pt idx="144">
                  <c:v>2.5832000000000002</c:v>
                </c:pt>
                <c:pt idx="145">
                  <c:v>2.5861000000000001</c:v>
                </c:pt>
                <c:pt idx="146">
                  <c:v>2.59</c:v>
                </c:pt>
                <c:pt idx="147">
                  <c:v>2.5929000000000002</c:v>
                </c:pt>
                <c:pt idx="148">
                  <c:v>2.6017999999999999</c:v>
                </c:pt>
                <c:pt idx="149">
                  <c:v>2.6057000000000001</c:v>
                </c:pt>
                <c:pt idx="150">
                  <c:v>2.6086</c:v>
                </c:pt>
                <c:pt idx="151">
                  <c:v>2.6113999999999997</c:v>
                </c:pt>
                <c:pt idx="152">
                  <c:v>2.6143000000000001</c:v>
                </c:pt>
                <c:pt idx="153">
                  <c:v>2.6181999999999999</c:v>
                </c:pt>
                <c:pt idx="154">
                  <c:v>2.6271</c:v>
                </c:pt>
                <c:pt idx="155">
                  <c:v>2.63</c:v>
                </c:pt>
                <c:pt idx="156">
                  <c:v>2.6329000000000002</c:v>
                </c:pt>
                <c:pt idx="157">
                  <c:v>2.6366999999999998</c:v>
                </c:pt>
                <c:pt idx="158">
                  <c:v>2.6395999999999997</c:v>
                </c:pt>
                <c:pt idx="159">
                  <c:v>2.6425000000000001</c:v>
                </c:pt>
                <c:pt idx="160">
                  <c:v>2.6524999999999999</c:v>
                </c:pt>
                <c:pt idx="161">
                  <c:v>2.6554000000000002</c:v>
                </c:pt>
                <c:pt idx="162">
                  <c:v>2.6582999999999997</c:v>
                </c:pt>
                <c:pt idx="163">
                  <c:v>2.6612</c:v>
                </c:pt>
                <c:pt idx="164">
                  <c:v>2.665</c:v>
                </c:pt>
                <c:pt idx="165">
                  <c:v>2.6740000000000004</c:v>
                </c:pt>
                <c:pt idx="166">
                  <c:v>2.6768000000000001</c:v>
                </c:pt>
                <c:pt idx="167">
                  <c:v>2.6806999999999999</c:v>
                </c:pt>
                <c:pt idx="168">
                  <c:v>2.6836000000000002</c:v>
                </c:pt>
                <c:pt idx="169">
                  <c:v>2.6865000000000001</c:v>
                </c:pt>
                <c:pt idx="170">
                  <c:v>2.6893000000000002</c:v>
                </c:pt>
                <c:pt idx="171">
                  <c:v>2.6992000000000003</c:v>
                </c:pt>
                <c:pt idx="172">
                  <c:v>2.7020999999999997</c:v>
                </c:pt>
                <c:pt idx="173">
                  <c:v>2.7050000000000001</c:v>
                </c:pt>
                <c:pt idx="174">
                  <c:v>2.7079</c:v>
                </c:pt>
                <c:pt idx="175">
                  <c:v>2.7118000000000002</c:v>
                </c:pt>
                <c:pt idx="176">
                  <c:v>2.7147000000000001</c:v>
                </c:pt>
                <c:pt idx="177">
                  <c:v>2.7237</c:v>
                </c:pt>
                <c:pt idx="178">
                  <c:v>2.6780999999999997</c:v>
                </c:pt>
                <c:pt idx="179">
                  <c:v>2.681</c:v>
                </c:pt>
                <c:pt idx="180">
                  <c:v>2.6839000000000004</c:v>
                </c:pt>
                <c:pt idx="181">
                  <c:v>2.6867999999999999</c:v>
                </c:pt>
                <c:pt idx="182">
                  <c:v>2.6905999999999999</c:v>
                </c:pt>
                <c:pt idx="183">
                  <c:v>2.6992000000000003</c:v>
                </c:pt>
                <c:pt idx="184">
                  <c:v>2.7020999999999997</c:v>
                </c:pt>
                <c:pt idx="185">
                  <c:v>2.7058999999999997</c:v>
                </c:pt>
                <c:pt idx="186">
                  <c:v>2.7088000000000001</c:v>
                </c:pt>
                <c:pt idx="187">
                  <c:v>2.7117</c:v>
                </c:pt>
                <c:pt idx="188">
                  <c:v>2.7145999999999999</c:v>
                </c:pt>
                <c:pt idx="189">
                  <c:v>2.7242000000000002</c:v>
                </c:pt>
                <c:pt idx="190">
                  <c:v>2.7271000000000001</c:v>
                </c:pt>
                <c:pt idx="191">
                  <c:v>2.73</c:v>
                </c:pt>
                <c:pt idx="192">
                  <c:v>2.7338</c:v>
                </c:pt>
                <c:pt idx="193">
                  <c:v>2.7366999999999999</c:v>
                </c:pt>
                <c:pt idx="194">
                  <c:v>2.7396000000000003</c:v>
                </c:pt>
                <c:pt idx="195">
                  <c:v>2.7481999999999998</c:v>
                </c:pt>
                <c:pt idx="196">
                  <c:v>2.7521</c:v>
                </c:pt>
                <c:pt idx="197">
                  <c:v>2.7549000000000001</c:v>
                </c:pt>
                <c:pt idx="198">
                  <c:v>2.7578</c:v>
                </c:pt>
                <c:pt idx="199">
                  <c:v>2.7606999999999999</c:v>
                </c:pt>
                <c:pt idx="200">
                  <c:v>2.7703000000000002</c:v>
                </c:pt>
                <c:pt idx="201">
                  <c:v>2.7732000000000001</c:v>
                </c:pt>
                <c:pt idx="202">
                  <c:v>2.7761</c:v>
                </c:pt>
                <c:pt idx="203">
                  <c:v>2.7800000000000002</c:v>
                </c:pt>
                <c:pt idx="204">
                  <c:v>2.7827999999999999</c:v>
                </c:pt>
                <c:pt idx="205">
                  <c:v>2.7856999999999998</c:v>
                </c:pt>
                <c:pt idx="206">
                  <c:v>2.7885</c:v>
                </c:pt>
                <c:pt idx="207">
                  <c:v>2.7982</c:v>
                </c:pt>
                <c:pt idx="208">
                  <c:v>2.8010999999999999</c:v>
                </c:pt>
                <c:pt idx="209">
                  <c:v>2.8040000000000003</c:v>
                </c:pt>
                <c:pt idx="210">
                  <c:v>2.8078000000000003</c:v>
                </c:pt>
                <c:pt idx="211">
                  <c:v>2.8106999999999998</c:v>
                </c:pt>
                <c:pt idx="212">
                  <c:v>2.8136000000000001</c:v>
                </c:pt>
                <c:pt idx="213">
                  <c:v>2.8222</c:v>
                </c:pt>
                <c:pt idx="214">
                  <c:v>2.8259999999999996</c:v>
                </c:pt>
                <c:pt idx="215">
                  <c:v>2.8289</c:v>
                </c:pt>
                <c:pt idx="216">
                  <c:v>2.8317999999999999</c:v>
                </c:pt>
                <c:pt idx="217">
                  <c:v>2.8346999999999998</c:v>
                </c:pt>
                <c:pt idx="218">
                  <c:v>2.8441999999999998</c:v>
                </c:pt>
                <c:pt idx="219">
                  <c:v>2.8471000000000002</c:v>
                </c:pt>
                <c:pt idx="220">
                  <c:v>2.8499999999999996</c:v>
                </c:pt>
                <c:pt idx="221">
                  <c:v>2.8539000000000003</c:v>
                </c:pt>
                <c:pt idx="222">
                  <c:v>2.8567999999999998</c:v>
                </c:pt>
                <c:pt idx="223">
                  <c:v>2.8597000000000001</c:v>
                </c:pt>
                <c:pt idx="224">
                  <c:v>2.8626</c:v>
                </c:pt>
                <c:pt idx="225">
                  <c:v>2.8720999999999997</c:v>
                </c:pt>
                <c:pt idx="226">
                  <c:v>2.875</c:v>
                </c:pt>
                <c:pt idx="227">
                  <c:v>2.8779000000000003</c:v>
                </c:pt>
                <c:pt idx="228">
                  <c:v>2.8816999999999999</c:v>
                </c:pt>
                <c:pt idx="229">
                  <c:v>2.8845999999999998</c:v>
                </c:pt>
                <c:pt idx="230">
                  <c:v>2.8361999999999998</c:v>
                </c:pt>
                <c:pt idx="231">
                  <c:v>2.8445</c:v>
                </c:pt>
                <c:pt idx="232">
                  <c:v>2.8483000000000001</c:v>
                </c:pt>
                <c:pt idx="233">
                  <c:v>2.8512</c:v>
                </c:pt>
                <c:pt idx="234">
                  <c:v>2.8540999999999999</c:v>
                </c:pt>
                <c:pt idx="235">
                  <c:v>2.8570000000000002</c:v>
                </c:pt>
                <c:pt idx="236">
                  <c:v>2.8609</c:v>
                </c:pt>
                <c:pt idx="237">
                  <c:v>2.8692000000000002</c:v>
                </c:pt>
                <c:pt idx="238">
                  <c:v>2.8721000000000001</c:v>
                </c:pt>
                <c:pt idx="239">
                  <c:v>2.8758999999999997</c:v>
                </c:pt>
                <c:pt idx="240">
                  <c:v>2.8788</c:v>
                </c:pt>
                <c:pt idx="241">
                  <c:v>2.8816999999999999</c:v>
                </c:pt>
                <c:pt idx="242">
                  <c:v>2.8845999999999998</c:v>
                </c:pt>
                <c:pt idx="243">
                  <c:v>2.8938000000000001</c:v>
                </c:pt>
                <c:pt idx="244">
                  <c:v>2.8966000000000003</c:v>
                </c:pt>
                <c:pt idx="245">
                  <c:v>2.8994999999999997</c:v>
                </c:pt>
                <c:pt idx="246">
                  <c:v>2.9034</c:v>
                </c:pt>
                <c:pt idx="247">
                  <c:v>2.9062999999999999</c:v>
                </c:pt>
                <c:pt idx="248">
                  <c:v>2.9091</c:v>
                </c:pt>
                <c:pt idx="249">
                  <c:v>2.9173999999999998</c:v>
                </c:pt>
                <c:pt idx="250">
                  <c:v>2.9213</c:v>
                </c:pt>
                <c:pt idx="251">
                  <c:v>2.9241999999999999</c:v>
                </c:pt>
                <c:pt idx="252">
                  <c:v>2.9270999999999998</c:v>
                </c:pt>
                <c:pt idx="253">
                  <c:v>2.9309000000000003</c:v>
                </c:pt>
                <c:pt idx="254">
                  <c:v>2.9337999999999997</c:v>
                </c:pt>
                <c:pt idx="255">
                  <c:v>2.9420999999999999</c:v>
                </c:pt>
                <c:pt idx="256">
                  <c:v>2.9450000000000003</c:v>
                </c:pt>
                <c:pt idx="257">
                  <c:v>2.9488000000000003</c:v>
                </c:pt>
                <c:pt idx="258">
                  <c:v>2.9516999999999998</c:v>
                </c:pt>
                <c:pt idx="259">
                  <c:v>2.9546000000000001</c:v>
                </c:pt>
                <c:pt idx="260">
                  <c:v>2.9575</c:v>
                </c:pt>
                <c:pt idx="261">
                  <c:v>2.9666999999999999</c:v>
                </c:pt>
                <c:pt idx="262">
                  <c:v>2.9695999999999998</c:v>
                </c:pt>
                <c:pt idx="263">
                  <c:v>2.9725000000000001</c:v>
                </c:pt>
                <c:pt idx="264">
                  <c:v>2.9763999999999999</c:v>
                </c:pt>
                <c:pt idx="265">
                  <c:v>2.9793000000000003</c:v>
                </c:pt>
                <c:pt idx="266">
                  <c:v>2.9821</c:v>
                </c:pt>
                <c:pt idx="267">
                  <c:v>2.9848999999999997</c:v>
                </c:pt>
                <c:pt idx="268">
                  <c:v>2.9942000000000002</c:v>
                </c:pt>
                <c:pt idx="269">
                  <c:v>2.9971000000000001</c:v>
                </c:pt>
                <c:pt idx="270">
                  <c:v>3</c:v>
                </c:pt>
                <c:pt idx="271">
                  <c:v>3.0038</c:v>
                </c:pt>
                <c:pt idx="272">
                  <c:v>3.0066999999999999</c:v>
                </c:pt>
                <c:pt idx="273">
                  <c:v>3.0095999999999998</c:v>
                </c:pt>
                <c:pt idx="274">
                  <c:v>3.0179</c:v>
                </c:pt>
                <c:pt idx="275">
                  <c:v>3.0217000000000001</c:v>
                </c:pt>
                <c:pt idx="276">
                  <c:v>3.0246</c:v>
                </c:pt>
                <c:pt idx="277">
                  <c:v>3.0274999999999999</c:v>
                </c:pt>
                <c:pt idx="278">
                  <c:v>3.0304000000000002</c:v>
                </c:pt>
                <c:pt idx="279">
                  <c:v>3.0342000000000002</c:v>
                </c:pt>
                <c:pt idx="280">
                  <c:v>3.0425</c:v>
                </c:pt>
                <c:pt idx="281">
                  <c:v>3.0453999999999999</c:v>
                </c:pt>
                <c:pt idx="282">
                  <c:v>3.0492999999999997</c:v>
                </c:pt>
                <c:pt idx="283">
                  <c:v>3.0522</c:v>
                </c:pt>
                <c:pt idx="284">
                  <c:v>3.0550999999999999</c:v>
                </c:pt>
                <c:pt idx="285">
                  <c:v>3.0579999999999998</c:v>
                </c:pt>
                <c:pt idx="286">
                  <c:v>3.0617999999999999</c:v>
                </c:pt>
                <c:pt idx="287">
                  <c:v>3.0700000000000003</c:v>
                </c:pt>
                <c:pt idx="288">
                  <c:v>3.0728999999999997</c:v>
                </c:pt>
                <c:pt idx="289">
                  <c:v>3.0768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27-4DE7-B476-AE9F3C4E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5744"/>
        <c:axId val="334792464"/>
      </c:scatterChart>
      <c:valAx>
        <c:axId val="334795744"/>
        <c:scaling>
          <c:orientation val="minMax"/>
          <c:max val="2.049999999999999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R/R_min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2464"/>
        <c:crosses val="autoZero"/>
        <c:crossBetween val="midCat"/>
      </c:valAx>
      <c:valAx>
        <c:axId val="3347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Annual</a:t>
                </a:r>
                <a:r>
                  <a:rPr lang="en-IN" baseline="0"/>
                  <a:t> Cost in Crores(Rs)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2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15551</xdr:colOff>
      <xdr:row>4</xdr:row>
      <xdr:rowOff>38877</xdr:rowOff>
    </xdr:from>
    <xdr:to>
      <xdr:col>16</xdr:col>
      <xdr:colOff>287693</xdr:colOff>
      <xdr:row>24</xdr:row>
      <xdr:rowOff>124408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F0E19-14B0-D338-5E93-EC08314E8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46300</xdr:colOff>
      <xdr:row>31</xdr:row>
      <xdr:rowOff>18419</xdr:rowOff>
    </xdr:from>
    <xdr:to>
      <xdr:col>4</xdr:col>
      <xdr:colOff>153859</xdr:colOff>
      <xdr:row>33</xdr:row>
      <xdr:rowOff>92093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1985E-F679-DCB3-F17B-0635AD65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959" y="5677663"/>
          <a:ext cx="1279883" cy="445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15187</xdr:rowOff>
    </xdr:from>
    <xdr:to>
      <xdr:col>4</xdr:col>
      <xdr:colOff>438462</xdr:colOff>
      <xdr:row>43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EC2DB7-8217-B145-6971-5EE85B18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58047"/>
          <a:ext cx="4930140" cy="321998"/>
        </a:xfrm>
        <a:prstGeom prst="rect">
          <a:avLst/>
        </a:prstGeom>
      </xdr:spPr>
    </xdr:pic>
    <xdr:clientData/>
  </xdr:twoCellAnchor>
  <xdr:twoCellAnchor editAs="oneCell">
    <xdr:from>
      <xdr:col>0</xdr:col>
      <xdr:colOff>55756</xdr:colOff>
      <xdr:row>51</xdr:row>
      <xdr:rowOff>51160</xdr:rowOff>
    </xdr:from>
    <xdr:to>
      <xdr:col>1</xdr:col>
      <xdr:colOff>677126</xdr:colOff>
      <xdr:row>54</xdr:row>
      <xdr:rowOff>147260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0B9A13-9366-FC65-2A84-029B57B2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56" y="9427477"/>
          <a:ext cx="3010829" cy="6536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4687</xdr:rowOff>
    </xdr:from>
    <xdr:to>
      <xdr:col>0</xdr:col>
      <xdr:colOff>2341757</xdr:colOff>
      <xdr:row>61</xdr:row>
      <xdr:rowOff>2022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3AD8E5-093C-0BF1-FAF3-3A5A36989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0681980"/>
          <a:ext cx="2341756" cy="550470"/>
        </a:xfrm>
        <a:prstGeom prst="rect">
          <a:avLst/>
        </a:prstGeom>
      </xdr:spPr>
    </xdr:pic>
    <xdr:clientData/>
  </xdr:twoCellAnchor>
  <xdr:twoCellAnchor editAs="oneCell">
    <xdr:from>
      <xdr:col>0</xdr:col>
      <xdr:colOff>18585</xdr:colOff>
      <xdr:row>121</xdr:row>
      <xdr:rowOff>18586</xdr:rowOff>
    </xdr:from>
    <xdr:to>
      <xdr:col>4</xdr:col>
      <xdr:colOff>202123</xdr:colOff>
      <xdr:row>123</xdr:row>
      <xdr:rowOff>73403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AF77C9-2313-25DE-C8F5-6472E39BA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85" y="21298830"/>
          <a:ext cx="4671122" cy="426523"/>
        </a:xfrm>
        <a:prstGeom prst="rect">
          <a:avLst/>
        </a:prstGeom>
      </xdr:spPr>
    </xdr:pic>
    <xdr:clientData/>
  </xdr:twoCellAnchor>
  <xdr:twoCellAnchor>
    <xdr:from>
      <xdr:col>19</xdr:col>
      <xdr:colOff>607016</xdr:colOff>
      <xdr:row>297</xdr:row>
      <xdr:rowOff>0</xdr:rowOff>
    </xdr:from>
    <xdr:to>
      <xdr:col>39</xdr:col>
      <xdr:colOff>193728</xdr:colOff>
      <xdr:row>332</xdr:row>
      <xdr:rowOff>103322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9D78C4-2780-4FB9-8ABF-462D6D1D2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260195</xdr:colOff>
      <xdr:row>28</xdr:row>
      <xdr:rowOff>87350</xdr:rowOff>
    </xdr:from>
    <xdr:to>
      <xdr:col>16</xdr:col>
      <xdr:colOff>399585</xdr:colOff>
      <xdr:row>59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C2884-DB63-BF17-23C4-017E41C7E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46300</xdr:colOff>
      <xdr:row>31</xdr:row>
      <xdr:rowOff>18419</xdr:rowOff>
    </xdr:from>
    <xdr:to>
      <xdr:col>3</xdr:col>
      <xdr:colOff>626218</xdr:colOff>
      <xdr:row>33</xdr:row>
      <xdr:rowOff>92093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606FD2-DB86-4F15-BE7A-BC9DCDA0C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3860" y="5771519"/>
          <a:ext cx="1281370" cy="4394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15187</xdr:rowOff>
    </xdr:from>
    <xdr:to>
      <xdr:col>4</xdr:col>
      <xdr:colOff>208027</xdr:colOff>
      <xdr:row>43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CEA87A-1B20-4A19-9073-D84875E85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79967"/>
          <a:ext cx="4926660" cy="321998"/>
        </a:xfrm>
        <a:prstGeom prst="rect">
          <a:avLst/>
        </a:prstGeom>
      </xdr:spPr>
    </xdr:pic>
    <xdr:clientData/>
  </xdr:twoCellAnchor>
  <xdr:twoCellAnchor editAs="oneCell">
    <xdr:from>
      <xdr:col>0</xdr:col>
      <xdr:colOff>55756</xdr:colOff>
      <xdr:row>51</xdr:row>
      <xdr:rowOff>51160</xdr:rowOff>
    </xdr:from>
    <xdr:to>
      <xdr:col>1</xdr:col>
      <xdr:colOff>677126</xdr:colOff>
      <xdr:row>54</xdr:row>
      <xdr:rowOff>147260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256F74-7E83-44A1-9098-140E07E28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56" y="9461860"/>
          <a:ext cx="3006430" cy="6447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4687</xdr:rowOff>
    </xdr:from>
    <xdr:to>
      <xdr:col>0</xdr:col>
      <xdr:colOff>2341757</xdr:colOff>
      <xdr:row>61</xdr:row>
      <xdr:rowOff>2022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2EE9AE-222D-4415-839E-1CCB4097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0695547"/>
          <a:ext cx="2341756" cy="545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18585</xdr:colOff>
      <xdr:row>121</xdr:row>
      <xdr:rowOff>18586</xdr:rowOff>
    </xdr:from>
    <xdr:to>
      <xdr:col>3</xdr:col>
      <xdr:colOff>650163</xdr:colOff>
      <xdr:row>123</xdr:row>
      <xdr:rowOff>73403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7AF3FC-87C9-40D7-8FFC-EC0A93F3D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85" y="22360426"/>
          <a:ext cx="4670590" cy="420577"/>
        </a:xfrm>
        <a:prstGeom prst="rect">
          <a:avLst/>
        </a:prstGeom>
      </xdr:spPr>
    </xdr:pic>
    <xdr:clientData/>
  </xdr:twoCellAnchor>
  <xdr:twoCellAnchor>
    <xdr:from>
      <xdr:col>19</xdr:col>
      <xdr:colOff>607016</xdr:colOff>
      <xdr:row>293</xdr:row>
      <xdr:rowOff>0</xdr:rowOff>
    </xdr:from>
    <xdr:to>
      <xdr:col>39</xdr:col>
      <xdr:colOff>193728</xdr:colOff>
      <xdr:row>328</xdr:row>
      <xdr:rowOff>103322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5C27FB-DEA1-488F-B973-4D9B0AEF4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</xdr:rowOff>
    </xdr:from>
    <xdr:to>
      <xdr:col>2</xdr:col>
      <xdr:colOff>309420</xdr:colOff>
      <xdr:row>15</xdr:row>
      <xdr:rowOff>87710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E22C2-5C40-C41A-73C2-8E120270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5060"/>
          <a:ext cx="3200400" cy="255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22861</xdr:rowOff>
    </xdr:from>
    <xdr:to>
      <xdr:col>1</xdr:col>
      <xdr:colOff>69755</xdr:colOff>
      <xdr:row>19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F21F56-7AD3-7CDD-42FA-C9238B921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24201"/>
          <a:ext cx="2346960" cy="335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68646</xdr:rowOff>
    </xdr:from>
    <xdr:to>
      <xdr:col>5</xdr:col>
      <xdr:colOff>9084</xdr:colOff>
      <xdr:row>28</xdr:row>
      <xdr:rowOff>111967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79BFDF-4AD7-0591-E423-BA25A2DA4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69241"/>
          <a:ext cx="4793895" cy="414023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64</xdr:row>
      <xdr:rowOff>0</xdr:rowOff>
    </xdr:from>
    <xdr:to>
      <xdr:col>4</xdr:col>
      <xdr:colOff>373378</xdr:colOff>
      <xdr:row>67</xdr:row>
      <xdr:rowOff>65961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21E13C-B23E-65F0-85EE-9568359F5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1780" y="10782300"/>
          <a:ext cx="1356360" cy="614601"/>
        </a:xfrm>
        <a:prstGeom prst="rect">
          <a:avLst/>
        </a:prstGeom>
      </xdr:spPr>
    </xdr:pic>
    <xdr:clientData/>
  </xdr:twoCellAnchor>
  <xdr:twoCellAnchor editAs="oneCell">
    <xdr:from>
      <xdr:col>2</xdr:col>
      <xdr:colOff>358140</xdr:colOff>
      <xdr:row>67</xdr:row>
      <xdr:rowOff>198120</xdr:rowOff>
    </xdr:from>
    <xdr:to>
      <xdr:col>4</xdr:col>
      <xdr:colOff>312418</xdr:colOff>
      <xdr:row>70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3A70F1-6AC7-FF4E-8EA5-62C2C704E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72740" y="11529060"/>
          <a:ext cx="1234440" cy="462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22472</xdr:rowOff>
    </xdr:from>
    <xdr:to>
      <xdr:col>3</xdr:col>
      <xdr:colOff>263699</xdr:colOff>
      <xdr:row>73</xdr:row>
      <xdr:rowOff>144779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F7A3F9-FD17-F20B-4CEB-54C383B7D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313532"/>
          <a:ext cx="3825240" cy="3051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434340</xdr:colOff>
      <xdr:row>73</xdr:row>
      <xdr:rowOff>152400</xdr:rowOff>
    </xdr:from>
    <xdr:to>
      <xdr:col>5</xdr:col>
      <xdr:colOff>220978</xdr:colOff>
      <xdr:row>76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89D324-62A5-1632-FD99-C89358B1B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24448" y="14129265"/>
          <a:ext cx="1681341" cy="540815"/>
        </a:xfrm>
        <a:prstGeom prst="rect">
          <a:avLst/>
        </a:prstGeom>
      </xdr:spPr>
    </xdr:pic>
    <xdr:clientData/>
  </xdr:twoCellAnchor>
  <xdr:twoCellAnchor editAs="oneCell">
    <xdr:from>
      <xdr:col>2</xdr:col>
      <xdr:colOff>440831</xdr:colOff>
      <xdr:row>77</xdr:row>
      <xdr:rowOff>48751</xdr:rowOff>
    </xdr:from>
    <xdr:to>
      <xdr:col>5</xdr:col>
      <xdr:colOff>328281</xdr:colOff>
      <xdr:row>80</xdr:row>
      <xdr:rowOff>130510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A4A553-C867-EB41-9712-2524A576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0395" y="14511662"/>
          <a:ext cx="1781134" cy="624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259080</xdr:rowOff>
    </xdr:from>
    <xdr:to>
      <xdr:col>1</xdr:col>
      <xdr:colOff>475779</xdr:colOff>
      <xdr:row>112</xdr:row>
      <xdr:rowOff>142880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9B382F-6FBA-306F-F8CC-680CC59C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322540"/>
          <a:ext cx="2758440" cy="3333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1</xdr:rowOff>
    </xdr:from>
    <xdr:to>
      <xdr:col>2</xdr:col>
      <xdr:colOff>256081</xdr:colOff>
      <xdr:row>119</xdr:row>
      <xdr:rowOff>152402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671191-CE33-8FA3-283D-74AB7ACBC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427441"/>
          <a:ext cx="3147060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7620</xdr:rowOff>
    </xdr:from>
    <xdr:to>
      <xdr:col>1</xdr:col>
      <xdr:colOff>301799</xdr:colOff>
      <xdr:row>122</xdr:row>
      <xdr:rowOff>167640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A3811F-425B-13DB-376E-BADF2333F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166580"/>
          <a:ext cx="258318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4</xdr:col>
      <xdr:colOff>179878</xdr:colOff>
      <xdr:row>126</xdr:row>
      <xdr:rowOff>160020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96BA66-FE5D-E274-BD17-D9486A901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753320"/>
          <a:ext cx="4351020" cy="5257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</xdr:colOff>
      <xdr:row>135</xdr:row>
      <xdr:rowOff>7620</xdr:rowOff>
    </xdr:from>
    <xdr:to>
      <xdr:col>3</xdr:col>
      <xdr:colOff>121919</xdr:colOff>
      <xdr:row>136</xdr:row>
      <xdr:rowOff>52408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66FA53-3211-127B-6A69-43E13C761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59381" y="24818340"/>
          <a:ext cx="784859" cy="2276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136</xdr:row>
      <xdr:rowOff>22861</xdr:rowOff>
    </xdr:from>
    <xdr:to>
      <xdr:col>3</xdr:col>
      <xdr:colOff>36561</xdr:colOff>
      <xdr:row>137</xdr:row>
      <xdr:rowOff>163350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8083B8-192F-F3A3-9CBE-2B89FD65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5016461"/>
          <a:ext cx="3596639" cy="323368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397567</xdr:colOff>
      <xdr:row>156</xdr:row>
      <xdr:rowOff>33131</xdr:rowOff>
    </xdr:from>
    <xdr:to>
      <xdr:col>5</xdr:col>
      <xdr:colOff>372791</xdr:colOff>
      <xdr:row>158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FEDD51-B607-9BAF-8E58-5FE74C25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62741" y="28591566"/>
          <a:ext cx="1871942" cy="3313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53554</xdr:rowOff>
    </xdr:from>
    <xdr:to>
      <xdr:col>2</xdr:col>
      <xdr:colOff>107674</xdr:colOff>
      <xdr:row>158</xdr:row>
      <xdr:rowOff>140805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B2AFE1-8658-C83B-B5D9-21ADC554C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8794206"/>
          <a:ext cx="2998304" cy="269469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132522</xdr:colOff>
      <xdr:row>159</xdr:row>
      <xdr:rowOff>124239</xdr:rowOff>
    </xdr:from>
    <xdr:to>
      <xdr:col>4</xdr:col>
      <xdr:colOff>588065</xdr:colOff>
      <xdr:row>161</xdr:row>
      <xdr:rowOff>165653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7C9A23C-AB98-376D-B162-73CD03206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652631" y="29229326"/>
          <a:ext cx="1068456" cy="4058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890015</xdr:colOff>
      <xdr:row>76</xdr:row>
      <xdr:rowOff>145499</xdr:rowOff>
    </xdr:from>
    <xdr:to>
      <xdr:col>6</xdr:col>
      <xdr:colOff>112213</xdr:colOff>
      <xdr:row>79</xdr:row>
      <xdr:rowOff>12253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26E8F-780D-4460-86BF-09948E3BB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9075" y="14227259"/>
          <a:ext cx="5013398" cy="415394"/>
        </a:xfrm>
        <a:prstGeom prst="rect">
          <a:avLst/>
        </a:prstGeom>
      </xdr:spPr>
    </xdr:pic>
    <xdr:clientData/>
  </xdr:twoCellAnchor>
  <xdr:twoCellAnchor editAs="oneCell">
    <xdr:from>
      <xdr:col>5</xdr:col>
      <xdr:colOff>486834</xdr:colOff>
      <xdr:row>79</xdr:row>
      <xdr:rowOff>134056</xdr:rowOff>
    </xdr:from>
    <xdr:to>
      <xdr:col>12</xdr:col>
      <xdr:colOff>438471</xdr:colOff>
      <xdr:row>84</xdr:row>
      <xdr:rowOff>93210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0B242-308F-4BD3-B5BB-82128841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94" y="14764456"/>
          <a:ext cx="5361837" cy="873554"/>
        </a:xfrm>
        <a:prstGeom prst="rect">
          <a:avLst/>
        </a:prstGeom>
      </xdr:spPr>
    </xdr:pic>
    <xdr:clientData/>
  </xdr:twoCellAnchor>
  <xdr:twoCellAnchor>
    <xdr:from>
      <xdr:col>7</xdr:col>
      <xdr:colOff>287694</xdr:colOff>
      <xdr:row>98</xdr:row>
      <xdr:rowOff>113524</xdr:rowOff>
    </xdr:from>
    <xdr:to>
      <xdr:col>20</xdr:col>
      <xdr:colOff>373223</xdr:colOff>
      <xdr:row>121</xdr:row>
      <xdr:rowOff>7776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4025A-2660-4855-B00A-87CB2269C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368968</xdr:colOff>
      <xdr:row>34</xdr:row>
      <xdr:rowOff>117329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AD76DA-90E0-4D59-9CA2-260314A15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52160"/>
          <a:ext cx="4278028" cy="4830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328863</xdr:colOff>
      <xdr:row>37</xdr:row>
      <xdr:rowOff>107564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272F64-F280-49EF-BCFE-E28451106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400800"/>
          <a:ext cx="4237923" cy="4733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111349</xdr:colOff>
      <xdr:row>29</xdr:row>
      <xdr:rowOff>111347</xdr:rowOff>
    </xdr:from>
    <xdr:to>
      <xdr:col>4</xdr:col>
      <xdr:colOff>71671</xdr:colOff>
      <xdr:row>32</xdr:row>
      <xdr:rowOff>2140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CEAF8-0E66-4D53-853C-D89317812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4649" y="5498687"/>
          <a:ext cx="1286202" cy="439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15187</xdr:rowOff>
    </xdr:from>
    <xdr:to>
      <xdr:col>4</xdr:col>
      <xdr:colOff>62040</xdr:colOff>
      <xdr:row>42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F1AEA4-613A-4EED-BFD5-C1E33BC57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97087"/>
          <a:ext cx="4931220" cy="321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76200</xdr:rowOff>
    </xdr:from>
    <xdr:to>
      <xdr:col>1</xdr:col>
      <xdr:colOff>717228</xdr:colOff>
      <xdr:row>52</xdr:row>
      <xdr:rowOff>91505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B8A9A6-A3D5-434E-8FC5-405D85AF9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38260"/>
          <a:ext cx="3483288" cy="74682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55</xdr:row>
      <xdr:rowOff>175260</xdr:rowOff>
    </xdr:from>
    <xdr:to>
      <xdr:col>1</xdr:col>
      <xdr:colOff>39051</xdr:colOff>
      <xdr:row>59</xdr:row>
      <xdr:rowOff>91496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11100A-461E-47D5-8301-3C78F94BA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10317480"/>
          <a:ext cx="2797491" cy="647756"/>
        </a:xfrm>
        <a:prstGeom prst="rect">
          <a:avLst/>
        </a:prstGeom>
      </xdr:spPr>
    </xdr:pic>
    <xdr:clientData/>
  </xdr:twoCellAnchor>
  <xdr:twoCellAnchor editAs="oneCell">
    <xdr:from>
      <xdr:col>7</xdr:col>
      <xdr:colOff>399889</xdr:colOff>
      <xdr:row>51</xdr:row>
      <xdr:rowOff>34335</xdr:rowOff>
    </xdr:from>
    <xdr:to>
      <xdr:col>10</xdr:col>
      <xdr:colOff>159565</xdr:colOff>
      <xdr:row>74</xdr:row>
      <xdr:rowOff>20135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B4FBF1-F4BC-4681-AF5A-8F112E29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6862" y="9569632"/>
          <a:ext cx="2505622" cy="4248881"/>
        </a:xfrm>
        <a:prstGeom prst="rect">
          <a:avLst/>
        </a:prstGeom>
      </xdr:spPr>
    </xdr:pic>
    <xdr:clientData/>
  </xdr:twoCellAnchor>
  <xdr:twoCellAnchor editAs="oneCell">
    <xdr:from>
      <xdr:col>0</xdr:col>
      <xdr:colOff>18585</xdr:colOff>
      <xdr:row>120</xdr:row>
      <xdr:rowOff>18586</xdr:rowOff>
    </xdr:from>
    <xdr:to>
      <xdr:col>3</xdr:col>
      <xdr:colOff>489414</xdr:colOff>
      <xdr:row>122</xdr:row>
      <xdr:rowOff>73403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69AB67-238F-40F4-A7D1-EC9F2E7BA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85" y="22063246"/>
          <a:ext cx="4677069" cy="420577"/>
        </a:xfrm>
        <a:prstGeom prst="rect">
          <a:avLst/>
        </a:prstGeom>
      </xdr:spPr>
    </xdr:pic>
    <xdr:clientData/>
  </xdr:twoCellAnchor>
  <xdr:twoCellAnchor>
    <xdr:from>
      <xdr:col>10</xdr:col>
      <xdr:colOff>120134</xdr:colOff>
      <xdr:row>213</xdr:row>
      <xdr:rowOff>28831</xdr:rowOff>
    </xdr:from>
    <xdr:to>
      <xdr:col>19</xdr:col>
      <xdr:colOff>61784</xdr:colOff>
      <xdr:row>238</xdr:row>
      <xdr:rowOff>130432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6E376-E771-4B9A-8A25-796AF845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29256-412B-4831-9E8E-494EBB6D01E1}" name="Cost_table" displayName="Cost_table" ref="B248:W268" totalsRowShown="0" headerRowDxfId="19" tableBorderDxfId="18">
  <autoFilter ref="B248:W268" xr:uid="{6F629256-412B-4831-9E8E-494EBB6D01E1}"/>
  <tableColumns count="22">
    <tableColumn id="1" xr3:uid="{50D80CAB-BF3A-4C4C-8763-1C2206FAD21E}" name="R/R_m" dataDxfId="17"/>
    <tableColumn id="21" xr3:uid="{FF9AC6A0-D1FE-47D8-B379-79E512548BC7}" name="Ideal Rectifying stages"/>
    <tableColumn id="22" xr3:uid="{6BD25738-9098-45CB-943A-8F2E911CE310}" name="Ideal Stripping stages"/>
    <tableColumn id="19" xr3:uid="{67A95C1F-63B7-4026-A040-9048A5222902}" name="Ideal Stages"/>
    <tableColumn id="20" xr3:uid="{D9EC14A9-3541-456A-A9AF-46795E7EE4A3}" name="Actual Rectifying Stages"/>
    <tableColumn id="18" xr3:uid="{0FFDE654-5D5D-42D3-A0BC-6622B140C731}" name="Actual Stripping"/>
    <tableColumn id="2" xr3:uid="{B0185EA1-2B43-452A-AD07-9603B729097F}" name="Actual Stages"/>
    <tableColumn id="3" xr3:uid="{0DF65394-A1D5-4B0D-8C93-1F666B9BF233}" name="F_LV" dataDxfId="16">
      <calculatedColumnFormula>(($B$12*(B249*$B$20)*$B$4*$B$14/3600)/($B$12*(B249*$B$20+1)*$B$4*$B$14/3600))*SQRT($B$25/$B$26)</calculatedColumnFormula>
    </tableColumn>
    <tableColumn id="4" xr3:uid="{8D3A7E29-964F-41AA-AE3D-6F4BA64A8ACE}" name="C_sb" dataDxfId="15">
      <calculatedColumnFormula>EXP(INDEX(TS_array,MATCH($B$42,Tray_space,0),1)*((LN(I249))^3)+INDEX(TS_array,MATCH($B$42,Tray_space,0),2)*((LN(I249))^2)+INDEX(TS_array,MATCH($B$42,Tray_space,0),3)*(LN(I249))+INDEX(TS_array,MATCH($B$42,Tray_space,0),4)-1.188)</calculatedColumnFormula>
    </tableColumn>
    <tableColumn id="5" xr3:uid="{2FF06D28-602D-4B2A-9865-BEC3C1ABCE14}" name="U_V,n" dataDxfId="14">
      <calculatedColumnFormula>$B$48*(($B$49/20)^0.2)*J249*SQRT(($B$26-$B$25)/$B$25)</calculatedColumnFormula>
    </tableColumn>
    <tableColumn id="6" xr3:uid="{437A89E2-CE3D-40A5-BAB2-98A7DC4B6704}" name="Tower Diameter(m)" dataDxfId="13">
      <calculatedColumnFormula>10^-3*ROUND(ROUND(((4*($B$12*(B249*$B$20+1)*$B$4*$B$14/3600))/($B$25*PI()*(1-$B$58)*K249))^0.5,2)*1000+HLOOKUP(ROUND(((4*($B$12*(B249*$B$20+1)*$B$4*$B$14/3600))/($B$25*PI()*(1-$B$58)*K249))^0.5,2)*1000,$B$65:$E$66,2),0)</calculatedColumnFormula>
    </tableColumn>
    <tableColumn id="7" xr3:uid="{C175A30C-D62A-4CEC-8985-B3995DDC4CB8}" name="Tower Height">
      <calculatedColumnFormula>ROUND((((H249-ROUND(H249/10,0)-1)*$B$42)+1.5*$B$42+$B$79+ROUND(H249/10,0)*1200+2*$B$42)*10^-3,1)</calculatedColumnFormula>
    </tableColumn>
    <tableColumn id="8" xr3:uid="{12FB331E-0855-46B7-81EE-34F257CA90E3}" name="Col_tray_cost">
      <calculatedColumnFormula>(PI()*(L249)*($B$89*10^-3)*$B$90*$B$91*M249)+(_xlfn.FORECAST.LINEAR(39.3701*L249,$B$95:$B$99,$A$95:$A$99))*H249</calculatedColumnFormula>
    </tableColumn>
    <tableColumn id="9" xr3:uid="{8A8C0682-1D94-4768-B404-2CE0B71D7F7F}" name="Q_c (W)">
      <calculatedColumnFormula>$B$115*($B$20*B249+1)/($B$20*$B$21+1)</calculatedColumnFormula>
    </tableColumn>
    <tableColumn id="10" xr3:uid="{A6EE6E0D-E169-4E48-B6CC-2D32A2B4CBF8}" name="Q_r (W)">
      <calculatedColumnFormula>O249+($B$133-$B$115)</calculatedColumnFormula>
    </tableColumn>
    <tableColumn id="11" xr3:uid="{66979366-724F-4262-8A4E-C7DECB4A397A}" name="Area Of Condenser">
      <calculatedColumnFormula>(O249/($B$119*$B$118))*10.7639</calculatedColumnFormula>
    </tableColumn>
    <tableColumn id="12" xr3:uid="{ECDE7C2C-9C6E-4B75-86AD-F8D4CD8E1707}" name="Cost of Condenser">
      <calculatedColumnFormula>_xlfn.FORECAST.LINEAR(Q249,$B$140:$B$144,$A$140:$A$144)</calculatedColumnFormula>
    </tableColumn>
    <tableColumn id="13" xr3:uid="{833B665A-C8BE-4920-8E55-B8DB32EC8FA2}" name="Area of Reboiler">
      <calculatedColumnFormula>(P249/($B$135*$B$134))*10.7639</calculatedColumnFormula>
    </tableColumn>
    <tableColumn id="14" xr3:uid="{DDF6638C-950C-4608-A277-9FE68A4AF87E}" name="Cost of Reboiler">
      <calculatedColumnFormula>_xlfn.FORECAST.LINEAR(S249,$B$155:$B$160,$A$155:$A$160)</calculatedColumnFormula>
    </tableColumn>
    <tableColumn id="15" xr3:uid="{CEB41FD3-1FEE-4811-B769-0266F58EC6CD}" name="Total Annual Cost ( RS crores)" dataDxfId="12">
      <calculatedColumnFormula>ROUND(DDB((2*1.4*(T249+R249+N249)),(2*1.4*(T249+R249+N249))*0.4,10,1)*10^-6,4)</calculatedColumnFormula>
    </tableColumn>
    <tableColumn id="16" xr3:uid="{E698EF99-1507-4C2A-B5A0-491BDB658E45}" name="Operating Cost ( RS crores)" dataDxfId="11">
      <calculatedColumnFormula>ROUND(((($B$177*(P249/(2700*10^3)))+($B$173*0.001*(Cost_table[[#This Row],[Q_c (W)]]/(4.2*1000*(47-33)))))*60*60*8000)*10^-6,4)</calculatedColumnFormula>
    </tableColumn>
    <tableColumn id="17" xr3:uid="{C885E8C0-8FB2-4057-B3CD-1C0C9120ABCC}" name="Total Cost ( RS crores)">
      <calculatedColumnFormula>(V249+U249)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E23FC-0973-49BD-B9B8-2B2EF3C37D85}" name="Table2" displayName="Table2" ref="A4:Q24" totalsRowShown="0" headerRowDxfId="10">
  <autoFilter ref="A4:Q24" xr:uid="{C22E23FC-0973-49BD-B9B8-2B2EF3C37D85}"/>
  <tableColumns count="17">
    <tableColumn id="1" xr3:uid="{15559F91-FA35-4D15-8769-38EB69A5C6EC}" name="R/R_m" dataDxfId="9"/>
    <tableColumn id="17" xr3:uid="{612D31B6-0B0E-455D-B967-C72E858DD4EA}" name="Ideal Rectifying stages" dataDxfId="8">
      <calculatedColumnFormula>INDEX(Cost_table4[],MATCH($A5,Cost_table4[R/R_m],0),MATCH(B$4,Cost_table4[#Headers],0))</calculatedColumnFormula>
    </tableColumn>
    <tableColumn id="18" xr3:uid="{62885F89-F454-490A-899F-083E7D4E983A}" name="Ideal Stripping stages">
      <calculatedColumnFormula>INDEX(Cost_table4[],MATCH($A5,Cost_table4[R/R_m],0),MATCH(C$4,Cost_table4[#Headers],0))</calculatedColumnFormula>
    </tableColumn>
    <tableColumn id="14" xr3:uid="{AA48D83B-CF5B-4AF8-95FA-DB089C01DCC4}" name="Ideal Stages">
      <calculatedColumnFormula>INDEX(Cost_table4[],MATCH($A5,Cost_table4[R/R_m],0),MATCH(D$4,Cost_table4[#Headers],0))</calculatedColumnFormula>
    </tableColumn>
    <tableColumn id="15" xr3:uid="{643A750A-58B2-4353-ADC1-53FF996A3398}" name="Actual Rectifying Stages">
      <calculatedColumnFormula>INDEX(Cost_table4[],MATCH($A5,Cost_table4[R/R_m],0),MATCH(E$4,Cost_table4[#Headers],0))</calculatedColumnFormula>
    </tableColumn>
    <tableColumn id="13" xr3:uid="{2A47AF92-81F4-4939-926C-4942AF1F302F}" name="Actual Stripping">
      <calculatedColumnFormula>INDEX(Cost_table4[],MATCH($A5,Cost_table4[R/R_m],0),MATCH(F$4,Cost_table4[#Headers],0))</calculatedColumnFormula>
    </tableColumn>
    <tableColumn id="2" xr3:uid="{F5263359-A204-4BF6-922F-65CC78B3E9D4}" name="Actual Stages">
      <calculatedColumnFormula>INDEX(Cost_table4[],MATCH($A5,Cost_table4[R/R_m],0),MATCH(G$4,Cost_table4[#Headers],0))</calculatedColumnFormula>
    </tableColumn>
    <tableColumn id="3" xr3:uid="{A2FC3D95-375D-4CB1-AE08-F0FF88584CC6}" name="Tower Diameter(m)" dataDxfId="7">
      <calculatedColumnFormula>INDEX(Cost_table[],MATCH($A5,Cost_table[R/R_m],0),MATCH(H$4,Cost_table[#Headers],0))</calculatedColumnFormula>
    </tableColumn>
    <tableColumn id="4" xr3:uid="{9F27BFE8-5DB6-4258-ACB6-8BE1727EAD50}" name="Tower Height">
      <calculatedColumnFormula>INDEX(Cost_table[],MATCH($A5,Cost_table[R/R_m],0),MATCH(I$4,Cost_table[#Headers],0))</calculatedColumnFormula>
    </tableColumn>
    <tableColumn id="5" xr3:uid="{19CCDB6D-94E1-4C27-89A7-86FCC0DD34B9}" name="Col_tray_cost">
      <calculatedColumnFormula>INDEX(Cost_table[],MATCH($A5,Cost_table[R/R_m],0),MATCH(J$4,Cost_table[#Headers],0))</calculatedColumnFormula>
    </tableColumn>
    <tableColumn id="6" xr3:uid="{77B79929-148F-436F-A8C3-E2FF4F8CB0BC}" name="Q_c (W)">
      <calculatedColumnFormula>INDEX(Cost_table[],MATCH($A5,Cost_table[R/R_m],0),MATCH(K$4,Cost_table[#Headers],0))</calculatedColumnFormula>
    </tableColumn>
    <tableColumn id="7" xr3:uid="{6CAD7E3C-BF3A-456A-999A-CA64231DEDA9}" name="Q_r (W)">
      <calculatedColumnFormula>INDEX(Cost_table[],MATCH($A5,Cost_table[R/R_m],0),MATCH(L$4,Cost_table[#Headers],0))</calculatedColumnFormula>
    </tableColumn>
    <tableColumn id="8" xr3:uid="{83DECDD1-364F-4553-81B1-FDC4FB8A688E}" name="Cost of Condenser">
      <calculatedColumnFormula>INDEX(Cost_table[],MATCH($A5,Cost_table[R/R_m],0),MATCH(M$4,Cost_table[#Headers],0))</calculatedColumnFormula>
    </tableColumn>
    <tableColumn id="9" xr3:uid="{1FD4C1A7-7337-42E5-A4D8-4420833B9B45}" name="Cost of Reboiler">
      <calculatedColumnFormula>INDEX(Cost_table[],MATCH($A5,Cost_table[R/R_m],0),MATCH(N$4,Cost_table[#Headers],0))</calculatedColumnFormula>
    </tableColumn>
    <tableColumn id="10" xr3:uid="{3CF769A4-7653-47EA-AF0B-8405277C5224}" name="Total Annual Cost ( RS crores)">
      <calculatedColumnFormula>INDEX(Cost_table[],MATCH($A5,Cost_table[R/R_m],0),MATCH(O$4,Cost_table[#Headers],0))</calculatedColumnFormula>
    </tableColumn>
    <tableColumn id="11" xr3:uid="{6B0BF29B-1CA9-448D-B76C-8F910630A5B4}" name="Operating Cost ( RS crores)">
      <calculatedColumnFormula>INDEX(Cost_table[],MATCH($A5,Cost_table[R/R_m],0),MATCH(P$4,Cost_table[#Headers],0))</calculatedColumnFormula>
    </tableColumn>
    <tableColumn id="12" xr3:uid="{5067D622-BB34-4829-9A09-C280DEE97F7E}" name="Total Cost ( RS crores)">
      <calculatedColumnFormula>INDEX(Cost_table[],MATCH($A5,Cost_table[R/R_m],0),MATCH(Q$4,Cost_table[#Headers],0))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07C28-66D0-44F5-AF22-873A09627BDE}" name="Cost_table4" displayName="Cost_table4" ref="B244:W264" totalsRowShown="0" headerRowDxfId="6" tableBorderDxfId="5">
  <autoFilter ref="B244:W264" xr:uid="{6F629256-412B-4831-9E8E-494EBB6D01E1}"/>
  <tableColumns count="22">
    <tableColumn id="1" xr3:uid="{4A086F06-EB8C-4DD3-B949-1B4A8567AF1D}" name="R/R_m" dataDxfId="4"/>
    <tableColumn id="20" xr3:uid="{263DC544-F8D2-4D7E-BBC8-E03F3AD47127}" name="Ideal Rectifying stages"/>
    <tableColumn id="21" xr3:uid="{A9508128-BE28-4B81-9ACE-B3AD6F29CF1F}" name="Ideal Stripping stages"/>
    <tableColumn id="18" xr3:uid="{49D26C67-59C9-4A9F-89A8-87E22D3D0365}" name="Ideal Stages"/>
    <tableColumn id="19" xr3:uid="{59CC419A-8B76-4650-94A6-38D62680250F}" name="Actual Rectifying Stages"/>
    <tableColumn id="22" xr3:uid="{E6556406-DB94-47E8-A7AE-39631B4E249D}" name="Actual Stripping"/>
    <tableColumn id="2" xr3:uid="{328720F2-CC9C-478B-A9BC-7B79E9A9464D}" name="Actual Stages"/>
    <tableColumn id="3" xr3:uid="{7DDB4A12-0A25-44C5-9AF7-CA4BD7755217}" name="F_LV" dataDxfId="3">
      <calculatedColumnFormula>(($B$12*(B245*$B$20)*$B$4*$B$14/3600)/($B$12*(B245*$B$20+1)*$B$4*$B$14/3600))*SQRT($B$25/$B$26)</calculatedColumnFormula>
    </tableColumn>
    <tableColumn id="4" xr3:uid="{9BD7EF12-5EDF-427E-B2D1-2B9217EBFE3D}" name="C_sb" dataDxfId="2">
      <calculatedColumnFormula>EXP(INDEX(TS_array,MATCH($B$42,Tray_space,0),1)*((LN(I245))^3)+INDEX(TS_array,MATCH($B$42,Tray_space,0),2)*((LN(I245))^2)+INDEX(TS_array,MATCH($B$42,Tray_space,0),3)*(LN(I245))+INDEX(TS_array,MATCH($B$42,Tray_space,0),4)-1.188)</calculatedColumnFormula>
    </tableColumn>
    <tableColumn id="5" xr3:uid="{4E107891-08CE-42B0-B231-BD09580CF979}" name="U_V,n" dataDxfId="1">
      <calculatedColumnFormula>$B$48*(($B$49/20)^0.2)*J245*SQRT(($B$26-$B$25)/$B$25)</calculatedColumnFormula>
    </tableColumn>
    <tableColumn id="6" xr3:uid="{797CE9C3-C899-4572-8404-347BDD1F434D}" name="Tower Diameter(m)" dataDxfId="0">
      <calculatedColumnFormula>10^-3*ROUND(ROUND(((4*($B$12*(B245*$B$20+1)*$B$4*$B$14/3600))/($B$25*PI()*(1-$B$58)*K245))^0.5,2)*1000+HLOOKUP(ROUND(((4*($B$12*(B245*$B$20+1)*$B$4*$B$14/3600))/($B$25*PI()*(1-$B$58)*K245))^0.5,2)*1000,$B$65:$E$66,2),0)</calculatedColumnFormula>
    </tableColumn>
    <tableColumn id="7" xr3:uid="{2F487C5F-1C18-48F7-8CA6-C92B0F8E3FE4}" name="Tower Height">
      <calculatedColumnFormula>ROUND((((H245-ROUND(H245/10,0)-1)*$B$42)+1.5*$B$42+$B$79+ROUND(H245/10,0)*1200+2*$B$42)*10^-3,1)</calculatedColumnFormula>
    </tableColumn>
    <tableColumn id="8" xr3:uid="{7F33D536-9E78-43CB-8573-02BA343CC2EE}" name="Col_tray_cost">
      <calculatedColumnFormula>(PI()*(L245)*($B$89*10^-3)*$B$90*$B$91*M245)+(_xlfn.FORECAST.LINEAR(39.3701*L245,$B$95:$B$99,$A$95:$A$99))*H245</calculatedColumnFormula>
    </tableColumn>
    <tableColumn id="9" xr3:uid="{21E7B0BA-FE7C-46CD-AE15-77ECCE1693DC}" name="Q_c (W)">
      <calculatedColumnFormula>$B$115*($B$20*B245+1)/($B$20*$B$21+1)</calculatedColumnFormula>
    </tableColumn>
    <tableColumn id="10" xr3:uid="{0C02E774-BB59-4B44-ADF3-F92B109E60EA}" name="Q_r (W)">
      <calculatedColumnFormula>O245+($B$133-$B$115)</calculatedColumnFormula>
    </tableColumn>
    <tableColumn id="11" xr3:uid="{2F7231DE-558F-44FA-8019-EDFBDED9DC3A}" name="Area Of Condenser">
      <calculatedColumnFormula>(O245/($B$119*$B$118))*10.7639</calculatedColumnFormula>
    </tableColumn>
    <tableColumn id="12" xr3:uid="{B0E4F7C4-335F-40BB-A123-35E9AB003DCF}" name="Cost of Condenser">
      <calculatedColumnFormula>_xlfn.FORECAST.LINEAR(Q245,$B$140:$B$144,$A$140:$A$144)</calculatedColumnFormula>
    </tableColumn>
    <tableColumn id="13" xr3:uid="{A8D88F1E-0AC1-4CAB-840A-4F5534838322}" name="Area of Reboiler">
      <calculatedColumnFormula>(P245/($B$135*$B$134))*10.7639</calculatedColumnFormula>
    </tableColumn>
    <tableColumn id="14" xr3:uid="{EA57F750-6A2F-4D81-A53A-34ADC37F1306}" name="Cost of Reboiler">
      <calculatedColumnFormula>_xlfn.FORECAST.LINEAR(S245,$B$155:$B$160,$A$155:$A$160)</calculatedColumnFormula>
    </tableColumn>
    <tableColumn id="15" xr3:uid="{FDA12E4F-A3BB-4A8C-A0DC-DC2EBA5A4173}" name="Total Annual Cost ( RS crores)">
      <calculatedColumnFormula>ROUND((2*1.2*(T245+R245+N245)*$B$167)*10^-6,4)</calculatedColumnFormula>
    </tableColumn>
    <tableColumn id="16" xr3:uid="{A6093D79-C2A7-4EE6-AA97-82D027C50BFD}" name="Operating Cost ( RS crores)">
      <calculatedColumnFormula>ROUND(($B$173*(P245/(2700*10^3))*60*60*8000)*10^-6,4)</calculatedColumnFormula>
    </tableColumn>
    <tableColumn id="17" xr3:uid="{2BF7D22E-9B19-4689-810D-86715D1C7880}" name="Total Cost ( RS crores)">
      <calculatedColumnFormula>(V245+U245)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D3BD-BF09-4E11-ADB5-C53BDEF06CC5}">
  <dimension ref="A1:G291"/>
  <sheetViews>
    <sheetView zoomScale="111" workbookViewId="0">
      <selection activeCell="E12" sqref="E12"/>
    </sheetView>
  </sheetViews>
  <sheetFormatPr defaultRowHeight="14.4" x14ac:dyDescent="0.3"/>
  <cols>
    <col min="2" max="2" width="10.5546875" bestFit="1" customWidth="1"/>
    <col min="3" max="3" width="15.5546875" bestFit="1" customWidth="1"/>
  </cols>
  <sheetData>
    <row r="1" spans="1:3" x14ac:dyDescent="0.3">
      <c r="A1" t="s">
        <v>66</v>
      </c>
      <c r="B1" t="s">
        <v>39</v>
      </c>
      <c r="C1" t="s">
        <v>40</v>
      </c>
    </row>
    <row r="2" spans="1:3" x14ac:dyDescent="0.3">
      <c r="A2">
        <f>ROUND(B2/3.05,3)</f>
        <v>1.05</v>
      </c>
      <c r="B2" s="2">
        <v>3.20249618339016</v>
      </c>
      <c r="C2">
        <v>30</v>
      </c>
    </row>
    <row r="3" spans="1:3" x14ac:dyDescent="0.3">
      <c r="A3">
        <f t="shared" ref="A3:A66" si="0">ROUND(B3/3.05,3)</f>
        <v>1.0529999999999999</v>
      </c>
      <c r="B3" s="2">
        <v>3.2124961833901602</v>
      </c>
      <c r="C3">
        <v>29</v>
      </c>
    </row>
    <row r="4" spans="1:3" x14ac:dyDescent="0.3">
      <c r="A4">
        <f t="shared" si="0"/>
        <v>1.0569999999999999</v>
      </c>
      <c r="B4" s="2">
        <v>3.22249618339016</v>
      </c>
      <c r="C4">
        <v>28</v>
      </c>
    </row>
    <row r="5" spans="1:3" x14ac:dyDescent="0.3">
      <c r="A5">
        <f t="shared" si="0"/>
        <v>1.06</v>
      </c>
      <c r="B5" s="2">
        <v>3.2324961833901602</v>
      </c>
      <c r="C5">
        <v>27</v>
      </c>
    </row>
    <row r="6" spans="1:3" x14ac:dyDescent="0.3">
      <c r="A6">
        <f t="shared" si="0"/>
        <v>1.0629999999999999</v>
      </c>
      <c r="B6" s="2">
        <v>3.24249618339016</v>
      </c>
      <c r="C6">
        <v>27</v>
      </c>
    </row>
    <row r="7" spans="1:3" x14ac:dyDescent="0.3">
      <c r="A7">
        <f t="shared" si="0"/>
        <v>1.0660000000000001</v>
      </c>
      <c r="B7" s="2">
        <v>3.2524961833901598</v>
      </c>
      <c r="C7">
        <v>27</v>
      </c>
    </row>
    <row r="8" spans="1:3" x14ac:dyDescent="0.3">
      <c r="A8">
        <f t="shared" si="0"/>
        <v>1.07</v>
      </c>
      <c r="B8" s="2">
        <v>3.26249618339016</v>
      </c>
      <c r="C8">
        <v>27</v>
      </c>
    </row>
    <row r="9" spans="1:3" x14ac:dyDescent="0.3">
      <c r="A9">
        <f t="shared" si="0"/>
        <v>1.073</v>
      </c>
      <c r="B9" s="2">
        <v>3.2724961833901598</v>
      </c>
      <c r="C9">
        <v>27</v>
      </c>
    </row>
    <row r="10" spans="1:3" x14ac:dyDescent="0.3">
      <c r="A10">
        <f t="shared" si="0"/>
        <v>1.0760000000000001</v>
      </c>
      <c r="B10" s="2">
        <v>3.28249618339016</v>
      </c>
      <c r="C10">
        <v>27</v>
      </c>
    </row>
    <row r="11" spans="1:3" x14ac:dyDescent="0.3">
      <c r="A11">
        <f t="shared" si="0"/>
        <v>1.08</v>
      </c>
      <c r="B11" s="2">
        <v>3.2924961833901598</v>
      </c>
      <c r="C11">
        <v>27</v>
      </c>
    </row>
    <row r="12" spans="1:3" x14ac:dyDescent="0.3">
      <c r="A12">
        <f t="shared" si="0"/>
        <v>1.083</v>
      </c>
      <c r="B12" s="2">
        <v>3.30249618339016</v>
      </c>
      <c r="C12">
        <v>27</v>
      </c>
    </row>
    <row r="13" spans="1:3" x14ac:dyDescent="0.3">
      <c r="A13">
        <f t="shared" si="0"/>
        <v>1.0860000000000001</v>
      </c>
      <c r="B13" s="2">
        <v>3.3124961833901598</v>
      </c>
      <c r="C13">
        <v>26</v>
      </c>
    </row>
    <row r="14" spans="1:3" x14ac:dyDescent="0.3">
      <c r="A14">
        <f t="shared" si="0"/>
        <v>1.089</v>
      </c>
      <c r="B14" s="2">
        <v>3.3224961833901601</v>
      </c>
      <c r="C14">
        <v>25</v>
      </c>
    </row>
    <row r="15" spans="1:3" x14ac:dyDescent="0.3">
      <c r="A15">
        <f t="shared" si="0"/>
        <v>1.093</v>
      </c>
      <c r="B15" s="2">
        <v>3.3324961833901598</v>
      </c>
      <c r="C15">
        <v>25</v>
      </c>
    </row>
    <row r="16" spans="1:3" x14ac:dyDescent="0.3">
      <c r="A16">
        <f t="shared" si="0"/>
        <v>1.0960000000000001</v>
      </c>
      <c r="B16" s="2">
        <v>3.3424961833901601</v>
      </c>
      <c r="C16">
        <v>25</v>
      </c>
    </row>
    <row r="17" spans="1:3" x14ac:dyDescent="0.3">
      <c r="A17">
        <f t="shared" si="0"/>
        <v>1.099</v>
      </c>
      <c r="B17" s="2">
        <v>3.3524961833901599</v>
      </c>
      <c r="C17">
        <v>25</v>
      </c>
    </row>
    <row r="18" spans="1:3" x14ac:dyDescent="0.3">
      <c r="A18">
        <f t="shared" si="0"/>
        <v>1.1020000000000001</v>
      </c>
      <c r="B18" s="2">
        <v>3.3624961833901601</v>
      </c>
      <c r="C18">
        <v>25</v>
      </c>
    </row>
    <row r="19" spans="1:3" x14ac:dyDescent="0.3">
      <c r="A19">
        <f t="shared" si="0"/>
        <v>1.1060000000000001</v>
      </c>
      <c r="B19" s="2">
        <v>3.3724961833901599</v>
      </c>
      <c r="C19">
        <v>25</v>
      </c>
    </row>
    <row r="20" spans="1:3" x14ac:dyDescent="0.3">
      <c r="A20">
        <f t="shared" si="0"/>
        <v>1.109</v>
      </c>
      <c r="B20" s="2">
        <v>3.3824961833901601</v>
      </c>
      <c r="C20">
        <v>25</v>
      </c>
    </row>
    <row r="21" spans="1:3" x14ac:dyDescent="0.3">
      <c r="A21">
        <f t="shared" si="0"/>
        <v>1.1120000000000001</v>
      </c>
      <c r="B21" s="2">
        <v>3.3924961833901599</v>
      </c>
      <c r="C21">
        <v>24</v>
      </c>
    </row>
    <row r="22" spans="1:3" x14ac:dyDescent="0.3">
      <c r="A22">
        <f t="shared" si="0"/>
        <v>1.1160000000000001</v>
      </c>
      <c r="B22" s="2">
        <v>3.4024961833901601</v>
      </c>
      <c r="C22">
        <v>24</v>
      </c>
    </row>
    <row r="23" spans="1:3" x14ac:dyDescent="0.3">
      <c r="A23">
        <f t="shared" si="0"/>
        <v>1.119</v>
      </c>
      <c r="B23" s="2">
        <v>3.4124961833901599</v>
      </c>
      <c r="C23">
        <v>24</v>
      </c>
    </row>
    <row r="24" spans="1:3" x14ac:dyDescent="0.3">
      <c r="A24">
        <f t="shared" si="0"/>
        <v>1.1220000000000001</v>
      </c>
      <c r="B24" s="2">
        <v>3.4224961833901602</v>
      </c>
      <c r="C24">
        <v>24</v>
      </c>
    </row>
    <row r="25" spans="1:3" x14ac:dyDescent="0.3">
      <c r="A25">
        <f t="shared" si="0"/>
        <v>1.125</v>
      </c>
      <c r="B25" s="2">
        <v>3.4324961833901599</v>
      </c>
      <c r="C25">
        <v>24</v>
      </c>
    </row>
    <row r="26" spans="1:3" x14ac:dyDescent="0.3">
      <c r="A26">
        <f t="shared" si="0"/>
        <v>1.129</v>
      </c>
      <c r="B26" s="2">
        <v>3.4424961833901602</v>
      </c>
      <c r="C26">
        <v>24</v>
      </c>
    </row>
    <row r="27" spans="1:3" x14ac:dyDescent="0.3">
      <c r="A27">
        <f t="shared" si="0"/>
        <v>1.1319999999999999</v>
      </c>
      <c r="B27" s="2">
        <v>3.45249618339016</v>
      </c>
      <c r="C27">
        <v>24</v>
      </c>
    </row>
    <row r="28" spans="1:3" x14ac:dyDescent="0.3">
      <c r="A28">
        <f t="shared" si="0"/>
        <v>1.135</v>
      </c>
      <c r="B28" s="2">
        <v>3.4624961833901602</v>
      </c>
      <c r="C28">
        <v>24</v>
      </c>
    </row>
    <row r="29" spans="1:3" x14ac:dyDescent="0.3">
      <c r="A29">
        <f t="shared" si="0"/>
        <v>1.139</v>
      </c>
      <c r="B29" s="2">
        <v>3.47249618339016</v>
      </c>
      <c r="C29">
        <v>24</v>
      </c>
    </row>
    <row r="30" spans="1:3" x14ac:dyDescent="0.3">
      <c r="A30">
        <f t="shared" si="0"/>
        <v>1.1419999999999999</v>
      </c>
      <c r="B30" s="2">
        <v>3.4824961833901602</v>
      </c>
      <c r="C30">
        <v>22</v>
      </c>
    </row>
    <row r="31" spans="1:3" x14ac:dyDescent="0.3">
      <c r="A31">
        <f t="shared" si="0"/>
        <v>1.145</v>
      </c>
      <c r="B31" s="2">
        <v>3.49249618339016</v>
      </c>
      <c r="C31">
        <v>22</v>
      </c>
    </row>
    <row r="32" spans="1:3" x14ac:dyDescent="0.3">
      <c r="A32">
        <f t="shared" si="0"/>
        <v>1.1479999999999999</v>
      </c>
      <c r="B32" s="2">
        <v>3.5024961833901598</v>
      </c>
      <c r="C32">
        <v>22</v>
      </c>
    </row>
    <row r="33" spans="1:3" x14ac:dyDescent="0.3">
      <c r="A33">
        <f t="shared" si="0"/>
        <v>1.1519999999999999</v>
      </c>
      <c r="B33" s="2">
        <v>3.51249618339016</v>
      </c>
      <c r="C33">
        <v>22</v>
      </c>
    </row>
    <row r="34" spans="1:3" x14ac:dyDescent="0.3">
      <c r="A34">
        <f t="shared" si="0"/>
        <v>1.155</v>
      </c>
      <c r="B34" s="2">
        <v>3.5224961833901598</v>
      </c>
      <c r="C34">
        <v>22</v>
      </c>
    </row>
    <row r="35" spans="1:3" x14ac:dyDescent="0.3">
      <c r="A35">
        <f t="shared" si="0"/>
        <v>1.1579999999999999</v>
      </c>
      <c r="B35" s="2">
        <v>3.53249618339016</v>
      </c>
      <c r="C35">
        <v>22</v>
      </c>
    </row>
    <row r="36" spans="1:3" x14ac:dyDescent="0.3">
      <c r="A36">
        <f t="shared" si="0"/>
        <v>1.161</v>
      </c>
      <c r="B36" s="2">
        <v>3.5424961833901598</v>
      </c>
      <c r="C36">
        <v>22</v>
      </c>
    </row>
    <row r="37" spans="1:3" x14ac:dyDescent="0.3">
      <c r="A37">
        <f t="shared" si="0"/>
        <v>1.165</v>
      </c>
      <c r="B37" s="2">
        <v>3.55249618339016</v>
      </c>
      <c r="C37">
        <v>22</v>
      </c>
    </row>
    <row r="38" spans="1:3" x14ac:dyDescent="0.3">
      <c r="A38">
        <f t="shared" si="0"/>
        <v>1.1679999999999999</v>
      </c>
      <c r="B38" s="2">
        <v>3.5624961833901598</v>
      </c>
      <c r="C38">
        <v>22</v>
      </c>
    </row>
    <row r="39" spans="1:3" x14ac:dyDescent="0.3">
      <c r="A39">
        <f t="shared" si="0"/>
        <v>1.171</v>
      </c>
      <c r="B39" s="2">
        <v>3.5724961833901601</v>
      </c>
      <c r="C39">
        <v>22</v>
      </c>
    </row>
    <row r="40" spans="1:3" x14ac:dyDescent="0.3">
      <c r="A40">
        <f t="shared" si="0"/>
        <v>1.175</v>
      </c>
      <c r="B40" s="2">
        <v>3.5824961833901598</v>
      </c>
      <c r="C40">
        <v>22</v>
      </c>
    </row>
    <row r="41" spans="1:3" x14ac:dyDescent="0.3">
      <c r="A41">
        <f t="shared" si="0"/>
        <v>1.1779999999999999</v>
      </c>
      <c r="B41" s="2">
        <v>3.5924961833901601</v>
      </c>
      <c r="C41">
        <v>22</v>
      </c>
    </row>
    <row r="42" spans="1:3" x14ac:dyDescent="0.3">
      <c r="A42">
        <f t="shared" si="0"/>
        <v>1.181</v>
      </c>
      <c r="B42" s="2">
        <v>3.6024961833901599</v>
      </c>
      <c r="C42">
        <v>22</v>
      </c>
    </row>
    <row r="43" spans="1:3" x14ac:dyDescent="0.3">
      <c r="A43">
        <f t="shared" si="0"/>
        <v>1.1839999999999999</v>
      </c>
      <c r="B43" s="2">
        <v>3.6124961833901601</v>
      </c>
      <c r="C43">
        <v>22</v>
      </c>
    </row>
    <row r="44" spans="1:3" x14ac:dyDescent="0.3">
      <c r="A44">
        <f t="shared" si="0"/>
        <v>1.1879999999999999</v>
      </c>
      <c r="B44" s="2">
        <v>3.6224961833901599</v>
      </c>
      <c r="C44">
        <v>22</v>
      </c>
    </row>
    <row r="45" spans="1:3" x14ac:dyDescent="0.3">
      <c r="A45">
        <f t="shared" si="0"/>
        <v>1.1910000000000001</v>
      </c>
      <c r="B45" s="2">
        <v>3.6324961833901601</v>
      </c>
      <c r="C45">
        <v>22</v>
      </c>
    </row>
    <row r="46" spans="1:3" x14ac:dyDescent="0.3">
      <c r="A46">
        <f t="shared" si="0"/>
        <v>1.194</v>
      </c>
      <c r="B46" s="2">
        <v>3.6424961833901599</v>
      </c>
      <c r="C46">
        <v>22</v>
      </c>
    </row>
    <row r="47" spans="1:3" x14ac:dyDescent="0.3">
      <c r="A47">
        <f t="shared" si="0"/>
        <v>1.198</v>
      </c>
      <c r="B47" s="2">
        <v>3.6524961833901601</v>
      </c>
      <c r="C47">
        <v>22</v>
      </c>
    </row>
    <row r="48" spans="1:3" x14ac:dyDescent="0.3">
      <c r="A48">
        <f t="shared" si="0"/>
        <v>1.2010000000000001</v>
      </c>
      <c r="B48" s="2">
        <v>3.6624961833901599</v>
      </c>
      <c r="C48">
        <v>22</v>
      </c>
    </row>
    <row r="49" spans="1:3" x14ac:dyDescent="0.3">
      <c r="A49">
        <f t="shared" si="0"/>
        <v>1.204</v>
      </c>
      <c r="B49" s="2">
        <v>3.6724961833901602</v>
      </c>
      <c r="C49">
        <v>22</v>
      </c>
    </row>
    <row r="50" spans="1:3" x14ac:dyDescent="0.3">
      <c r="A50">
        <f t="shared" si="0"/>
        <v>1.2070000000000001</v>
      </c>
      <c r="B50" s="2">
        <v>3.6824961833901599</v>
      </c>
      <c r="C50">
        <v>22</v>
      </c>
    </row>
    <row r="51" spans="1:3" x14ac:dyDescent="0.3">
      <c r="A51">
        <f t="shared" si="0"/>
        <v>1.2110000000000001</v>
      </c>
      <c r="B51" s="2">
        <v>3.6924961833901602</v>
      </c>
      <c r="C51">
        <v>22</v>
      </c>
    </row>
    <row r="52" spans="1:3" x14ac:dyDescent="0.3">
      <c r="A52">
        <f t="shared" si="0"/>
        <v>1.214</v>
      </c>
      <c r="B52" s="2">
        <v>3.70249618339016</v>
      </c>
      <c r="C52">
        <v>22</v>
      </c>
    </row>
    <row r="53" spans="1:3" x14ac:dyDescent="0.3">
      <c r="A53">
        <f t="shared" si="0"/>
        <v>1.2170000000000001</v>
      </c>
      <c r="B53" s="2">
        <v>3.7124961833901602</v>
      </c>
      <c r="C53">
        <v>22</v>
      </c>
    </row>
    <row r="54" spans="1:3" x14ac:dyDescent="0.3">
      <c r="A54">
        <f t="shared" si="0"/>
        <v>1.22</v>
      </c>
      <c r="B54" s="2">
        <v>3.72249618339016</v>
      </c>
      <c r="C54">
        <v>22</v>
      </c>
    </row>
    <row r="55" spans="1:3" x14ac:dyDescent="0.3">
      <c r="A55">
        <f t="shared" si="0"/>
        <v>1.224</v>
      </c>
      <c r="B55" s="2">
        <v>3.7324961833901602</v>
      </c>
      <c r="C55">
        <v>19</v>
      </c>
    </row>
    <row r="56" spans="1:3" x14ac:dyDescent="0.3">
      <c r="A56">
        <f t="shared" si="0"/>
        <v>1.2270000000000001</v>
      </c>
      <c r="B56" s="2">
        <v>3.74249618339016</v>
      </c>
      <c r="C56">
        <v>19</v>
      </c>
    </row>
    <row r="57" spans="1:3" x14ac:dyDescent="0.3">
      <c r="A57">
        <f t="shared" si="0"/>
        <v>1.23</v>
      </c>
      <c r="B57" s="2">
        <v>3.7524961833901598</v>
      </c>
      <c r="C57">
        <v>19</v>
      </c>
    </row>
    <row r="58" spans="1:3" x14ac:dyDescent="0.3">
      <c r="A58">
        <f t="shared" si="0"/>
        <v>1.234</v>
      </c>
      <c r="B58" s="2">
        <v>3.76249618339016</v>
      </c>
      <c r="C58">
        <v>19</v>
      </c>
    </row>
    <row r="59" spans="1:3" x14ac:dyDescent="0.3">
      <c r="A59">
        <f t="shared" si="0"/>
        <v>1.2370000000000001</v>
      </c>
      <c r="B59" s="2">
        <v>3.7724961833901598</v>
      </c>
      <c r="C59">
        <v>19</v>
      </c>
    </row>
    <row r="60" spans="1:3" x14ac:dyDescent="0.3">
      <c r="A60">
        <f t="shared" si="0"/>
        <v>1.24</v>
      </c>
      <c r="B60" s="2">
        <v>3.78249618339016</v>
      </c>
      <c r="C60">
        <v>19</v>
      </c>
    </row>
    <row r="61" spans="1:3" x14ac:dyDescent="0.3">
      <c r="A61">
        <f t="shared" si="0"/>
        <v>1.2430000000000001</v>
      </c>
      <c r="B61" s="2">
        <v>3.7924961833901598</v>
      </c>
      <c r="C61">
        <v>19</v>
      </c>
    </row>
    <row r="62" spans="1:3" x14ac:dyDescent="0.3">
      <c r="A62">
        <f t="shared" si="0"/>
        <v>1.2470000000000001</v>
      </c>
      <c r="B62" s="2">
        <v>3.80249618339016</v>
      </c>
      <c r="C62">
        <v>19</v>
      </c>
    </row>
    <row r="63" spans="1:3" x14ac:dyDescent="0.3">
      <c r="A63">
        <f t="shared" si="0"/>
        <v>1.25</v>
      </c>
      <c r="B63" s="2">
        <v>3.8124961833901598</v>
      </c>
      <c r="C63">
        <v>19</v>
      </c>
    </row>
    <row r="64" spans="1:3" x14ac:dyDescent="0.3">
      <c r="A64">
        <f t="shared" si="0"/>
        <v>1.2529999999999999</v>
      </c>
      <c r="B64" s="2">
        <v>3.8224961833901601</v>
      </c>
      <c r="C64">
        <v>19</v>
      </c>
    </row>
    <row r="65" spans="1:7" x14ac:dyDescent="0.3">
      <c r="A65">
        <f t="shared" si="0"/>
        <v>1.2569999999999999</v>
      </c>
      <c r="B65" s="2">
        <v>3.8324961833901598</v>
      </c>
      <c r="C65">
        <v>19</v>
      </c>
      <c r="F65">
        <v>3.0330672741822098</v>
      </c>
      <c r="G65">
        <f>B65/F65</f>
        <v>1.2635711103452185</v>
      </c>
    </row>
    <row r="66" spans="1:7" x14ac:dyDescent="0.3">
      <c r="A66">
        <f t="shared" si="0"/>
        <v>1.26</v>
      </c>
      <c r="B66" s="2">
        <v>3.8424961833901601</v>
      </c>
      <c r="C66">
        <v>19</v>
      </c>
    </row>
    <row r="67" spans="1:7" x14ac:dyDescent="0.3">
      <c r="A67">
        <f t="shared" ref="A67:A130" si="1">ROUND(B67/3.05,3)</f>
        <v>1.2629999999999999</v>
      </c>
      <c r="B67" s="2">
        <v>3.8524961833901599</v>
      </c>
      <c r="C67">
        <v>19</v>
      </c>
    </row>
    <row r="68" spans="1:7" x14ac:dyDescent="0.3">
      <c r="A68">
        <f t="shared" si="1"/>
        <v>1.266</v>
      </c>
      <c r="B68" s="2">
        <v>3.8624961833901601</v>
      </c>
      <c r="C68">
        <v>19</v>
      </c>
    </row>
    <row r="69" spans="1:7" x14ac:dyDescent="0.3">
      <c r="A69">
        <f t="shared" si="1"/>
        <v>1.27</v>
      </c>
      <c r="B69" s="2">
        <v>3.8724961833901599</v>
      </c>
      <c r="C69">
        <v>19</v>
      </c>
    </row>
    <row r="70" spans="1:7" x14ac:dyDescent="0.3">
      <c r="A70">
        <f t="shared" si="1"/>
        <v>1.2729999999999999</v>
      </c>
      <c r="B70" s="2">
        <v>3.8824961833901601</v>
      </c>
      <c r="C70">
        <v>19</v>
      </c>
    </row>
    <row r="71" spans="1:7" x14ac:dyDescent="0.3">
      <c r="A71">
        <f t="shared" si="1"/>
        <v>1.276</v>
      </c>
      <c r="B71" s="2">
        <v>3.8924961833901599</v>
      </c>
      <c r="C71">
        <v>19</v>
      </c>
    </row>
    <row r="72" spans="1:7" x14ac:dyDescent="0.3">
      <c r="A72">
        <f t="shared" si="1"/>
        <v>1.28</v>
      </c>
      <c r="B72" s="2">
        <v>3.9024961833901601</v>
      </c>
      <c r="C72">
        <v>19</v>
      </c>
    </row>
    <row r="73" spans="1:7" x14ac:dyDescent="0.3">
      <c r="A73">
        <f t="shared" si="1"/>
        <v>1.2829999999999999</v>
      </c>
      <c r="B73" s="2">
        <v>3.9124961833901599</v>
      </c>
      <c r="C73">
        <v>19</v>
      </c>
    </row>
    <row r="74" spans="1:7" x14ac:dyDescent="0.3">
      <c r="A74">
        <f t="shared" si="1"/>
        <v>1.286</v>
      </c>
      <c r="B74" s="2">
        <v>3.9224961833901602</v>
      </c>
      <c r="C74">
        <v>19</v>
      </c>
    </row>
    <row r="75" spans="1:7" x14ac:dyDescent="0.3">
      <c r="A75">
        <f t="shared" si="1"/>
        <v>1.2889999999999999</v>
      </c>
      <c r="B75" s="2">
        <v>3.9324961833901599</v>
      </c>
      <c r="C75">
        <v>19</v>
      </c>
    </row>
    <row r="76" spans="1:7" x14ac:dyDescent="0.3">
      <c r="A76">
        <f t="shared" si="1"/>
        <v>1.2929999999999999</v>
      </c>
      <c r="B76" s="2">
        <v>3.9424961833901602</v>
      </c>
      <c r="C76">
        <v>19</v>
      </c>
    </row>
    <row r="77" spans="1:7" x14ac:dyDescent="0.3">
      <c r="A77">
        <f t="shared" si="1"/>
        <v>1.296</v>
      </c>
      <c r="B77" s="2">
        <v>3.95249618339016</v>
      </c>
      <c r="C77">
        <v>19</v>
      </c>
    </row>
    <row r="78" spans="1:7" x14ac:dyDescent="0.3">
      <c r="A78">
        <f t="shared" si="1"/>
        <v>1.2989999999999999</v>
      </c>
      <c r="B78" s="2">
        <v>3.9624961833901602</v>
      </c>
      <c r="C78">
        <v>19</v>
      </c>
    </row>
    <row r="79" spans="1:7" x14ac:dyDescent="0.3">
      <c r="A79">
        <f t="shared" si="1"/>
        <v>1.302</v>
      </c>
      <c r="B79" s="2">
        <v>3.97249618339016</v>
      </c>
      <c r="C79">
        <v>19</v>
      </c>
    </row>
    <row r="80" spans="1:7" x14ac:dyDescent="0.3">
      <c r="A80">
        <f t="shared" si="1"/>
        <v>1.306</v>
      </c>
      <c r="B80" s="2">
        <v>3.9824961833901602</v>
      </c>
      <c r="C80">
        <v>19</v>
      </c>
    </row>
    <row r="81" spans="1:3" x14ac:dyDescent="0.3">
      <c r="A81">
        <f t="shared" si="1"/>
        <v>1.3089999999999999</v>
      </c>
      <c r="B81" s="2">
        <v>3.99249618339016</v>
      </c>
      <c r="C81">
        <v>19</v>
      </c>
    </row>
    <row r="82" spans="1:3" x14ac:dyDescent="0.3">
      <c r="A82">
        <f t="shared" si="1"/>
        <v>1.3120000000000001</v>
      </c>
      <c r="B82" s="2">
        <v>4.0024961833901598</v>
      </c>
      <c r="C82">
        <v>19</v>
      </c>
    </row>
    <row r="83" spans="1:3" x14ac:dyDescent="0.3">
      <c r="A83">
        <f t="shared" si="1"/>
        <v>1.3160000000000001</v>
      </c>
      <c r="B83" s="2">
        <v>4.0124961833901596</v>
      </c>
      <c r="C83">
        <v>19</v>
      </c>
    </row>
    <row r="84" spans="1:3" x14ac:dyDescent="0.3">
      <c r="A84">
        <f t="shared" si="1"/>
        <v>1.319</v>
      </c>
      <c r="B84" s="2">
        <v>4.0224961833901602</v>
      </c>
      <c r="C84">
        <v>19</v>
      </c>
    </row>
    <row r="85" spans="1:3" x14ac:dyDescent="0.3">
      <c r="A85">
        <f t="shared" si="1"/>
        <v>1.3220000000000001</v>
      </c>
      <c r="B85" s="2">
        <v>4.03249618339016</v>
      </c>
      <c r="C85">
        <v>19</v>
      </c>
    </row>
    <row r="86" spans="1:3" x14ac:dyDescent="0.3">
      <c r="A86">
        <f t="shared" si="1"/>
        <v>1.325</v>
      </c>
      <c r="B86" s="2">
        <v>4.0424961833901598</v>
      </c>
      <c r="C86">
        <v>19</v>
      </c>
    </row>
    <row r="87" spans="1:3" x14ac:dyDescent="0.3">
      <c r="A87">
        <f t="shared" si="1"/>
        <v>1.329</v>
      </c>
      <c r="B87" s="2">
        <v>4.0524961833901596</v>
      </c>
      <c r="C87">
        <v>19</v>
      </c>
    </row>
    <row r="88" spans="1:3" x14ac:dyDescent="0.3">
      <c r="A88">
        <f t="shared" si="1"/>
        <v>1.3320000000000001</v>
      </c>
      <c r="B88" s="2">
        <v>4.0624961833901603</v>
      </c>
      <c r="C88">
        <v>19</v>
      </c>
    </row>
    <row r="89" spans="1:3" x14ac:dyDescent="0.3">
      <c r="A89">
        <f t="shared" si="1"/>
        <v>1.335</v>
      </c>
      <c r="B89" s="2">
        <v>4.0724961833901601</v>
      </c>
      <c r="C89">
        <v>19</v>
      </c>
    </row>
    <row r="90" spans="1:3" x14ac:dyDescent="0.3">
      <c r="A90">
        <f t="shared" si="1"/>
        <v>1.339</v>
      </c>
      <c r="B90" s="2">
        <v>4.0824961833901598</v>
      </c>
      <c r="C90">
        <v>19</v>
      </c>
    </row>
    <row r="91" spans="1:3" x14ac:dyDescent="0.3">
      <c r="A91">
        <f t="shared" si="1"/>
        <v>1.3420000000000001</v>
      </c>
      <c r="B91" s="2">
        <v>4.0924961833901596</v>
      </c>
      <c r="C91">
        <v>19</v>
      </c>
    </row>
    <row r="92" spans="1:3" x14ac:dyDescent="0.3">
      <c r="A92">
        <f t="shared" si="1"/>
        <v>1.345</v>
      </c>
      <c r="B92" s="2">
        <v>4.1024961833901603</v>
      </c>
      <c r="C92">
        <v>19</v>
      </c>
    </row>
    <row r="93" spans="1:3" x14ac:dyDescent="0.3">
      <c r="A93">
        <f t="shared" si="1"/>
        <v>1.3480000000000001</v>
      </c>
      <c r="B93">
        <v>4.1124961833901601</v>
      </c>
      <c r="C93">
        <v>19</v>
      </c>
    </row>
    <row r="94" spans="1:3" x14ac:dyDescent="0.3">
      <c r="A94">
        <f t="shared" si="1"/>
        <v>1.3520000000000001</v>
      </c>
      <c r="B94">
        <v>4.1224961833901599</v>
      </c>
      <c r="C94">
        <v>19</v>
      </c>
    </row>
    <row r="95" spans="1:3" x14ac:dyDescent="0.3">
      <c r="A95">
        <f t="shared" si="1"/>
        <v>1.355</v>
      </c>
      <c r="B95">
        <v>4.1324961833901597</v>
      </c>
      <c r="C95">
        <v>19</v>
      </c>
    </row>
    <row r="96" spans="1:3" x14ac:dyDescent="0.3">
      <c r="A96">
        <f t="shared" si="1"/>
        <v>1.3580000000000001</v>
      </c>
      <c r="B96">
        <v>4.1424961833901603</v>
      </c>
      <c r="C96">
        <v>19</v>
      </c>
    </row>
    <row r="97" spans="1:3" x14ac:dyDescent="0.3">
      <c r="A97">
        <f t="shared" si="1"/>
        <v>1.361</v>
      </c>
      <c r="B97">
        <v>4.1524961833901601</v>
      </c>
      <c r="C97">
        <v>19</v>
      </c>
    </row>
    <row r="98" spans="1:3" x14ac:dyDescent="0.3">
      <c r="A98">
        <f t="shared" si="1"/>
        <v>1.365</v>
      </c>
      <c r="B98">
        <v>4.1624961833901599</v>
      </c>
      <c r="C98">
        <v>19</v>
      </c>
    </row>
    <row r="99" spans="1:3" x14ac:dyDescent="0.3">
      <c r="A99">
        <f t="shared" si="1"/>
        <v>1.3680000000000001</v>
      </c>
      <c r="B99">
        <v>4.1724961833901597</v>
      </c>
      <c r="C99">
        <v>19</v>
      </c>
    </row>
    <row r="100" spans="1:3" x14ac:dyDescent="0.3">
      <c r="A100">
        <f t="shared" si="1"/>
        <v>1.371</v>
      </c>
      <c r="B100">
        <v>4.1824961833901604</v>
      </c>
      <c r="C100">
        <v>19</v>
      </c>
    </row>
    <row r="101" spans="1:3" x14ac:dyDescent="0.3">
      <c r="A101">
        <f t="shared" si="1"/>
        <v>1.375</v>
      </c>
      <c r="B101">
        <v>4.1924961833901602</v>
      </c>
      <c r="C101">
        <v>19</v>
      </c>
    </row>
    <row r="102" spans="1:3" x14ac:dyDescent="0.3">
      <c r="A102">
        <f t="shared" si="1"/>
        <v>1.3779999999999999</v>
      </c>
      <c r="B102">
        <v>4.20249618339016</v>
      </c>
      <c r="C102">
        <v>18</v>
      </c>
    </row>
    <row r="103" spans="1:3" x14ac:dyDescent="0.3">
      <c r="A103">
        <f t="shared" si="1"/>
        <v>1.381</v>
      </c>
      <c r="B103">
        <v>4.2124961833901597</v>
      </c>
      <c r="C103">
        <v>18</v>
      </c>
    </row>
    <row r="104" spans="1:3" x14ac:dyDescent="0.3">
      <c r="A104">
        <f t="shared" si="1"/>
        <v>1.3839999999999999</v>
      </c>
      <c r="B104">
        <v>4.2224961833901604</v>
      </c>
      <c r="C104">
        <v>18</v>
      </c>
    </row>
    <row r="105" spans="1:3" x14ac:dyDescent="0.3">
      <c r="A105">
        <f t="shared" si="1"/>
        <v>1.3879999999999999</v>
      </c>
      <c r="B105">
        <v>4.2324961833901602</v>
      </c>
      <c r="C105">
        <v>18</v>
      </c>
    </row>
    <row r="106" spans="1:3" x14ac:dyDescent="0.3">
      <c r="A106">
        <f t="shared" si="1"/>
        <v>1.391</v>
      </c>
      <c r="B106">
        <v>4.24249618339016</v>
      </c>
      <c r="C106">
        <v>18</v>
      </c>
    </row>
    <row r="107" spans="1:3" x14ac:dyDescent="0.3">
      <c r="A107">
        <f t="shared" si="1"/>
        <v>1.3939999999999999</v>
      </c>
      <c r="B107">
        <v>4.2524961833901598</v>
      </c>
      <c r="C107">
        <v>18</v>
      </c>
    </row>
    <row r="108" spans="1:3" x14ac:dyDescent="0.3">
      <c r="A108">
        <f t="shared" si="1"/>
        <v>1.3979999999999999</v>
      </c>
      <c r="B108">
        <v>4.2624961833901596</v>
      </c>
      <c r="C108">
        <v>18</v>
      </c>
    </row>
    <row r="109" spans="1:3" x14ac:dyDescent="0.3">
      <c r="A109">
        <f t="shared" si="1"/>
        <v>1.401</v>
      </c>
      <c r="B109">
        <v>4.2724961833901602</v>
      </c>
      <c r="C109">
        <v>18</v>
      </c>
    </row>
    <row r="110" spans="1:3" x14ac:dyDescent="0.3">
      <c r="A110">
        <f t="shared" si="1"/>
        <v>1.4039999999999999</v>
      </c>
      <c r="B110">
        <v>4.28249618339016</v>
      </c>
      <c r="C110">
        <v>18</v>
      </c>
    </row>
    <row r="111" spans="1:3" x14ac:dyDescent="0.3">
      <c r="A111">
        <f t="shared" si="1"/>
        <v>1.407</v>
      </c>
      <c r="B111">
        <v>4.2924961833901598</v>
      </c>
      <c r="C111">
        <v>18</v>
      </c>
    </row>
    <row r="112" spans="1:3" x14ac:dyDescent="0.3">
      <c r="A112">
        <f t="shared" si="1"/>
        <v>1.411</v>
      </c>
      <c r="B112">
        <v>4.3024961833901596</v>
      </c>
      <c r="C112">
        <v>17</v>
      </c>
    </row>
    <row r="113" spans="1:3" x14ac:dyDescent="0.3">
      <c r="A113">
        <f t="shared" si="1"/>
        <v>1.4139999999999999</v>
      </c>
      <c r="B113">
        <v>4.3124961833901603</v>
      </c>
      <c r="C113">
        <v>17</v>
      </c>
    </row>
    <row r="114" spans="1:3" x14ac:dyDescent="0.3">
      <c r="A114">
        <f t="shared" si="1"/>
        <v>1.417</v>
      </c>
      <c r="B114">
        <v>4.3224961833901601</v>
      </c>
      <c r="C114">
        <v>17</v>
      </c>
    </row>
    <row r="115" spans="1:3" x14ac:dyDescent="0.3">
      <c r="A115">
        <f t="shared" si="1"/>
        <v>1.42</v>
      </c>
      <c r="B115">
        <v>4.3324961833901598</v>
      </c>
      <c r="C115">
        <v>17</v>
      </c>
    </row>
    <row r="116" spans="1:3" x14ac:dyDescent="0.3">
      <c r="A116">
        <f t="shared" si="1"/>
        <v>1.4239999999999999</v>
      </c>
      <c r="B116">
        <v>4.3424961833901596</v>
      </c>
      <c r="C116">
        <v>17</v>
      </c>
    </row>
    <row r="117" spans="1:3" x14ac:dyDescent="0.3">
      <c r="A117">
        <f t="shared" si="1"/>
        <v>1.427</v>
      </c>
      <c r="B117">
        <v>4.3524961833901603</v>
      </c>
      <c r="C117">
        <v>17</v>
      </c>
    </row>
    <row r="118" spans="1:3" x14ac:dyDescent="0.3">
      <c r="A118">
        <f t="shared" si="1"/>
        <v>1.43</v>
      </c>
      <c r="B118">
        <v>4.3624961833901601</v>
      </c>
      <c r="C118">
        <v>17</v>
      </c>
    </row>
    <row r="119" spans="1:3" x14ac:dyDescent="0.3">
      <c r="A119">
        <f t="shared" si="1"/>
        <v>1.4339999999999999</v>
      </c>
      <c r="B119">
        <v>4.3724961833901599</v>
      </c>
      <c r="C119">
        <v>17</v>
      </c>
    </row>
    <row r="120" spans="1:3" x14ac:dyDescent="0.3">
      <c r="A120">
        <f t="shared" si="1"/>
        <v>1.4370000000000001</v>
      </c>
      <c r="B120">
        <v>4.3824961833901597</v>
      </c>
      <c r="C120">
        <v>17</v>
      </c>
    </row>
    <row r="121" spans="1:3" x14ac:dyDescent="0.3">
      <c r="A121">
        <f t="shared" si="1"/>
        <v>1.44</v>
      </c>
      <c r="B121">
        <v>4.3924961833901603</v>
      </c>
      <c r="C121">
        <v>17</v>
      </c>
    </row>
    <row r="122" spans="1:3" x14ac:dyDescent="0.3">
      <c r="A122">
        <f t="shared" si="1"/>
        <v>1.4430000000000001</v>
      </c>
      <c r="B122">
        <v>4.4024961833901601</v>
      </c>
      <c r="C122">
        <v>17</v>
      </c>
    </row>
    <row r="123" spans="1:3" x14ac:dyDescent="0.3">
      <c r="A123">
        <f t="shared" si="1"/>
        <v>1.4470000000000001</v>
      </c>
      <c r="B123">
        <v>4.4124961833901599</v>
      </c>
      <c r="C123">
        <v>17</v>
      </c>
    </row>
    <row r="124" spans="1:3" x14ac:dyDescent="0.3">
      <c r="A124">
        <f t="shared" si="1"/>
        <v>1.45</v>
      </c>
      <c r="B124">
        <v>4.4224961833901597</v>
      </c>
      <c r="C124">
        <v>17</v>
      </c>
    </row>
    <row r="125" spans="1:3" x14ac:dyDescent="0.3">
      <c r="A125">
        <f t="shared" si="1"/>
        <v>1.4530000000000001</v>
      </c>
      <c r="B125">
        <v>4.4324961833901604</v>
      </c>
      <c r="C125">
        <v>17</v>
      </c>
    </row>
    <row r="126" spans="1:3" x14ac:dyDescent="0.3">
      <c r="A126">
        <f t="shared" si="1"/>
        <v>1.4570000000000001</v>
      </c>
      <c r="B126">
        <v>4.4424961833901602</v>
      </c>
      <c r="C126">
        <v>18</v>
      </c>
    </row>
    <row r="127" spans="1:3" x14ac:dyDescent="0.3">
      <c r="A127">
        <f t="shared" si="1"/>
        <v>1.46</v>
      </c>
      <c r="B127">
        <v>4.45249618339016</v>
      </c>
      <c r="C127">
        <v>18</v>
      </c>
    </row>
    <row r="128" spans="1:3" x14ac:dyDescent="0.3">
      <c r="A128">
        <f t="shared" si="1"/>
        <v>1.4630000000000001</v>
      </c>
      <c r="B128">
        <v>4.4624961833901597</v>
      </c>
      <c r="C128">
        <v>18</v>
      </c>
    </row>
    <row r="129" spans="1:3" x14ac:dyDescent="0.3">
      <c r="A129">
        <f t="shared" si="1"/>
        <v>1.466</v>
      </c>
      <c r="B129">
        <v>4.4724961833901604</v>
      </c>
      <c r="C129">
        <v>18</v>
      </c>
    </row>
    <row r="130" spans="1:3" x14ac:dyDescent="0.3">
      <c r="A130">
        <f t="shared" si="1"/>
        <v>1.47</v>
      </c>
      <c r="B130">
        <v>4.4824961833901602</v>
      </c>
      <c r="C130">
        <v>18</v>
      </c>
    </row>
    <row r="131" spans="1:3" x14ac:dyDescent="0.3">
      <c r="A131">
        <f t="shared" ref="A131:A194" si="2">ROUND(B131/3.05,3)</f>
        <v>1.4730000000000001</v>
      </c>
      <c r="B131">
        <v>4.49249618339016</v>
      </c>
      <c r="C131">
        <v>18</v>
      </c>
    </row>
    <row r="132" spans="1:3" x14ac:dyDescent="0.3">
      <c r="A132">
        <f t="shared" si="2"/>
        <v>1.476</v>
      </c>
      <c r="B132">
        <v>4.5024961833901598</v>
      </c>
      <c r="C132">
        <v>18</v>
      </c>
    </row>
    <row r="133" spans="1:3" x14ac:dyDescent="0.3">
      <c r="A133">
        <f t="shared" si="2"/>
        <v>1.48</v>
      </c>
      <c r="B133">
        <v>4.5124961833901596</v>
      </c>
      <c r="C133">
        <v>18</v>
      </c>
    </row>
    <row r="134" spans="1:3" x14ac:dyDescent="0.3">
      <c r="A134">
        <f t="shared" si="2"/>
        <v>1.4830000000000001</v>
      </c>
      <c r="B134">
        <v>4.5224961833901602</v>
      </c>
      <c r="C134">
        <v>18</v>
      </c>
    </row>
    <row r="135" spans="1:3" x14ac:dyDescent="0.3">
      <c r="A135">
        <f t="shared" si="2"/>
        <v>1.486</v>
      </c>
      <c r="B135">
        <v>4.53249618339016</v>
      </c>
      <c r="C135">
        <v>18</v>
      </c>
    </row>
    <row r="136" spans="1:3" x14ac:dyDescent="0.3">
      <c r="A136">
        <f t="shared" si="2"/>
        <v>1.4890000000000001</v>
      </c>
      <c r="B136">
        <v>4.5424961833901598</v>
      </c>
      <c r="C136">
        <v>18</v>
      </c>
    </row>
    <row r="137" spans="1:3" x14ac:dyDescent="0.3">
      <c r="A137">
        <f t="shared" si="2"/>
        <v>1.4930000000000001</v>
      </c>
      <c r="B137">
        <v>4.5524961833901596</v>
      </c>
      <c r="C137">
        <v>18</v>
      </c>
    </row>
    <row r="138" spans="1:3" x14ac:dyDescent="0.3">
      <c r="A138">
        <f t="shared" si="2"/>
        <v>1.496</v>
      </c>
      <c r="B138">
        <v>4.5624961833901603</v>
      </c>
      <c r="C138">
        <v>18</v>
      </c>
    </row>
    <row r="139" spans="1:3" x14ac:dyDescent="0.3">
      <c r="A139">
        <f t="shared" si="2"/>
        <v>1.4990000000000001</v>
      </c>
      <c r="B139">
        <v>4.5724961833901601</v>
      </c>
      <c r="C139">
        <v>18</v>
      </c>
    </row>
    <row r="140" spans="1:3" x14ac:dyDescent="0.3">
      <c r="A140">
        <f t="shared" si="2"/>
        <v>1.502</v>
      </c>
      <c r="B140">
        <v>4.5824961833901598</v>
      </c>
      <c r="C140">
        <v>18</v>
      </c>
    </row>
    <row r="141" spans="1:3" x14ac:dyDescent="0.3">
      <c r="A141">
        <f t="shared" si="2"/>
        <v>1.506</v>
      </c>
      <c r="B141">
        <v>4.5924961833901596</v>
      </c>
      <c r="C141">
        <v>17</v>
      </c>
    </row>
    <row r="142" spans="1:3" x14ac:dyDescent="0.3">
      <c r="A142">
        <f t="shared" si="2"/>
        <v>1.5089999999999999</v>
      </c>
      <c r="B142">
        <v>4.6024961833901603</v>
      </c>
      <c r="C142">
        <v>17</v>
      </c>
    </row>
    <row r="143" spans="1:3" x14ac:dyDescent="0.3">
      <c r="A143">
        <f t="shared" si="2"/>
        <v>1.512</v>
      </c>
      <c r="B143">
        <v>4.6124961833901601</v>
      </c>
      <c r="C143">
        <v>17</v>
      </c>
    </row>
    <row r="144" spans="1:3" x14ac:dyDescent="0.3">
      <c r="A144">
        <f t="shared" si="2"/>
        <v>1.516</v>
      </c>
      <c r="B144">
        <v>4.6224961833901599</v>
      </c>
      <c r="C144">
        <v>17</v>
      </c>
    </row>
    <row r="145" spans="1:3" x14ac:dyDescent="0.3">
      <c r="A145">
        <f t="shared" si="2"/>
        <v>1.5189999999999999</v>
      </c>
      <c r="B145">
        <v>4.6324961833901597</v>
      </c>
      <c r="C145">
        <v>17</v>
      </c>
    </row>
    <row r="146" spans="1:3" x14ac:dyDescent="0.3">
      <c r="A146">
        <f t="shared" si="2"/>
        <v>1.522</v>
      </c>
      <c r="B146">
        <v>4.6424961833901603</v>
      </c>
      <c r="C146">
        <v>17</v>
      </c>
    </row>
    <row r="147" spans="1:3" x14ac:dyDescent="0.3">
      <c r="A147">
        <f t="shared" si="2"/>
        <v>1.5249999999999999</v>
      </c>
      <c r="B147">
        <v>4.6524961833901601</v>
      </c>
      <c r="C147">
        <v>17</v>
      </c>
    </row>
    <row r="148" spans="1:3" x14ac:dyDescent="0.3">
      <c r="A148">
        <f t="shared" si="2"/>
        <v>1.5289999999999999</v>
      </c>
      <c r="B148">
        <v>4.6624961833901599</v>
      </c>
      <c r="C148">
        <v>17</v>
      </c>
    </row>
    <row r="149" spans="1:3" x14ac:dyDescent="0.3">
      <c r="A149">
        <f t="shared" si="2"/>
        <v>1.532</v>
      </c>
      <c r="B149">
        <v>4.6724961833901597</v>
      </c>
      <c r="C149">
        <v>17</v>
      </c>
    </row>
    <row r="150" spans="1:3" x14ac:dyDescent="0.3">
      <c r="A150">
        <f t="shared" si="2"/>
        <v>1.5349999999999999</v>
      </c>
      <c r="B150">
        <v>4.6824961833901604</v>
      </c>
      <c r="C150">
        <v>17</v>
      </c>
    </row>
    <row r="151" spans="1:3" x14ac:dyDescent="0.3">
      <c r="A151">
        <f t="shared" si="2"/>
        <v>1.5389999999999999</v>
      </c>
      <c r="B151">
        <v>4.6924961833901602</v>
      </c>
      <c r="C151">
        <v>17</v>
      </c>
    </row>
    <row r="152" spans="1:3" x14ac:dyDescent="0.3">
      <c r="A152">
        <f t="shared" si="2"/>
        <v>1.542</v>
      </c>
      <c r="B152">
        <v>4.70249618339016</v>
      </c>
      <c r="C152">
        <v>17</v>
      </c>
    </row>
    <row r="153" spans="1:3" x14ac:dyDescent="0.3">
      <c r="A153">
        <f t="shared" si="2"/>
        <v>1.5449999999999999</v>
      </c>
      <c r="B153">
        <v>4.7124961833901597</v>
      </c>
      <c r="C153">
        <v>17</v>
      </c>
    </row>
    <row r="154" spans="1:3" x14ac:dyDescent="0.3">
      <c r="A154">
        <f t="shared" si="2"/>
        <v>1.548</v>
      </c>
      <c r="B154">
        <v>4.7224961833901604</v>
      </c>
      <c r="C154">
        <v>17</v>
      </c>
    </row>
    <row r="155" spans="1:3" x14ac:dyDescent="0.3">
      <c r="A155">
        <f t="shared" si="2"/>
        <v>1.552</v>
      </c>
      <c r="B155">
        <v>4.7324961833901602</v>
      </c>
      <c r="C155">
        <v>17</v>
      </c>
    </row>
    <row r="156" spans="1:3" x14ac:dyDescent="0.3">
      <c r="A156">
        <f t="shared" si="2"/>
        <v>1.5549999999999999</v>
      </c>
      <c r="B156">
        <v>4.74249618339016</v>
      </c>
      <c r="C156">
        <v>17</v>
      </c>
    </row>
    <row r="157" spans="1:3" x14ac:dyDescent="0.3">
      <c r="A157">
        <f t="shared" si="2"/>
        <v>1.5580000000000001</v>
      </c>
      <c r="B157">
        <v>4.7524961833901598</v>
      </c>
      <c r="C157">
        <v>17</v>
      </c>
    </row>
    <row r="158" spans="1:3" x14ac:dyDescent="0.3">
      <c r="A158">
        <f t="shared" si="2"/>
        <v>1.5609999999999999</v>
      </c>
      <c r="B158">
        <v>4.7624961833901596</v>
      </c>
      <c r="C158">
        <v>17</v>
      </c>
    </row>
    <row r="159" spans="1:3" x14ac:dyDescent="0.3">
      <c r="A159">
        <f t="shared" si="2"/>
        <v>1.5649999999999999</v>
      </c>
      <c r="B159">
        <v>4.7724961833901602</v>
      </c>
      <c r="C159">
        <v>17</v>
      </c>
    </row>
    <row r="160" spans="1:3" x14ac:dyDescent="0.3">
      <c r="A160">
        <f t="shared" si="2"/>
        <v>1.5680000000000001</v>
      </c>
      <c r="B160">
        <v>4.78249618339016</v>
      </c>
      <c r="C160">
        <v>17</v>
      </c>
    </row>
    <row r="161" spans="1:3" x14ac:dyDescent="0.3">
      <c r="A161">
        <f t="shared" si="2"/>
        <v>1.571</v>
      </c>
      <c r="B161">
        <v>4.7924961833901598</v>
      </c>
      <c r="C161">
        <v>17</v>
      </c>
    </row>
    <row r="162" spans="1:3" x14ac:dyDescent="0.3">
      <c r="A162">
        <f t="shared" si="2"/>
        <v>1.575</v>
      </c>
      <c r="B162">
        <v>4.8024961833901596</v>
      </c>
      <c r="C162">
        <v>17</v>
      </c>
    </row>
    <row r="163" spans="1:3" x14ac:dyDescent="0.3">
      <c r="A163">
        <f t="shared" si="2"/>
        <v>1.5780000000000001</v>
      </c>
      <c r="B163">
        <v>4.8124961833901603</v>
      </c>
      <c r="C163">
        <v>17</v>
      </c>
    </row>
    <row r="164" spans="1:3" x14ac:dyDescent="0.3">
      <c r="A164">
        <f t="shared" si="2"/>
        <v>1.581</v>
      </c>
      <c r="B164">
        <v>4.8224961833901601</v>
      </c>
      <c r="C164">
        <v>17</v>
      </c>
    </row>
    <row r="165" spans="1:3" x14ac:dyDescent="0.3">
      <c r="A165">
        <f t="shared" si="2"/>
        <v>1.5840000000000001</v>
      </c>
      <c r="B165">
        <v>4.8324961833901598</v>
      </c>
      <c r="C165">
        <v>17</v>
      </c>
    </row>
    <row r="166" spans="1:3" x14ac:dyDescent="0.3">
      <c r="A166">
        <f t="shared" si="2"/>
        <v>1.5880000000000001</v>
      </c>
      <c r="B166">
        <v>4.8424961833901596</v>
      </c>
      <c r="C166">
        <v>17</v>
      </c>
    </row>
    <row r="167" spans="1:3" x14ac:dyDescent="0.3">
      <c r="A167">
        <f t="shared" si="2"/>
        <v>1.591</v>
      </c>
      <c r="B167">
        <v>4.8524961833901603</v>
      </c>
      <c r="C167">
        <v>17</v>
      </c>
    </row>
    <row r="168" spans="1:3" x14ac:dyDescent="0.3">
      <c r="A168">
        <f t="shared" si="2"/>
        <v>1.5940000000000001</v>
      </c>
      <c r="B168">
        <v>4.8624961833901601</v>
      </c>
      <c r="C168">
        <v>17</v>
      </c>
    </row>
    <row r="169" spans="1:3" x14ac:dyDescent="0.3">
      <c r="A169">
        <f t="shared" si="2"/>
        <v>1.5980000000000001</v>
      </c>
      <c r="B169">
        <v>4.8724961833901599</v>
      </c>
      <c r="C169">
        <v>17</v>
      </c>
    </row>
    <row r="170" spans="1:3" x14ac:dyDescent="0.3">
      <c r="A170">
        <f t="shared" si="2"/>
        <v>1.601</v>
      </c>
      <c r="B170">
        <v>4.8824961833901597</v>
      </c>
      <c r="C170">
        <v>17</v>
      </c>
    </row>
    <row r="171" spans="1:3" x14ac:dyDescent="0.3">
      <c r="A171">
        <f t="shared" si="2"/>
        <v>1.6040000000000001</v>
      </c>
      <c r="B171">
        <v>4.8924961833901603</v>
      </c>
      <c r="C171">
        <v>17</v>
      </c>
    </row>
    <row r="172" spans="1:3" x14ac:dyDescent="0.3">
      <c r="A172">
        <f t="shared" si="2"/>
        <v>1.607</v>
      </c>
      <c r="B172">
        <v>4.9024961833901601</v>
      </c>
      <c r="C172">
        <v>17</v>
      </c>
    </row>
    <row r="173" spans="1:3" x14ac:dyDescent="0.3">
      <c r="A173">
        <f t="shared" si="2"/>
        <v>1.611</v>
      </c>
      <c r="B173">
        <v>4.9124961833901599</v>
      </c>
      <c r="C173">
        <v>17</v>
      </c>
    </row>
    <row r="174" spans="1:3" x14ac:dyDescent="0.3">
      <c r="A174">
        <f t="shared" si="2"/>
        <v>1.6140000000000001</v>
      </c>
      <c r="B174">
        <v>4.9224961833901597</v>
      </c>
      <c r="C174">
        <v>17</v>
      </c>
    </row>
    <row r="175" spans="1:3" x14ac:dyDescent="0.3">
      <c r="A175">
        <f t="shared" si="2"/>
        <v>1.617</v>
      </c>
      <c r="B175">
        <v>4.9324961833901604</v>
      </c>
      <c r="C175">
        <v>17</v>
      </c>
    </row>
    <row r="176" spans="1:3" x14ac:dyDescent="0.3">
      <c r="A176">
        <f t="shared" si="2"/>
        <v>1.62</v>
      </c>
      <c r="B176">
        <v>4.9424961833901602</v>
      </c>
      <c r="C176">
        <v>17</v>
      </c>
    </row>
    <row r="177" spans="1:3" x14ac:dyDescent="0.3">
      <c r="A177">
        <f t="shared" si="2"/>
        <v>1.6240000000000001</v>
      </c>
      <c r="B177">
        <v>4.95249618339016</v>
      </c>
      <c r="C177">
        <v>17</v>
      </c>
    </row>
    <row r="178" spans="1:3" x14ac:dyDescent="0.3">
      <c r="A178">
        <f t="shared" si="2"/>
        <v>1.627</v>
      </c>
      <c r="B178">
        <v>4.9624961833901597</v>
      </c>
      <c r="C178">
        <v>17</v>
      </c>
    </row>
    <row r="179" spans="1:3" x14ac:dyDescent="0.3">
      <c r="A179">
        <f t="shared" si="2"/>
        <v>1.63</v>
      </c>
      <c r="B179">
        <v>4.9724961833901604</v>
      </c>
      <c r="C179">
        <v>17</v>
      </c>
    </row>
    <row r="180" spans="1:3" x14ac:dyDescent="0.3">
      <c r="A180">
        <f t="shared" si="2"/>
        <v>1.6339999999999999</v>
      </c>
      <c r="B180">
        <v>4.9824961833901602</v>
      </c>
      <c r="C180">
        <v>16</v>
      </c>
    </row>
    <row r="181" spans="1:3" x14ac:dyDescent="0.3">
      <c r="A181">
        <f t="shared" si="2"/>
        <v>1.637</v>
      </c>
      <c r="B181">
        <v>4.99249618339016</v>
      </c>
      <c r="C181">
        <v>16</v>
      </c>
    </row>
    <row r="182" spans="1:3" x14ac:dyDescent="0.3">
      <c r="A182">
        <f t="shared" si="2"/>
        <v>1.64</v>
      </c>
      <c r="B182">
        <v>5.0024961833901598</v>
      </c>
      <c r="C182">
        <v>16</v>
      </c>
    </row>
    <row r="183" spans="1:3" x14ac:dyDescent="0.3">
      <c r="A183">
        <f t="shared" si="2"/>
        <v>1.643</v>
      </c>
      <c r="B183">
        <v>5.0124961833901596</v>
      </c>
      <c r="C183">
        <v>16</v>
      </c>
    </row>
    <row r="184" spans="1:3" x14ac:dyDescent="0.3">
      <c r="A184">
        <f t="shared" si="2"/>
        <v>1.647</v>
      </c>
      <c r="B184">
        <v>5.0224961833901602</v>
      </c>
      <c r="C184">
        <v>16</v>
      </c>
    </row>
    <row r="185" spans="1:3" x14ac:dyDescent="0.3">
      <c r="A185">
        <f t="shared" si="2"/>
        <v>1.65</v>
      </c>
      <c r="B185">
        <v>5.03249618339016</v>
      </c>
      <c r="C185">
        <v>16</v>
      </c>
    </row>
    <row r="186" spans="1:3" x14ac:dyDescent="0.3">
      <c r="A186">
        <f t="shared" si="2"/>
        <v>1.653</v>
      </c>
      <c r="B186">
        <v>5.0424961833901598</v>
      </c>
      <c r="C186">
        <v>16</v>
      </c>
    </row>
    <row r="187" spans="1:3" x14ac:dyDescent="0.3">
      <c r="A187">
        <f t="shared" si="2"/>
        <v>1.657</v>
      </c>
      <c r="B187">
        <v>5.0524961833901596</v>
      </c>
      <c r="C187">
        <v>16</v>
      </c>
    </row>
    <row r="188" spans="1:3" x14ac:dyDescent="0.3">
      <c r="A188">
        <f t="shared" si="2"/>
        <v>1.66</v>
      </c>
      <c r="B188">
        <v>5.0624961833901603</v>
      </c>
      <c r="C188">
        <v>16</v>
      </c>
    </row>
    <row r="189" spans="1:3" x14ac:dyDescent="0.3">
      <c r="A189">
        <f t="shared" si="2"/>
        <v>1.663</v>
      </c>
      <c r="B189">
        <v>5.0724961833901601</v>
      </c>
      <c r="C189">
        <v>16</v>
      </c>
    </row>
    <row r="190" spans="1:3" x14ac:dyDescent="0.3">
      <c r="A190">
        <f t="shared" si="2"/>
        <v>1.6659999999999999</v>
      </c>
      <c r="B190">
        <v>5.0824961833901598</v>
      </c>
      <c r="C190">
        <v>16</v>
      </c>
    </row>
    <row r="191" spans="1:3" x14ac:dyDescent="0.3">
      <c r="A191">
        <f t="shared" si="2"/>
        <v>1.67</v>
      </c>
      <c r="B191">
        <v>5.0924961833901596</v>
      </c>
      <c r="C191">
        <v>16</v>
      </c>
    </row>
    <row r="192" spans="1:3" x14ac:dyDescent="0.3">
      <c r="A192">
        <f t="shared" si="2"/>
        <v>1.673</v>
      </c>
      <c r="B192">
        <v>5.1024961833901603</v>
      </c>
      <c r="C192">
        <v>16</v>
      </c>
    </row>
    <row r="193" spans="1:3" x14ac:dyDescent="0.3">
      <c r="A193">
        <f t="shared" si="2"/>
        <v>1.6759999999999999</v>
      </c>
      <c r="B193">
        <v>5.1124961833901601</v>
      </c>
      <c r="C193">
        <v>16</v>
      </c>
    </row>
    <row r="194" spans="1:3" x14ac:dyDescent="0.3">
      <c r="A194">
        <f t="shared" si="2"/>
        <v>1.68</v>
      </c>
      <c r="B194">
        <v>5.1224961833901599</v>
      </c>
      <c r="C194">
        <v>16</v>
      </c>
    </row>
    <row r="195" spans="1:3" x14ac:dyDescent="0.3">
      <c r="A195">
        <f t="shared" ref="A195:A258" si="3">ROUND(B195/3.05,3)</f>
        <v>1.6830000000000001</v>
      </c>
      <c r="B195">
        <v>5.1324961833901597</v>
      </c>
      <c r="C195">
        <v>16</v>
      </c>
    </row>
    <row r="196" spans="1:3" x14ac:dyDescent="0.3">
      <c r="A196">
        <f t="shared" si="3"/>
        <v>1.6859999999999999</v>
      </c>
      <c r="B196">
        <v>5.1424961833901603</v>
      </c>
      <c r="C196">
        <v>16</v>
      </c>
    </row>
    <row r="197" spans="1:3" x14ac:dyDescent="0.3">
      <c r="A197">
        <f t="shared" si="3"/>
        <v>1.6890000000000001</v>
      </c>
      <c r="B197">
        <v>5.1524961833901601</v>
      </c>
      <c r="C197">
        <v>16</v>
      </c>
    </row>
    <row r="198" spans="1:3" x14ac:dyDescent="0.3">
      <c r="A198">
        <f t="shared" si="3"/>
        <v>1.6930000000000001</v>
      </c>
      <c r="B198">
        <v>5.1624961833901599</v>
      </c>
      <c r="C198">
        <v>16</v>
      </c>
    </row>
    <row r="199" spans="1:3" x14ac:dyDescent="0.3">
      <c r="A199">
        <f t="shared" si="3"/>
        <v>1.696</v>
      </c>
      <c r="B199">
        <v>5.1724961833901597</v>
      </c>
      <c r="C199">
        <v>16</v>
      </c>
    </row>
    <row r="200" spans="1:3" x14ac:dyDescent="0.3">
      <c r="A200">
        <f t="shared" si="3"/>
        <v>1.6990000000000001</v>
      </c>
      <c r="B200">
        <v>5.1824961833901604</v>
      </c>
      <c r="C200">
        <v>16</v>
      </c>
    </row>
    <row r="201" spans="1:3" x14ac:dyDescent="0.3">
      <c r="A201">
        <f t="shared" si="3"/>
        <v>1.702</v>
      </c>
      <c r="B201">
        <v>5.1924961833901602</v>
      </c>
      <c r="C201">
        <v>16</v>
      </c>
    </row>
    <row r="202" spans="1:3" x14ac:dyDescent="0.3">
      <c r="A202">
        <f t="shared" si="3"/>
        <v>1.706</v>
      </c>
      <c r="B202">
        <v>5.20249618339016</v>
      </c>
      <c r="C202">
        <v>16</v>
      </c>
    </row>
    <row r="203" spans="1:3" x14ac:dyDescent="0.3">
      <c r="A203">
        <f t="shared" si="3"/>
        <v>1.7090000000000001</v>
      </c>
      <c r="B203">
        <v>5.2124961833901597</v>
      </c>
      <c r="C203">
        <v>16</v>
      </c>
    </row>
    <row r="204" spans="1:3" x14ac:dyDescent="0.3">
      <c r="A204">
        <f t="shared" si="3"/>
        <v>1.712</v>
      </c>
      <c r="B204">
        <v>5.2224961833901604</v>
      </c>
      <c r="C204">
        <v>16</v>
      </c>
    </row>
    <row r="205" spans="1:3" x14ac:dyDescent="0.3">
      <c r="A205">
        <f t="shared" si="3"/>
        <v>1.716</v>
      </c>
      <c r="B205">
        <v>5.2324961833901602</v>
      </c>
      <c r="C205">
        <v>16</v>
      </c>
    </row>
    <row r="206" spans="1:3" x14ac:dyDescent="0.3">
      <c r="A206">
        <f t="shared" si="3"/>
        <v>1.7190000000000001</v>
      </c>
      <c r="B206">
        <v>5.24249618339016</v>
      </c>
      <c r="C206">
        <v>16</v>
      </c>
    </row>
    <row r="207" spans="1:3" x14ac:dyDescent="0.3">
      <c r="A207">
        <f t="shared" si="3"/>
        <v>1.722</v>
      </c>
      <c r="B207">
        <v>5.2524961833901598</v>
      </c>
      <c r="C207">
        <v>16</v>
      </c>
    </row>
    <row r="208" spans="1:3" x14ac:dyDescent="0.3">
      <c r="A208">
        <f t="shared" si="3"/>
        <v>1.7250000000000001</v>
      </c>
      <c r="B208">
        <v>5.2624961833901596</v>
      </c>
      <c r="C208">
        <v>16</v>
      </c>
    </row>
    <row r="209" spans="1:3" x14ac:dyDescent="0.3">
      <c r="A209">
        <f t="shared" si="3"/>
        <v>1.7290000000000001</v>
      </c>
      <c r="B209">
        <v>5.2724961833901602</v>
      </c>
      <c r="C209">
        <v>16</v>
      </c>
    </row>
    <row r="210" spans="1:3" x14ac:dyDescent="0.3">
      <c r="A210">
        <f t="shared" si="3"/>
        <v>1.732</v>
      </c>
      <c r="B210">
        <v>5.28249618339016</v>
      </c>
      <c r="C210">
        <v>16</v>
      </c>
    </row>
    <row r="211" spans="1:3" x14ac:dyDescent="0.3">
      <c r="A211">
        <f t="shared" si="3"/>
        <v>1.7350000000000001</v>
      </c>
      <c r="B211">
        <v>5.2924961833901598</v>
      </c>
      <c r="C211">
        <v>16</v>
      </c>
    </row>
    <row r="212" spans="1:3" x14ac:dyDescent="0.3">
      <c r="A212">
        <f t="shared" si="3"/>
        <v>1.7390000000000001</v>
      </c>
      <c r="B212">
        <v>5.3024961833901596</v>
      </c>
      <c r="C212">
        <v>16</v>
      </c>
    </row>
    <row r="213" spans="1:3" x14ac:dyDescent="0.3">
      <c r="A213">
        <f t="shared" si="3"/>
        <v>1.742</v>
      </c>
      <c r="B213">
        <v>5.3124961833901603</v>
      </c>
      <c r="C213">
        <v>16</v>
      </c>
    </row>
    <row r="214" spans="1:3" x14ac:dyDescent="0.3">
      <c r="A214">
        <f t="shared" si="3"/>
        <v>1.7450000000000001</v>
      </c>
      <c r="B214">
        <v>5.3224961833901601</v>
      </c>
      <c r="C214">
        <v>16</v>
      </c>
    </row>
    <row r="215" spans="1:3" x14ac:dyDescent="0.3">
      <c r="A215">
        <f t="shared" si="3"/>
        <v>1.748</v>
      </c>
      <c r="B215">
        <v>5.3324961833901598</v>
      </c>
      <c r="C215">
        <v>16</v>
      </c>
    </row>
    <row r="216" spans="1:3" x14ac:dyDescent="0.3">
      <c r="A216">
        <f t="shared" si="3"/>
        <v>1.752</v>
      </c>
      <c r="B216">
        <v>5.3424961833901596</v>
      </c>
      <c r="C216">
        <v>16</v>
      </c>
    </row>
    <row r="217" spans="1:3" x14ac:dyDescent="0.3">
      <c r="A217">
        <f t="shared" si="3"/>
        <v>1.7549999999999999</v>
      </c>
      <c r="B217">
        <v>5.3524961833901603</v>
      </c>
      <c r="C217">
        <v>16</v>
      </c>
    </row>
    <row r="218" spans="1:3" x14ac:dyDescent="0.3">
      <c r="A218">
        <f t="shared" si="3"/>
        <v>1.758</v>
      </c>
      <c r="B218">
        <v>5.3624961833901601</v>
      </c>
      <c r="C218">
        <v>16</v>
      </c>
    </row>
    <row r="219" spans="1:3" x14ac:dyDescent="0.3">
      <c r="A219">
        <f t="shared" si="3"/>
        <v>1.7609999999999999</v>
      </c>
      <c r="B219">
        <v>5.3724961833901599</v>
      </c>
      <c r="C219">
        <v>16</v>
      </c>
    </row>
    <row r="220" spans="1:3" x14ac:dyDescent="0.3">
      <c r="A220">
        <f t="shared" si="3"/>
        <v>1.7649999999999999</v>
      </c>
      <c r="B220">
        <v>5.3824961833901597</v>
      </c>
      <c r="C220">
        <v>16</v>
      </c>
    </row>
    <row r="221" spans="1:3" x14ac:dyDescent="0.3">
      <c r="A221">
        <f t="shared" si="3"/>
        <v>1.768</v>
      </c>
      <c r="B221">
        <v>5.3924961833901603</v>
      </c>
      <c r="C221">
        <v>16</v>
      </c>
    </row>
    <row r="222" spans="1:3" x14ac:dyDescent="0.3">
      <c r="A222">
        <f t="shared" si="3"/>
        <v>1.7709999999999999</v>
      </c>
      <c r="B222">
        <v>5.4024961833901601</v>
      </c>
      <c r="C222">
        <v>16</v>
      </c>
    </row>
    <row r="223" spans="1:3" x14ac:dyDescent="0.3">
      <c r="A223">
        <f t="shared" si="3"/>
        <v>1.7749999999999999</v>
      </c>
      <c r="B223">
        <v>5.4124961833901599</v>
      </c>
      <c r="C223">
        <v>16</v>
      </c>
    </row>
    <row r="224" spans="1:3" x14ac:dyDescent="0.3">
      <c r="A224">
        <f t="shared" si="3"/>
        <v>1.778</v>
      </c>
      <c r="B224">
        <v>5.4224961833901597</v>
      </c>
      <c r="C224">
        <v>16</v>
      </c>
    </row>
    <row r="225" spans="1:3" x14ac:dyDescent="0.3">
      <c r="A225">
        <f t="shared" si="3"/>
        <v>1.7809999999999999</v>
      </c>
      <c r="B225">
        <v>5.4324961833901604</v>
      </c>
      <c r="C225">
        <v>16</v>
      </c>
    </row>
    <row r="226" spans="1:3" x14ac:dyDescent="0.3">
      <c r="A226">
        <f t="shared" si="3"/>
        <v>1.784</v>
      </c>
      <c r="B226">
        <v>5.4424961833901602</v>
      </c>
      <c r="C226">
        <v>16</v>
      </c>
    </row>
    <row r="227" spans="1:3" x14ac:dyDescent="0.3">
      <c r="A227">
        <f t="shared" si="3"/>
        <v>1.788</v>
      </c>
      <c r="B227">
        <v>5.45249618339016</v>
      </c>
      <c r="C227">
        <v>16</v>
      </c>
    </row>
    <row r="228" spans="1:3" x14ac:dyDescent="0.3">
      <c r="A228">
        <f t="shared" si="3"/>
        <v>1.7909999999999999</v>
      </c>
      <c r="B228">
        <v>5.4624961833901597</v>
      </c>
      <c r="C228">
        <v>16</v>
      </c>
    </row>
    <row r="229" spans="1:3" x14ac:dyDescent="0.3">
      <c r="A229">
        <f t="shared" si="3"/>
        <v>1.794</v>
      </c>
      <c r="B229">
        <v>5.4724961833901604</v>
      </c>
      <c r="C229">
        <v>16</v>
      </c>
    </row>
    <row r="230" spans="1:3" x14ac:dyDescent="0.3">
      <c r="A230">
        <f t="shared" si="3"/>
        <v>1.798</v>
      </c>
      <c r="B230">
        <v>5.4824961833901602</v>
      </c>
      <c r="C230">
        <v>16</v>
      </c>
    </row>
    <row r="231" spans="1:3" x14ac:dyDescent="0.3">
      <c r="A231">
        <f t="shared" si="3"/>
        <v>1.8009999999999999</v>
      </c>
      <c r="B231">
        <v>5.49249618339016</v>
      </c>
      <c r="C231">
        <v>16</v>
      </c>
    </row>
    <row r="232" spans="1:3" x14ac:dyDescent="0.3">
      <c r="A232">
        <f t="shared" si="3"/>
        <v>1.804</v>
      </c>
      <c r="B232">
        <v>5.5024961833901598</v>
      </c>
      <c r="C232">
        <v>15</v>
      </c>
    </row>
    <row r="233" spans="1:3" x14ac:dyDescent="0.3">
      <c r="A233">
        <f t="shared" si="3"/>
        <v>1.8069999999999999</v>
      </c>
      <c r="B233">
        <v>5.5124961833901596</v>
      </c>
      <c r="C233">
        <v>15</v>
      </c>
    </row>
    <row r="234" spans="1:3" x14ac:dyDescent="0.3">
      <c r="A234">
        <f t="shared" si="3"/>
        <v>1.8109999999999999</v>
      </c>
      <c r="B234">
        <v>5.5224961833901602</v>
      </c>
      <c r="C234">
        <v>15</v>
      </c>
    </row>
    <row r="235" spans="1:3" x14ac:dyDescent="0.3">
      <c r="A235">
        <f t="shared" si="3"/>
        <v>1.8140000000000001</v>
      </c>
      <c r="B235">
        <v>5.53249618339016</v>
      </c>
      <c r="C235">
        <v>15</v>
      </c>
    </row>
    <row r="236" spans="1:3" x14ac:dyDescent="0.3">
      <c r="A236">
        <f t="shared" si="3"/>
        <v>1.8169999999999999</v>
      </c>
      <c r="B236">
        <v>5.5424961833901598</v>
      </c>
      <c r="C236">
        <v>15</v>
      </c>
    </row>
    <row r="237" spans="1:3" x14ac:dyDescent="0.3">
      <c r="A237">
        <f t="shared" si="3"/>
        <v>1.82</v>
      </c>
      <c r="B237">
        <v>5.5524961833901596</v>
      </c>
      <c r="C237">
        <v>15</v>
      </c>
    </row>
    <row r="238" spans="1:3" x14ac:dyDescent="0.3">
      <c r="A238">
        <f t="shared" si="3"/>
        <v>1.8240000000000001</v>
      </c>
      <c r="B238">
        <v>5.5624961833901603</v>
      </c>
      <c r="C238">
        <v>15</v>
      </c>
    </row>
    <row r="239" spans="1:3" x14ac:dyDescent="0.3">
      <c r="A239">
        <f t="shared" si="3"/>
        <v>1.827</v>
      </c>
      <c r="B239">
        <v>5.5724961833901601</v>
      </c>
      <c r="C239">
        <v>15</v>
      </c>
    </row>
    <row r="240" spans="1:3" x14ac:dyDescent="0.3">
      <c r="A240">
        <f t="shared" si="3"/>
        <v>1.83</v>
      </c>
      <c r="B240">
        <v>5.5824961833901598</v>
      </c>
      <c r="C240">
        <v>15</v>
      </c>
    </row>
    <row r="241" spans="1:3" x14ac:dyDescent="0.3">
      <c r="A241">
        <f t="shared" si="3"/>
        <v>1.8340000000000001</v>
      </c>
      <c r="B241">
        <v>5.5924961833901596</v>
      </c>
      <c r="C241">
        <v>15</v>
      </c>
    </row>
    <row r="242" spans="1:3" x14ac:dyDescent="0.3">
      <c r="A242">
        <f t="shared" si="3"/>
        <v>1.837</v>
      </c>
      <c r="B242">
        <v>5.6024961833901603</v>
      </c>
      <c r="C242">
        <v>15</v>
      </c>
    </row>
    <row r="243" spans="1:3" x14ac:dyDescent="0.3">
      <c r="A243">
        <f t="shared" si="3"/>
        <v>1.84</v>
      </c>
      <c r="B243">
        <v>5.6124961833901601</v>
      </c>
      <c r="C243">
        <v>15</v>
      </c>
    </row>
    <row r="244" spans="1:3" x14ac:dyDescent="0.3">
      <c r="A244">
        <f t="shared" si="3"/>
        <v>1.843</v>
      </c>
      <c r="B244">
        <v>5.6224961833901599</v>
      </c>
      <c r="C244">
        <v>15</v>
      </c>
    </row>
    <row r="245" spans="1:3" x14ac:dyDescent="0.3">
      <c r="A245">
        <f t="shared" si="3"/>
        <v>1.847</v>
      </c>
      <c r="B245">
        <v>5.6324961833901597</v>
      </c>
      <c r="C245">
        <v>15</v>
      </c>
    </row>
    <row r="246" spans="1:3" x14ac:dyDescent="0.3">
      <c r="A246">
        <f t="shared" si="3"/>
        <v>1.85</v>
      </c>
      <c r="B246">
        <v>5.6424961833901603</v>
      </c>
      <c r="C246">
        <v>15</v>
      </c>
    </row>
    <row r="247" spans="1:3" x14ac:dyDescent="0.3">
      <c r="A247">
        <f t="shared" si="3"/>
        <v>1.853</v>
      </c>
      <c r="B247">
        <v>5.6524961833901601</v>
      </c>
      <c r="C247">
        <v>15</v>
      </c>
    </row>
    <row r="248" spans="1:3" x14ac:dyDescent="0.3">
      <c r="A248">
        <f t="shared" si="3"/>
        <v>1.857</v>
      </c>
      <c r="B248">
        <v>5.6624961833901599</v>
      </c>
      <c r="C248">
        <v>15</v>
      </c>
    </row>
    <row r="249" spans="1:3" x14ac:dyDescent="0.3">
      <c r="A249">
        <f t="shared" si="3"/>
        <v>1.86</v>
      </c>
      <c r="B249">
        <v>5.6724961833901597</v>
      </c>
      <c r="C249">
        <v>15</v>
      </c>
    </row>
    <row r="250" spans="1:3" x14ac:dyDescent="0.3">
      <c r="A250">
        <f t="shared" si="3"/>
        <v>1.863</v>
      </c>
      <c r="B250">
        <v>5.6824961833901604</v>
      </c>
      <c r="C250">
        <v>15</v>
      </c>
    </row>
    <row r="251" spans="1:3" x14ac:dyDescent="0.3">
      <c r="A251">
        <f t="shared" si="3"/>
        <v>1.8660000000000001</v>
      </c>
      <c r="B251">
        <v>5.6924961833901602</v>
      </c>
      <c r="C251">
        <v>15</v>
      </c>
    </row>
    <row r="252" spans="1:3" x14ac:dyDescent="0.3">
      <c r="A252">
        <f t="shared" si="3"/>
        <v>1.87</v>
      </c>
      <c r="B252">
        <v>5.70249618339016</v>
      </c>
      <c r="C252">
        <v>15</v>
      </c>
    </row>
    <row r="253" spans="1:3" x14ac:dyDescent="0.3">
      <c r="A253">
        <f t="shared" si="3"/>
        <v>1.873</v>
      </c>
      <c r="B253">
        <v>5.7124961833901597</v>
      </c>
      <c r="C253">
        <v>15</v>
      </c>
    </row>
    <row r="254" spans="1:3" x14ac:dyDescent="0.3">
      <c r="A254">
        <f t="shared" si="3"/>
        <v>1.8759999999999999</v>
      </c>
      <c r="B254">
        <v>5.7224961833901604</v>
      </c>
      <c r="C254">
        <v>15</v>
      </c>
    </row>
    <row r="255" spans="1:3" x14ac:dyDescent="0.3">
      <c r="A255">
        <f t="shared" si="3"/>
        <v>1.88</v>
      </c>
      <c r="B255">
        <v>5.7324961833901602</v>
      </c>
      <c r="C255">
        <v>15</v>
      </c>
    </row>
    <row r="256" spans="1:3" x14ac:dyDescent="0.3">
      <c r="A256">
        <f t="shared" si="3"/>
        <v>1.883</v>
      </c>
      <c r="B256">
        <v>5.74249618339016</v>
      </c>
      <c r="C256">
        <v>15</v>
      </c>
    </row>
    <row r="257" spans="1:3" x14ac:dyDescent="0.3">
      <c r="A257">
        <f t="shared" si="3"/>
        <v>1.8859999999999999</v>
      </c>
      <c r="B257">
        <v>5.7524961833901598</v>
      </c>
      <c r="C257">
        <v>15</v>
      </c>
    </row>
    <row r="258" spans="1:3" x14ac:dyDescent="0.3">
      <c r="A258">
        <f t="shared" si="3"/>
        <v>1.889</v>
      </c>
      <c r="B258">
        <v>5.7624961833901596</v>
      </c>
      <c r="C258">
        <v>15</v>
      </c>
    </row>
    <row r="259" spans="1:3" x14ac:dyDescent="0.3">
      <c r="A259">
        <f t="shared" ref="A259:A291" si="4">ROUND(B259/3.05,3)</f>
        <v>1.893</v>
      </c>
      <c r="B259">
        <v>5.7724961833901602</v>
      </c>
      <c r="C259">
        <v>15</v>
      </c>
    </row>
    <row r="260" spans="1:3" x14ac:dyDescent="0.3">
      <c r="A260">
        <f t="shared" si="4"/>
        <v>1.8959999999999999</v>
      </c>
      <c r="B260">
        <v>5.78249618339016</v>
      </c>
      <c r="C260">
        <v>15</v>
      </c>
    </row>
    <row r="261" spans="1:3" x14ac:dyDescent="0.3">
      <c r="A261">
        <f t="shared" si="4"/>
        <v>1.899</v>
      </c>
      <c r="B261">
        <v>5.7924961833901598</v>
      </c>
      <c r="C261">
        <v>15</v>
      </c>
    </row>
    <row r="262" spans="1:3" x14ac:dyDescent="0.3">
      <c r="A262">
        <f t="shared" si="4"/>
        <v>1.9019999999999999</v>
      </c>
      <c r="B262">
        <v>5.8024961833901596</v>
      </c>
      <c r="C262">
        <v>15</v>
      </c>
    </row>
    <row r="263" spans="1:3" x14ac:dyDescent="0.3">
      <c r="A263">
        <f t="shared" si="4"/>
        <v>1.9059999999999999</v>
      </c>
      <c r="B263">
        <v>5.8124961833901603</v>
      </c>
      <c r="C263">
        <v>15</v>
      </c>
    </row>
    <row r="264" spans="1:3" x14ac:dyDescent="0.3">
      <c r="A264">
        <f t="shared" si="4"/>
        <v>1.909</v>
      </c>
      <c r="B264">
        <v>5.8224961833901601</v>
      </c>
      <c r="C264">
        <v>15</v>
      </c>
    </row>
    <row r="265" spans="1:3" x14ac:dyDescent="0.3">
      <c r="A265">
        <f t="shared" si="4"/>
        <v>1.9119999999999999</v>
      </c>
      <c r="B265">
        <v>5.8324961833901598</v>
      </c>
      <c r="C265">
        <v>15</v>
      </c>
    </row>
    <row r="266" spans="1:3" x14ac:dyDescent="0.3">
      <c r="A266">
        <f t="shared" si="4"/>
        <v>1.9159999999999999</v>
      </c>
      <c r="B266">
        <v>5.8424961833901596</v>
      </c>
      <c r="C266">
        <v>15</v>
      </c>
    </row>
    <row r="267" spans="1:3" x14ac:dyDescent="0.3">
      <c r="A267">
        <f t="shared" si="4"/>
        <v>1.919</v>
      </c>
      <c r="B267">
        <v>5.8524961833901603</v>
      </c>
      <c r="C267">
        <v>15</v>
      </c>
    </row>
    <row r="268" spans="1:3" x14ac:dyDescent="0.3">
      <c r="A268">
        <f t="shared" si="4"/>
        <v>1.9219999999999999</v>
      </c>
      <c r="B268">
        <v>5.8624961833901601</v>
      </c>
      <c r="C268">
        <v>15</v>
      </c>
    </row>
    <row r="269" spans="1:3" x14ac:dyDescent="0.3">
      <c r="A269">
        <f t="shared" si="4"/>
        <v>1.925</v>
      </c>
      <c r="B269">
        <v>5.8724961833901599</v>
      </c>
      <c r="C269">
        <v>15</v>
      </c>
    </row>
    <row r="270" spans="1:3" x14ac:dyDescent="0.3">
      <c r="A270">
        <f t="shared" si="4"/>
        <v>1.929</v>
      </c>
      <c r="B270">
        <v>5.8824961833901597</v>
      </c>
      <c r="C270">
        <v>15</v>
      </c>
    </row>
    <row r="271" spans="1:3" x14ac:dyDescent="0.3">
      <c r="A271">
        <f t="shared" si="4"/>
        <v>1.9319999999999999</v>
      </c>
      <c r="B271">
        <v>5.8924961833901603</v>
      </c>
      <c r="C271">
        <v>15</v>
      </c>
    </row>
    <row r="272" spans="1:3" x14ac:dyDescent="0.3">
      <c r="A272">
        <f t="shared" si="4"/>
        <v>1.9350000000000001</v>
      </c>
      <c r="B272">
        <v>5.9024961833901601</v>
      </c>
      <c r="C272">
        <v>15</v>
      </c>
    </row>
    <row r="273" spans="1:3" x14ac:dyDescent="0.3">
      <c r="A273">
        <f t="shared" si="4"/>
        <v>1.9390000000000001</v>
      </c>
      <c r="B273">
        <v>5.9124961833901599</v>
      </c>
      <c r="C273">
        <v>15</v>
      </c>
    </row>
    <row r="274" spans="1:3" x14ac:dyDescent="0.3">
      <c r="A274">
        <f t="shared" si="4"/>
        <v>1.9419999999999999</v>
      </c>
      <c r="B274">
        <v>5.9224961833901597</v>
      </c>
      <c r="C274">
        <v>15</v>
      </c>
    </row>
    <row r="275" spans="1:3" x14ac:dyDescent="0.3">
      <c r="A275">
        <f t="shared" si="4"/>
        <v>1.9450000000000001</v>
      </c>
      <c r="B275">
        <v>5.9324961833901604</v>
      </c>
      <c r="C275">
        <v>15</v>
      </c>
    </row>
    <row r="276" spans="1:3" x14ac:dyDescent="0.3">
      <c r="A276">
        <f t="shared" si="4"/>
        <v>1.948</v>
      </c>
      <c r="B276">
        <v>5.9424961833901602</v>
      </c>
      <c r="C276">
        <v>15</v>
      </c>
    </row>
    <row r="277" spans="1:3" x14ac:dyDescent="0.3">
      <c r="A277">
        <f t="shared" si="4"/>
        <v>1.952</v>
      </c>
      <c r="B277">
        <v>5.95249618339016</v>
      </c>
      <c r="C277">
        <v>15</v>
      </c>
    </row>
    <row r="278" spans="1:3" x14ac:dyDescent="0.3">
      <c r="A278">
        <f t="shared" si="4"/>
        <v>1.9550000000000001</v>
      </c>
      <c r="B278">
        <v>5.9624961833901597</v>
      </c>
      <c r="C278">
        <v>15</v>
      </c>
    </row>
    <row r="279" spans="1:3" x14ac:dyDescent="0.3">
      <c r="A279">
        <f t="shared" si="4"/>
        <v>1.958</v>
      </c>
      <c r="B279">
        <v>5.9724961833901604</v>
      </c>
      <c r="C279">
        <v>15</v>
      </c>
    </row>
    <row r="280" spans="1:3" x14ac:dyDescent="0.3">
      <c r="A280">
        <f t="shared" si="4"/>
        <v>1.9610000000000001</v>
      </c>
      <c r="B280">
        <v>5.9824961833901602</v>
      </c>
      <c r="C280">
        <v>15</v>
      </c>
    </row>
    <row r="281" spans="1:3" x14ac:dyDescent="0.3">
      <c r="A281">
        <f t="shared" si="4"/>
        <v>1.9650000000000001</v>
      </c>
      <c r="B281">
        <v>5.99249618339016</v>
      </c>
      <c r="C281">
        <v>15</v>
      </c>
    </row>
    <row r="282" spans="1:3" x14ac:dyDescent="0.3">
      <c r="A282">
        <f t="shared" si="4"/>
        <v>1.968</v>
      </c>
      <c r="B282">
        <v>6.0024961833901598</v>
      </c>
      <c r="C282">
        <v>15</v>
      </c>
    </row>
    <row r="283" spans="1:3" x14ac:dyDescent="0.3">
      <c r="A283">
        <f t="shared" si="4"/>
        <v>1.9710000000000001</v>
      </c>
      <c r="B283">
        <v>6.0124961833901596</v>
      </c>
      <c r="C283">
        <v>15</v>
      </c>
    </row>
    <row r="284" spans="1:3" x14ac:dyDescent="0.3">
      <c r="A284">
        <f t="shared" si="4"/>
        <v>1.9750000000000001</v>
      </c>
      <c r="B284">
        <v>6.0224961833901602</v>
      </c>
      <c r="C284">
        <v>15</v>
      </c>
    </row>
    <row r="285" spans="1:3" x14ac:dyDescent="0.3">
      <c r="A285">
        <f t="shared" si="4"/>
        <v>1.978</v>
      </c>
      <c r="B285">
        <v>6.03249618339016</v>
      </c>
      <c r="C285">
        <v>15</v>
      </c>
    </row>
    <row r="286" spans="1:3" x14ac:dyDescent="0.3">
      <c r="A286">
        <f t="shared" si="4"/>
        <v>1.9810000000000001</v>
      </c>
      <c r="B286">
        <v>6.0424961833901598</v>
      </c>
      <c r="C286">
        <v>15</v>
      </c>
    </row>
    <row r="287" spans="1:3" x14ac:dyDescent="0.3">
      <c r="A287">
        <f t="shared" si="4"/>
        <v>1.984</v>
      </c>
      <c r="B287">
        <v>6.0524961833901596</v>
      </c>
      <c r="C287">
        <v>15</v>
      </c>
    </row>
    <row r="288" spans="1:3" x14ac:dyDescent="0.3">
      <c r="A288">
        <f t="shared" si="4"/>
        <v>1.988</v>
      </c>
      <c r="B288">
        <v>6.0624961833901603</v>
      </c>
      <c r="C288">
        <v>15</v>
      </c>
    </row>
    <row r="289" spans="1:3" x14ac:dyDescent="0.3">
      <c r="A289">
        <f t="shared" si="4"/>
        <v>1.9910000000000001</v>
      </c>
      <c r="B289">
        <v>6.0724961833901601</v>
      </c>
      <c r="C289">
        <v>15</v>
      </c>
    </row>
    <row r="290" spans="1:3" x14ac:dyDescent="0.3">
      <c r="A290">
        <f t="shared" si="4"/>
        <v>1.994</v>
      </c>
      <c r="B290">
        <v>6.0824961833901598</v>
      </c>
      <c r="C290">
        <v>15</v>
      </c>
    </row>
    <row r="291" spans="1:3" x14ac:dyDescent="0.3">
      <c r="A291">
        <f t="shared" si="4"/>
        <v>1.998</v>
      </c>
      <c r="B291">
        <v>6.0924961833901596</v>
      </c>
      <c r="C291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7C1A-4F2E-4DB5-9550-3EE7389BDDF3}">
  <dimension ref="A1:F139"/>
  <sheetViews>
    <sheetView topLeftCell="A53" zoomScale="116" zoomScaleNormal="116" workbookViewId="0">
      <selection activeCell="B16" sqref="B16"/>
    </sheetView>
  </sheetViews>
  <sheetFormatPr defaultRowHeight="14.4" x14ac:dyDescent="0.3"/>
  <cols>
    <col min="1" max="1" width="29" customWidth="1"/>
    <col min="2" max="2" width="13" customWidth="1"/>
    <col min="3" max="3" width="15" customWidth="1"/>
    <col min="4" max="4" width="25.109375" customWidth="1"/>
    <col min="5" max="5" width="33.77734375" bestFit="1" customWidth="1"/>
    <col min="6" max="6" width="25.5546875" bestFit="1" customWidth="1"/>
  </cols>
  <sheetData>
    <row r="1" spans="1:3" ht="31.2" x14ac:dyDescent="0.6">
      <c r="A1" s="27" t="s">
        <v>220</v>
      </c>
    </row>
    <row r="2" spans="1:3" x14ac:dyDescent="0.3">
      <c r="A2" s="5" t="s">
        <v>11</v>
      </c>
      <c r="B2" s="5">
        <v>8</v>
      </c>
      <c r="C2" s="5"/>
    </row>
    <row r="3" spans="1:3" x14ac:dyDescent="0.3">
      <c r="A3" s="5" t="s">
        <v>211</v>
      </c>
      <c r="B3" s="5" t="s">
        <v>210</v>
      </c>
      <c r="C3" s="5"/>
    </row>
    <row r="4" spans="1:3" x14ac:dyDescent="0.3">
      <c r="A4" s="5"/>
      <c r="B4" s="5" t="s">
        <v>212</v>
      </c>
      <c r="C4" s="5"/>
    </row>
    <row r="5" spans="1:3" x14ac:dyDescent="0.3">
      <c r="A5" s="5"/>
      <c r="B5" s="5" t="s">
        <v>213</v>
      </c>
      <c r="C5" s="5"/>
    </row>
    <row r="6" spans="1:3" x14ac:dyDescent="0.3">
      <c r="A6" s="5"/>
      <c r="B6" s="5" t="s">
        <v>214</v>
      </c>
      <c r="C6" s="5"/>
    </row>
    <row r="7" spans="1:3" x14ac:dyDescent="0.3">
      <c r="A7" s="5" t="s">
        <v>12</v>
      </c>
    </row>
    <row r="8" spans="1:3" x14ac:dyDescent="0.3">
      <c r="A8" t="s">
        <v>215</v>
      </c>
      <c r="B8" s="8">
        <f>(10+B2)%</f>
        <v>0.18</v>
      </c>
      <c r="C8" t="s">
        <v>14</v>
      </c>
    </row>
    <row r="9" spans="1:3" x14ac:dyDescent="0.3">
      <c r="B9" s="8">
        <f>(B8/78)/((B8/78)+((1-B8)/92))</f>
        <v>0.20566318926974661</v>
      </c>
      <c r="C9" t="s">
        <v>15</v>
      </c>
    </row>
    <row r="10" spans="1:3" x14ac:dyDescent="0.3">
      <c r="A10" t="s">
        <v>16</v>
      </c>
      <c r="B10" s="8">
        <f>90%</f>
        <v>0.9</v>
      </c>
      <c r="C10" t="s">
        <v>15</v>
      </c>
    </row>
    <row r="11" spans="1:3" x14ac:dyDescent="0.3">
      <c r="A11" t="s">
        <v>26</v>
      </c>
      <c r="B11" s="8">
        <f>0.05</f>
        <v>0.05</v>
      </c>
      <c r="C11" t="s">
        <v>15</v>
      </c>
    </row>
    <row r="12" spans="1:3" x14ac:dyDescent="0.3">
      <c r="A12" t="s">
        <v>45</v>
      </c>
      <c r="B12" s="8">
        <f>(B9*78+(1-B9)*92)/((B9*78/B28)+((1-B9)*92/C28))</f>
        <v>0.86627958108728265</v>
      </c>
      <c r="C12" t="s">
        <v>47</v>
      </c>
    </row>
    <row r="13" spans="1:3" x14ac:dyDescent="0.3">
      <c r="A13" t="s">
        <v>48</v>
      </c>
      <c r="B13" s="8">
        <f>(B10*78+(1-B10)*92)/((B10*78/$B$28)+((1-B10)*92/$C$28))</f>
        <v>0.87692338514041013</v>
      </c>
      <c r="C13" t="s">
        <v>47</v>
      </c>
    </row>
    <row r="14" spans="1:3" x14ac:dyDescent="0.3">
      <c r="A14" t="s">
        <v>49</v>
      </c>
      <c r="B14" s="8">
        <f>(B11*78+(1-B11)*92)/((B11*78/$B$28)+((1-B11)*92/$C$28))</f>
        <v>0.86423439784388534</v>
      </c>
      <c r="C14" t="s">
        <v>47</v>
      </c>
    </row>
    <row r="15" spans="1:3" x14ac:dyDescent="0.3">
      <c r="A15" t="s">
        <v>50</v>
      </c>
      <c r="B15" s="8">
        <f>AVERAGE(B12:B14)</f>
        <v>0.86914578802385944</v>
      </c>
      <c r="C15" t="s">
        <v>47</v>
      </c>
    </row>
    <row r="16" spans="1:3" x14ac:dyDescent="0.3">
      <c r="A16" t="s">
        <v>17</v>
      </c>
      <c r="B16" s="8">
        <f>1/(B8/78+(1-B8)/92)</f>
        <v>89.120715350223534</v>
      </c>
      <c r="C16" t="s">
        <v>18</v>
      </c>
    </row>
    <row r="17" spans="1:4" x14ac:dyDescent="0.3">
      <c r="A17" t="s">
        <v>19</v>
      </c>
      <c r="B17" s="8">
        <f>30+0.5*B2</f>
        <v>34</v>
      </c>
      <c r="C17" t="s">
        <v>20</v>
      </c>
    </row>
    <row r="18" spans="1:4" x14ac:dyDescent="0.3">
      <c r="B18" s="8">
        <f>B17*1000/B16</f>
        <v>381.50501672240807</v>
      </c>
      <c r="C18" t="s">
        <v>21</v>
      </c>
    </row>
    <row r="19" spans="1:4" x14ac:dyDescent="0.3">
      <c r="A19" t="s">
        <v>25</v>
      </c>
      <c r="B19" s="8">
        <f>(B18*(B9-B11))/(B10-B11)</f>
        <v>69.866220735785944</v>
      </c>
      <c r="C19" t="s">
        <v>21</v>
      </c>
    </row>
    <row r="20" spans="1:4" x14ac:dyDescent="0.3">
      <c r="A20" t="s">
        <v>27</v>
      </c>
      <c r="B20" s="8">
        <f>B18-B19</f>
        <v>311.63879598662214</v>
      </c>
      <c r="C20" t="s">
        <v>21</v>
      </c>
    </row>
    <row r="22" spans="1:4" x14ac:dyDescent="0.3">
      <c r="A22" t="s">
        <v>0</v>
      </c>
    </row>
    <row r="23" spans="1:4" x14ac:dyDescent="0.3">
      <c r="A23" t="s">
        <v>6</v>
      </c>
    </row>
    <row r="24" spans="1:4" x14ac:dyDescent="0.3">
      <c r="B24" s="8" t="s">
        <v>4</v>
      </c>
      <c r="C24" s="8" t="s">
        <v>5</v>
      </c>
    </row>
    <row r="25" spans="1:4" x14ac:dyDescent="0.3">
      <c r="A25" t="s">
        <v>1</v>
      </c>
      <c r="B25" s="8">
        <v>6.01905</v>
      </c>
      <c r="C25" s="8">
        <v>6.0843600000000002</v>
      </c>
    </row>
    <row r="26" spans="1:4" x14ac:dyDescent="0.3">
      <c r="A26" t="s">
        <v>2</v>
      </c>
      <c r="B26" s="8">
        <v>1204.6369999999999</v>
      </c>
      <c r="C26" s="8">
        <v>1347.62</v>
      </c>
    </row>
    <row r="27" spans="1:4" x14ac:dyDescent="0.3">
      <c r="A27" t="s">
        <v>3</v>
      </c>
      <c r="B27" s="8">
        <v>220.089</v>
      </c>
      <c r="C27" s="8">
        <v>219.78700000000001</v>
      </c>
    </row>
    <row r="28" spans="1:4" x14ac:dyDescent="0.3">
      <c r="A28" t="s">
        <v>46</v>
      </c>
      <c r="B28" s="8">
        <v>0.87870000000000004</v>
      </c>
      <c r="C28" s="8">
        <v>0.86360000000000003</v>
      </c>
      <c r="D28" t="s">
        <v>47</v>
      </c>
    </row>
    <row r="29" spans="1:4" x14ac:dyDescent="0.3">
      <c r="A29" t="s">
        <v>152</v>
      </c>
      <c r="B29" s="8">
        <f>353.05-273</f>
        <v>80.050000000000011</v>
      </c>
      <c r="C29" s="8">
        <f>383.6-273</f>
        <v>110.60000000000002</v>
      </c>
      <c r="D29" t="s">
        <v>31</v>
      </c>
    </row>
    <row r="31" spans="1:4" x14ac:dyDescent="0.3">
      <c r="A31" t="s">
        <v>22</v>
      </c>
      <c r="B31" s="8">
        <f>B10</f>
        <v>0.9</v>
      </c>
      <c r="C31" s="8">
        <f>1-B31</f>
        <v>9.9999999999999978E-2</v>
      </c>
    </row>
    <row r="32" spans="1:4" x14ac:dyDescent="0.3">
      <c r="A32" t="s">
        <v>23</v>
      </c>
      <c r="B32" s="8">
        <f>B11</f>
        <v>0.05</v>
      </c>
      <c r="C32" s="8">
        <f>1-B32</f>
        <v>0.95</v>
      </c>
    </row>
    <row r="33" spans="1:4" x14ac:dyDescent="0.3">
      <c r="A33" t="s">
        <v>224</v>
      </c>
      <c r="B33" s="8">
        <f>10^(B$25-B$26/($B37+B$27))</f>
        <v>107.48823743121346</v>
      </c>
      <c r="C33" s="8">
        <f>10^(C$25-C$26/($B37+C$27))</f>
        <v>41.58078019976255</v>
      </c>
      <c r="D33" t="s">
        <v>65</v>
      </c>
    </row>
    <row r="34" spans="1:4" x14ac:dyDescent="0.3">
      <c r="A34" t="s">
        <v>30</v>
      </c>
      <c r="B34" s="8">
        <f>10^(B$25-B$26/($B38+B$27))</f>
        <v>138.65473043088119</v>
      </c>
      <c r="C34" s="8">
        <f>10^(C$25-C$26/($B38+C$27))</f>
        <v>55.31399965287514</v>
      </c>
      <c r="D34" t="s">
        <v>65</v>
      </c>
    </row>
    <row r="36" spans="1:4" x14ac:dyDescent="0.3">
      <c r="A36" s="28"/>
      <c r="B36" s="28"/>
      <c r="C36" s="28"/>
      <c r="D36" s="28"/>
    </row>
    <row r="37" spans="1:4" x14ac:dyDescent="0.3">
      <c r="A37" t="s">
        <v>225</v>
      </c>
      <c r="B37" s="8">
        <v>82</v>
      </c>
      <c r="C37" t="s">
        <v>31</v>
      </c>
    </row>
    <row r="38" spans="1:4" ht="28.8" x14ac:dyDescent="0.3">
      <c r="A38" s="3" t="s">
        <v>207</v>
      </c>
      <c r="B38" s="8">
        <v>90.615455229861908</v>
      </c>
      <c r="C38" t="s">
        <v>31</v>
      </c>
    </row>
    <row r="40" spans="1:4" x14ac:dyDescent="0.3">
      <c r="A40" s="3" t="s">
        <v>209</v>
      </c>
      <c r="B40" s="8">
        <f>B33*$B$31+C33*$C$31</f>
        <v>100.89749170806837</v>
      </c>
      <c r="C40" t="s">
        <v>65</v>
      </c>
    </row>
    <row r="41" spans="1:4" x14ac:dyDescent="0.3">
      <c r="A41" t="s">
        <v>64</v>
      </c>
    </row>
    <row r="42" spans="1:4" x14ac:dyDescent="0.3">
      <c r="A42" t="s">
        <v>44</v>
      </c>
      <c r="B42" s="8">
        <f>B40+101.325*0.3/1.0332</f>
        <v>130.31822341538546</v>
      </c>
      <c r="C42" s="8">
        <f>B34*$B$31+C34*$C$31</f>
        <v>130.32065735308058</v>
      </c>
    </row>
    <row r="44" spans="1:4" x14ac:dyDescent="0.3">
      <c r="A44" t="s">
        <v>7</v>
      </c>
      <c r="B44" s="8">
        <f>10^(B$25-B$26/($B46+B$27))</f>
        <v>300.05141614657344</v>
      </c>
      <c r="C44" s="8">
        <f>10^(C$25-C$26/($B46+C$27))</f>
        <v>131.39777632389593</v>
      </c>
    </row>
    <row r="46" spans="1:4" x14ac:dyDescent="0.3">
      <c r="A46" t="s">
        <v>24</v>
      </c>
      <c r="B46" s="8">
        <v>120.0257792789362</v>
      </c>
      <c r="C46" t="s">
        <v>31</v>
      </c>
    </row>
    <row r="47" spans="1:4" x14ac:dyDescent="0.3">
      <c r="A47" s="3" t="s">
        <v>174</v>
      </c>
      <c r="B47" s="17">
        <f>B42+18*B15*(60/10000)*101.325</f>
        <v>139.82937268830935</v>
      </c>
      <c r="C47" s="29">
        <f>B32*B44+C32*C44</f>
        <v>139.8304583150298</v>
      </c>
      <c r="D47" t="s">
        <v>65</v>
      </c>
    </row>
    <row r="49" spans="1:4" x14ac:dyDescent="0.3">
      <c r="A49" s="19" t="s">
        <v>34</v>
      </c>
      <c r="B49" s="19"/>
      <c r="C49" s="19" t="s">
        <v>216</v>
      </c>
      <c r="D49" s="19"/>
    </row>
    <row r="50" spans="1:4" x14ac:dyDescent="0.3">
      <c r="A50" s="8"/>
      <c r="B50" s="8"/>
      <c r="C50" s="8" t="s">
        <v>4</v>
      </c>
      <c r="D50" s="8" t="s">
        <v>5</v>
      </c>
    </row>
    <row r="51" spans="1:4" x14ac:dyDescent="0.3">
      <c r="A51" s="8" t="s">
        <v>32</v>
      </c>
      <c r="B51" s="8">
        <f>B38</f>
        <v>90.615455229861908</v>
      </c>
      <c r="C51" s="8">
        <f>B34</f>
        <v>138.65473043088119</v>
      </c>
      <c r="D51" s="8">
        <f>C34</f>
        <v>55.31399965287514</v>
      </c>
    </row>
    <row r="52" spans="1:4" x14ac:dyDescent="0.3">
      <c r="A52" s="8" t="s">
        <v>33</v>
      </c>
      <c r="B52" s="8">
        <f>B46</f>
        <v>120.0257792789362</v>
      </c>
      <c r="C52" s="8">
        <f>B44</f>
        <v>300.05141614657344</v>
      </c>
      <c r="D52" s="8">
        <f>C44</f>
        <v>131.39777632389593</v>
      </c>
    </row>
    <row r="54" spans="1:4" x14ac:dyDescent="0.3">
      <c r="A54" t="s">
        <v>36</v>
      </c>
      <c r="B54" s="8">
        <f>C51/D51</f>
        <v>2.5066842264347833</v>
      </c>
    </row>
    <row r="55" spans="1:4" x14ac:dyDescent="0.3">
      <c r="A55" t="s">
        <v>37</v>
      </c>
      <c r="B55" s="8">
        <f>C52/D52</f>
        <v>2.28353496186226</v>
      </c>
    </row>
    <row r="57" spans="1:4" x14ac:dyDescent="0.3">
      <c r="A57" t="s">
        <v>38</v>
      </c>
      <c r="B57" s="8">
        <f>SQRT(B54*B55)</f>
        <v>2.3925093666300414</v>
      </c>
    </row>
    <row r="83" spans="1:2" s="17" customFormat="1" x14ac:dyDescent="0.3">
      <c r="A83" s="17" t="s">
        <v>43</v>
      </c>
      <c r="B83" s="17">
        <f>LN((B31/C31)*(C32/B32))/LN(B57)</f>
        <v>5.8940863570954543</v>
      </c>
    </row>
    <row r="84" spans="1:2" s="17" customFormat="1" x14ac:dyDescent="0.3">
      <c r="A84" s="17" t="s">
        <v>41</v>
      </c>
      <c r="B84" s="17">
        <f>(1/(B57-1))*((B10/B9)-(B57*(1-B10)/(1-B9)))</f>
        <v>2.9262935116185491</v>
      </c>
    </row>
    <row r="85" spans="1:2" s="17" customFormat="1" x14ac:dyDescent="0.3"/>
    <row r="86" spans="1:2" s="17" customFormat="1" x14ac:dyDescent="0.3">
      <c r="A86" s="17" t="s">
        <v>39</v>
      </c>
      <c r="B86" s="17">
        <f>B84*1.41</f>
        <v>4.126073851382154</v>
      </c>
    </row>
    <row r="87" spans="1:2" s="17" customFormat="1" x14ac:dyDescent="0.3">
      <c r="A87" s="17" t="s">
        <v>42</v>
      </c>
      <c r="B87" s="17">
        <f>0.7591-0.7532*((B86-B84)/(B86+1))^(0.5124)</f>
        <v>0.4012110563463589</v>
      </c>
    </row>
    <row r="88" spans="1:2" s="17" customFormat="1" x14ac:dyDescent="0.3">
      <c r="A88" s="17" t="s">
        <v>51</v>
      </c>
      <c r="B88" s="17">
        <f>B83/(1-B87)</f>
        <v>9.8433453382278628</v>
      </c>
    </row>
    <row r="89" spans="1:2" s="17" customFormat="1" x14ac:dyDescent="0.3"/>
    <row r="90" spans="1:2" s="17" customFormat="1" x14ac:dyDescent="0.3">
      <c r="A90" s="17" t="s">
        <v>52</v>
      </c>
    </row>
    <row r="91" spans="1:2" s="17" customFormat="1" x14ac:dyDescent="0.3"/>
    <row r="92" spans="1:2" s="17" customFormat="1" x14ac:dyDescent="0.3">
      <c r="A92" s="17" t="s">
        <v>53</v>
      </c>
      <c r="B92" s="17">
        <f>LN(($B$31/$C$31)*((1-$B$9)/$B$9))/LN(($B$9/(1-$B$9)*($C$32/$B$32)))</f>
        <v>2.2273138171847675</v>
      </c>
    </row>
    <row r="93" spans="1:2" s="17" customFormat="1" x14ac:dyDescent="0.3"/>
    <row r="94" spans="1:2" s="17" customFormat="1" x14ac:dyDescent="0.3">
      <c r="A94" s="17" t="s">
        <v>54</v>
      </c>
    </row>
    <row r="95" spans="1:2" s="17" customFormat="1" x14ac:dyDescent="0.3"/>
    <row r="96" spans="1:2" s="17" customFormat="1" x14ac:dyDescent="0.3">
      <c r="A96" s="17" t="s">
        <v>55</v>
      </c>
      <c r="B96" s="17">
        <f>70%</f>
        <v>0.7</v>
      </c>
    </row>
    <row r="97" spans="1:6" s="17" customFormat="1" x14ac:dyDescent="0.3"/>
    <row r="98" spans="1:6" s="17" customFormat="1" x14ac:dyDescent="0.3">
      <c r="A98" s="17" t="s">
        <v>56</v>
      </c>
      <c r="B98" s="17">
        <f>ROUNDUP(B88*(B92/(1+B92))/B96,0)</f>
        <v>10</v>
      </c>
    </row>
    <row r="99" spans="1:6" s="17" customFormat="1" x14ac:dyDescent="0.3">
      <c r="A99" s="17" t="s">
        <v>57</v>
      </c>
      <c r="B99" s="17">
        <f>ROUNDUP(B88*(1-(B92/(1+B92)))/B96,0)</f>
        <v>5</v>
      </c>
    </row>
    <row r="100" spans="1:6" s="17" customFormat="1" x14ac:dyDescent="0.3"/>
    <row r="101" spans="1:6" s="17" customFormat="1" x14ac:dyDescent="0.3">
      <c r="A101" s="17" t="s">
        <v>58</v>
      </c>
    </row>
    <row r="102" spans="1:6" s="17" customFormat="1" x14ac:dyDescent="0.3"/>
    <row r="103" spans="1:6" s="17" customFormat="1" ht="43.2" x14ac:dyDescent="0.3">
      <c r="A103" s="18" t="s">
        <v>59</v>
      </c>
      <c r="B103" s="18" t="s">
        <v>62</v>
      </c>
      <c r="C103" s="18" t="s">
        <v>63</v>
      </c>
      <c r="D103" s="18" t="s">
        <v>60</v>
      </c>
      <c r="E103" s="18" t="s">
        <v>119</v>
      </c>
      <c r="F103" s="18" t="s">
        <v>61</v>
      </c>
    </row>
    <row r="104" spans="1:6" s="17" customFormat="1" x14ac:dyDescent="0.3">
      <c r="A104" s="17">
        <f>1.2</f>
        <v>1.2</v>
      </c>
      <c r="B104" s="17">
        <f t="shared" ref="B104:B139" si="0">A104*$B$84</f>
        <v>3.511552213942259</v>
      </c>
      <c r="C104" s="17">
        <f t="shared" ref="C104:C139" si="1">$B$83/(1-(0.7591-0.7532*((B104-$B$84)/(B104+1))^(0.5124)))</f>
        <v>11.662262153960906</v>
      </c>
      <c r="D104" s="17">
        <f t="shared" ref="D104:D139" si="2">ROUNDUP(C104*($B$92/(1+$B$92))/$B$96,0)</f>
        <v>12</v>
      </c>
      <c r="E104" s="17">
        <f t="shared" ref="E104:E139" si="3">ROUNDUP(D104*(1-($B$92/(1+$B$92)))/$B$96,0)</f>
        <v>6</v>
      </c>
      <c r="F104" s="17">
        <f>D104+E104+1</f>
        <v>19</v>
      </c>
    </row>
    <row r="105" spans="1:6" s="17" customFormat="1" x14ac:dyDescent="0.3">
      <c r="A105" s="17">
        <f>A104+0.01</f>
        <v>1.21</v>
      </c>
      <c r="B105" s="17">
        <f t="shared" si="0"/>
        <v>3.5408151490584445</v>
      </c>
      <c r="C105" s="17">
        <f t="shared" si="1"/>
        <v>11.529968228376857</v>
      </c>
      <c r="D105" s="17">
        <f t="shared" si="2"/>
        <v>12</v>
      </c>
      <c r="E105" s="17">
        <f t="shared" si="3"/>
        <v>6</v>
      </c>
      <c r="F105" s="17">
        <f t="shared" ref="F105:F139" si="4">D105+E105+1</f>
        <v>19</v>
      </c>
    </row>
    <row r="106" spans="1:6" s="17" customFormat="1" x14ac:dyDescent="0.3">
      <c r="A106" s="17">
        <f t="shared" ref="A106:A139" si="5">A105+0.01</f>
        <v>1.22</v>
      </c>
      <c r="B106" s="17">
        <f t="shared" si="0"/>
        <v>3.57007808417463</v>
      </c>
      <c r="C106" s="17">
        <f t="shared" si="1"/>
        <v>11.404791830122063</v>
      </c>
      <c r="D106" s="17">
        <f t="shared" si="2"/>
        <v>12</v>
      </c>
      <c r="E106" s="17">
        <f t="shared" si="3"/>
        <v>6</v>
      </c>
      <c r="F106" s="17">
        <f t="shared" si="4"/>
        <v>19</v>
      </c>
    </row>
    <row r="107" spans="1:6" s="17" customFormat="1" x14ac:dyDescent="0.3">
      <c r="A107" s="17">
        <f t="shared" si="5"/>
        <v>1.23</v>
      </c>
      <c r="B107" s="17">
        <f t="shared" si="0"/>
        <v>3.5993410192908155</v>
      </c>
      <c r="C107" s="17">
        <f t="shared" si="1"/>
        <v>11.286104999037805</v>
      </c>
      <c r="D107" s="17">
        <f t="shared" si="2"/>
        <v>12</v>
      </c>
      <c r="E107" s="17">
        <f t="shared" si="3"/>
        <v>6</v>
      </c>
      <c r="F107" s="17">
        <f t="shared" si="4"/>
        <v>19</v>
      </c>
    </row>
    <row r="108" spans="1:6" s="17" customFormat="1" x14ac:dyDescent="0.3">
      <c r="A108" s="17">
        <f t="shared" si="5"/>
        <v>1.24</v>
      </c>
      <c r="B108" s="17">
        <f t="shared" si="0"/>
        <v>3.628603954407001</v>
      </c>
      <c r="C108" s="17">
        <f t="shared" si="1"/>
        <v>11.173357019690938</v>
      </c>
      <c r="D108" s="17">
        <f t="shared" si="2"/>
        <v>12</v>
      </c>
      <c r="E108" s="17">
        <f t="shared" si="3"/>
        <v>6</v>
      </c>
      <c r="F108" s="17">
        <f t="shared" si="4"/>
        <v>19</v>
      </c>
    </row>
    <row r="109" spans="1:6" s="17" customFormat="1" x14ac:dyDescent="0.3">
      <c r="A109" s="17">
        <f t="shared" si="5"/>
        <v>1.25</v>
      </c>
      <c r="B109" s="17">
        <f t="shared" si="0"/>
        <v>3.6578668895231865</v>
      </c>
      <c r="C109" s="17">
        <f t="shared" si="1"/>
        <v>11.066062330893967</v>
      </c>
      <c r="D109" s="17">
        <f t="shared" si="2"/>
        <v>11</v>
      </c>
      <c r="E109" s="17">
        <f t="shared" si="3"/>
        <v>5</v>
      </c>
      <c r="F109" s="17">
        <f t="shared" si="4"/>
        <v>17</v>
      </c>
    </row>
    <row r="110" spans="1:6" s="17" customFormat="1" x14ac:dyDescent="0.3">
      <c r="A110" s="17">
        <f t="shared" si="5"/>
        <v>1.26</v>
      </c>
      <c r="B110" s="17">
        <f t="shared" si="0"/>
        <v>3.687129824639372</v>
      </c>
      <c r="C110" s="17">
        <f t="shared" si="1"/>
        <v>10.963790710668611</v>
      </c>
      <c r="D110" s="17">
        <f t="shared" si="2"/>
        <v>11</v>
      </c>
      <c r="E110" s="17">
        <f t="shared" si="3"/>
        <v>5</v>
      </c>
      <c r="F110" s="17">
        <f t="shared" si="4"/>
        <v>17</v>
      </c>
    </row>
    <row r="111" spans="1:6" s="17" customFormat="1" x14ac:dyDescent="0.3">
      <c r="A111" s="17">
        <f t="shared" si="5"/>
        <v>1.27</v>
      </c>
      <c r="B111" s="17">
        <f t="shared" si="0"/>
        <v>3.7163927597555575</v>
      </c>
      <c r="C111" s="17">
        <f t="shared" si="1"/>
        <v>10.866159240757488</v>
      </c>
      <c r="D111" s="17">
        <f t="shared" si="2"/>
        <v>11</v>
      </c>
      <c r="E111" s="17">
        <f t="shared" si="3"/>
        <v>5</v>
      </c>
      <c r="F111" s="17">
        <f t="shared" si="4"/>
        <v>17</v>
      </c>
    </row>
    <row r="112" spans="1:6" s="17" customFormat="1" x14ac:dyDescent="0.3">
      <c r="A112" s="17">
        <f t="shared" si="5"/>
        <v>1.28</v>
      </c>
      <c r="B112" s="17">
        <f t="shared" si="0"/>
        <v>3.745655694871743</v>
      </c>
      <c r="C112" s="17">
        <f t="shared" si="1"/>
        <v>10.772825676666384</v>
      </c>
      <c r="D112" s="17">
        <f t="shared" si="2"/>
        <v>11</v>
      </c>
      <c r="E112" s="17">
        <f t="shared" si="3"/>
        <v>5</v>
      </c>
      <c r="F112" s="17">
        <f t="shared" si="4"/>
        <v>17</v>
      </c>
    </row>
    <row r="113" spans="1:6" s="17" customFormat="1" x14ac:dyDescent="0.3">
      <c r="A113" s="17">
        <f t="shared" si="5"/>
        <v>1.29</v>
      </c>
      <c r="B113" s="17">
        <f t="shared" si="0"/>
        <v>3.7749186299879285</v>
      </c>
      <c r="C113" s="17">
        <f t="shared" si="1"/>
        <v>10.683482937966806</v>
      </c>
      <c r="D113" s="17">
        <f t="shared" si="2"/>
        <v>11</v>
      </c>
      <c r="E113" s="17">
        <f t="shared" si="3"/>
        <v>5</v>
      </c>
      <c r="F113" s="17">
        <f t="shared" si="4"/>
        <v>17</v>
      </c>
    </row>
    <row r="114" spans="1:6" s="17" customFormat="1" x14ac:dyDescent="0.3">
      <c r="A114" s="17">
        <f t="shared" si="5"/>
        <v>1.3</v>
      </c>
      <c r="B114" s="17">
        <f t="shared" si="0"/>
        <v>3.804181565104114</v>
      </c>
      <c r="C114" s="17">
        <f t="shared" si="1"/>
        <v>10.597854499019974</v>
      </c>
      <c r="D114" s="17">
        <f t="shared" si="2"/>
        <v>11</v>
      </c>
      <c r="E114" s="17">
        <f t="shared" si="3"/>
        <v>5</v>
      </c>
      <c r="F114" s="17">
        <f t="shared" si="4"/>
        <v>17</v>
      </c>
    </row>
    <row r="115" spans="1:6" s="17" customFormat="1" x14ac:dyDescent="0.3">
      <c r="A115" s="17">
        <f t="shared" si="5"/>
        <v>1.31</v>
      </c>
      <c r="B115" s="17">
        <f t="shared" si="0"/>
        <v>3.8334445002202995</v>
      </c>
      <c r="C115" s="17">
        <f t="shared" si="1"/>
        <v>10.51569050908178</v>
      </c>
      <c r="D115" s="17">
        <f t="shared" si="2"/>
        <v>11</v>
      </c>
      <c r="E115" s="17">
        <f t="shared" si="3"/>
        <v>5</v>
      </c>
      <c r="F115" s="17">
        <f t="shared" si="4"/>
        <v>17</v>
      </c>
    </row>
    <row r="116" spans="1:6" s="17" customFormat="1" x14ac:dyDescent="0.3">
      <c r="A116" s="17">
        <f t="shared" si="5"/>
        <v>1.32</v>
      </c>
      <c r="B116" s="17">
        <f t="shared" si="0"/>
        <v>3.862707435336485</v>
      </c>
      <c r="C116" s="17">
        <f t="shared" si="1"/>
        <v>10.436764507530501</v>
      </c>
      <c r="D116" s="17">
        <f t="shared" si="2"/>
        <v>11</v>
      </c>
      <c r="E116" s="17">
        <f t="shared" si="3"/>
        <v>5</v>
      </c>
      <c r="F116" s="17">
        <f t="shared" si="4"/>
        <v>17</v>
      </c>
    </row>
    <row r="117" spans="1:6" s="17" customFormat="1" x14ac:dyDescent="0.3">
      <c r="A117" s="17">
        <f t="shared" si="5"/>
        <v>1.33</v>
      </c>
      <c r="B117" s="17">
        <f t="shared" si="0"/>
        <v>3.8919703704526705</v>
      </c>
      <c r="C117" s="17">
        <f t="shared" si="1"/>
        <v>10.360870627958926</v>
      </c>
      <c r="D117" s="17">
        <f t="shared" si="2"/>
        <v>11</v>
      </c>
      <c r="E117" s="17">
        <f t="shared" si="3"/>
        <v>5</v>
      </c>
      <c r="F117" s="17">
        <f t="shared" si="4"/>
        <v>17</v>
      </c>
    </row>
    <row r="118" spans="1:6" s="17" customFormat="1" x14ac:dyDescent="0.3">
      <c r="A118" s="17">
        <f t="shared" si="5"/>
        <v>1.34</v>
      </c>
      <c r="B118" s="17">
        <f t="shared" si="0"/>
        <v>3.921233305568856</v>
      </c>
      <c r="C118" s="17">
        <f t="shared" si="1"/>
        <v>10.287821206384386</v>
      </c>
      <c r="D118" s="17">
        <f t="shared" si="2"/>
        <v>11</v>
      </c>
      <c r="E118" s="17">
        <f t="shared" si="3"/>
        <v>5</v>
      </c>
      <c r="F118" s="17">
        <f t="shared" si="4"/>
        <v>17</v>
      </c>
    </row>
    <row r="119" spans="1:6" s="17" customFormat="1" x14ac:dyDescent="0.3">
      <c r="A119" s="17">
        <f t="shared" si="5"/>
        <v>1.35</v>
      </c>
      <c r="B119" s="17">
        <f t="shared" si="0"/>
        <v>3.9504962406850415</v>
      </c>
      <c r="C119" s="17">
        <f t="shared" si="1"/>
        <v>10.2174447254987</v>
      </c>
      <c r="D119" s="17">
        <f t="shared" si="2"/>
        <v>11</v>
      </c>
      <c r="E119" s="17">
        <f t="shared" si="3"/>
        <v>5</v>
      </c>
      <c r="F119" s="17">
        <f t="shared" si="4"/>
        <v>17</v>
      </c>
    </row>
    <row r="120" spans="1:6" s="17" customFormat="1" x14ac:dyDescent="0.3">
      <c r="A120" s="17">
        <f t="shared" si="5"/>
        <v>1.36</v>
      </c>
      <c r="B120" s="17">
        <f t="shared" si="0"/>
        <v>3.979759175801227</v>
      </c>
      <c r="C120" s="17">
        <f t="shared" si="1"/>
        <v>10.149584039901045</v>
      </c>
      <c r="D120" s="17">
        <f t="shared" si="2"/>
        <v>11</v>
      </c>
      <c r="E120" s="17">
        <f t="shared" si="3"/>
        <v>5</v>
      </c>
      <c r="F120" s="17">
        <f t="shared" si="4"/>
        <v>17</v>
      </c>
    </row>
    <row r="121" spans="1:6" s="17" customFormat="1" x14ac:dyDescent="0.3">
      <c r="A121" s="17">
        <f t="shared" si="5"/>
        <v>1.37</v>
      </c>
      <c r="B121" s="17">
        <f t="shared" si="0"/>
        <v>4.0090221109174129</v>
      </c>
      <c r="C121" s="17">
        <f t="shared" si="1"/>
        <v>10.084094837504288</v>
      </c>
      <c r="D121" s="17">
        <f t="shared" si="2"/>
        <v>10</v>
      </c>
      <c r="E121" s="17">
        <f t="shared" si="3"/>
        <v>5</v>
      </c>
      <c r="F121" s="17">
        <f t="shared" si="4"/>
        <v>16</v>
      </c>
    </row>
    <row r="122" spans="1:6" s="17" customFormat="1" x14ac:dyDescent="0.3">
      <c r="A122" s="17">
        <f t="shared" si="5"/>
        <v>1.3800000000000001</v>
      </c>
      <c r="B122" s="17">
        <f t="shared" si="0"/>
        <v>4.0382850460335984</v>
      </c>
      <c r="C122" s="17">
        <f t="shared" si="1"/>
        <v>10.020844300427976</v>
      </c>
      <c r="D122" s="17">
        <f t="shared" si="2"/>
        <v>10</v>
      </c>
      <c r="E122" s="17">
        <f t="shared" si="3"/>
        <v>5</v>
      </c>
      <c r="F122" s="17">
        <f t="shared" si="4"/>
        <v>16</v>
      </c>
    </row>
    <row r="123" spans="1:6" s="17" customFormat="1" x14ac:dyDescent="0.3">
      <c r="A123" s="17">
        <f t="shared" si="5"/>
        <v>1.3900000000000001</v>
      </c>
      <c r="B123" s="17">
        <f t="shared" si="0"/>
        <v>4.0675479811497839</v>
      </c>
      <c r="C123" s="17">
        <f t="shared" si="1"/>
        <v>9.9597099351722651</v>
      </c>
      <c r="D123" s="17">
        <f t="shared" si="2"/>
        <v>10</v>
      </c>
      <c r="E123" s="17">
        <f t="shared" si="3"/>
        <v>5</v>
      </c>
      <c r="F123" s="17">
        <f t="shared" si="4"/>
        <v>16</v>
      </c>
    </row>
    <row r="124" spans="1:6" s="17" customFormat="1" x14ac:dyDescent="0.3">
      <c r="A124" s="17">
        <f>A123+0.01</f>
        <v>1.4000000000000001</v>
      </c>
      <c r="B124" s="17">
        <f t="shared" si="0"/>
        <v>4.0968109162659694</v>
      </c>
      <c r="C124" s="17">
        <f t="shared" si="1"/>
        <v>9.9005785470713015</v>
      </c>
      <c r="D124" s="17">
        <f t="shared" si="2"/>
        <v>10</v>
      </c>
      <c r="E124" s="17">
        <f t="shared" si="3"/>
        <v>5</v>
      </c>
      <c r="F124" s="17">
        <f t="shared" si="4"/>
        <v>16</v>
      </c>
    </row>
    <row r="125" spans="1:6" s="17" customFormat="1" x14ac:dyDescent="0.3">
      <c r="A125" s="17">
        <f t="shared" si="5"/>
        <v>1.4100000000000001</v>
      </c>
      <c r="B125" s="17">
        <f t="shared" si="0"/>
        <v>4.1260738513821549</v>
      </c>
      <c r="C125" s="17">
        <f t="shared" si="1"/>
        <v>9.8433453382278611</v>
      </c>
      <c r="D125" s="17">
        <f t="shared" si="2"/>
        <v>10</v>
      </c>
      <c r="E125" s="17">
        <f t="shared" si="3"/>
        <v>5</v>
      </c>
      <c r="F125" s="17">
        <f t="shared" si="4"/>
        <v>16</v>
      </c>
    </row>
    <row r="126" spans="1:6" s="17" customFormat="1" x14ac:dyDescent="0.3">
      <c r="A126" s="17">
        <f t="shared" si="5"/>
        <v>1.4200000000000002</v>
      </c>
      <c r="B126" s="17">
        <f t="shared" si="0"/>
        <v>4.1553367864983404</v>
      </c>
      <c r="C126" s="17">
        <f t="shared" si="1"/>
        <v>9.7879131115455653</v>
      </c>
      <c r="D126" s="17">
        <f t="shared" si="2"/>
        <v>10</v>
      </c>
      <c r="E126" s="17">
        <f t="shared" si="3"/>
        <v>5</v>
      </c>
      <c r="F126" s="17">
        <f t="shared" si="4"/>
        <v>16</v>
      </c>
    </row>
    <row r="127" spans="1:6" s="17" customFormat="1" x14ac:dyDescent="0.3">
      <c r="A127" s="17">
        <f t="shared" si="5"/>
        <v>1.4300000000000002</v>
      </c>
      <c r="B127" s="17">
        <f t="shared" si="0"/>
        <v>4.1845997216145259</v>
      </c>
      <c r="C127" s="17">
        <f t="shared" si="1"/>
        <v>9.7341915662633038</v>
      </c>
      <c r="D127" s="17">
        <f t="shared" si="2"/>
        <v>10</v>
      </c>
      <c r="E127" s="17">
        <f t="shared" si="3"/>
        <v>5</v>
      </c>
      <c r="F127" s="17">
        <f t="shared" si="4"/>
        <v>16</v>
      </c>
    </row>
    <row r="128" spans="1:6" s="17" customFormat="1" x14ac:dyDescent="0.3">
      <c r="A128" s="17">
        <f t="shared" si="5"/>
        <v>1.4400000000000002</v>
      </c>
      <c r="B128" s="17">
        <f t="shared" si="0"/>
        <v>4.2138626567307114</v>
      </c>
      <c r="C128" s="17">
        <f t="shared" si="1"/>
        <v>9.6820966726848567</v>
      </c>
      <c r="D128" s="17">
        <f t="shared" si="2"/>
        <v>10</v>
      </c>
      <c r="E128" s="17">
        <f t="shared" si="3"/>
        <v>5</v>
      </c>
      <c r="F128" s="17">
        <f t="shared" si="4"/>
        <v>16</v>
      </c>
    </row>
    <row r="129" spans="1:6" s="17" customFormat="1" x14ac:dyDescent="0.3">
      <c r="A129" s="17">
        <f t="shared" si="5"/>
        <v>1.4500000000000002</v>
      </c>
      <c r="B129" s="17">
        <f t="shared" si="0"/>
        <v>4.2431255918468969</v>
      </c>
      <c r="C129" s="17">
        <f t="shared" si="1"/>
        <v>9.6315501156841723</v>
      </c>
      <c r="D129" s="17">
        <f t="shared" si="2"/>
        <v>10</v>
      </c>
      <c r="E129" s="17">
        <f t="shared" si="3"/>
        <v>5</v>
      </c>
      <c r="F129" s="17">
        <f t="shared" si="4"/>
        <v>16</v>
      </c>
    </row>
    <row r="130" spans="1:6" s="17" customFormat="1" x14ac:dyDescent="0.3">
      <c r="A130" s="17">
        <f t="shared" si="5"/>
        <v>1.4600000000000002</v>
      </c>
      <c r="B130" s="17">
        <f t="shared" si="0"/>
        <v>4.2723885269630824</v>
      </c>
      <c r="C130" s="17">
        <f t="shared" si="1"/>
        <v>9.582478798130321</v>
      </c>
      <c r="D130" s="17">
        <f t="shared" si="2"/>
        <v>10</v>
      </c>
      <c r="E130" s="17">
        <f t="shared" si="3"/>
        <v>5</v>
      </c>
      <c r="F130" s="17">
        <f t="shared" si="4"/>
        <v>16</v>
      </c>
    </row>
    <row r="131" spans="1:6" s="17" customFormat="1" x14ac:dyDescent="0.3">
      <c r="A131" s="17">
        <f t="shared" si="5"/>
        <v>1.4700000000000002</v>
      </c>
      <c r="B131" s="17">
        <f t="shared" si="0"/>
        <v>4.3016514620792679</v>
      </c>
      <c r="C131" s="17">
        <f t="shared" si="1"/>
        <v>9.5348143966772554</v>
      </c>
      <c r="D131" s="17">
        <f t="shared" si="2"/>
        <v>10</v>
      </c>
      <c r="E131" s="17">
        <f t="shared" si="3"/>
        <v>5</v>
      </c>
      <c r="F131" s="17">
        <f t="shared" si="4"/>
        <v>16</v>
      </c>
    </row>
    <row r="132" spans="1:6" s="17" customFormat="1" x14ac:dyDescent="0.3">
      <c r="A132" s="17">
        <f t="shared" si="5"/>
        <v>1.4800000000000002</v>
      </c>
      <c r="B132" s="17">
        <f t="shared" si="0"/>
        <v>4.3309143971954533</v>
      </c>
      <c r="C132" s="17">
        <f t="shared" si="1"/>
        <v>9.4884929634507191</v>
      </c>
      <c r="D132" s="17">
        <f t="shared" si="2"/>
        <v>10</v>
      </c>
      <c r="E132" s="17">
        <f t="shared" si="3"/>
        <v>5</v>
      </c>
      <c r="F132" s="17">
        <f t="shared" si="4"/>
        <v>16</v>
      </c>
    </row>
    <row r="133" spans="1:6" s="17" customFormat="1" x14ac:dyDescent="0.3">
      <c r="A133" s="17">
        <f t="shared" si="5"/>
        <v>1.4900000000000002</v>
      </c>
      <c r="B133" s="17">
        <f t="shared" si="0"/>
        <v>4.3601773323116388</v>
      </c>
      <c r="C133" s="17">
        <f t="shared" si="1"/>
        <v>9.4434545680765325</v>
      </c>
      <c r="D133" s="17">
        <f t="shared" si="2"/>
        <v>10</v>
      </c>
      <c r="E133" s="17">
        <f t="shared" si="3"/>
        <v>5</v>
      </c>
      <c r="F133" s="17">
        <f t="shared" si="4"/>
        <v>16</v>
      </c>
    </row>
    <row r="134" spans="1:6" s="17" customFormat="1" x14ac:dyDescent="0.3">
      <c r="A134" s="17">
        <f t="shared" si="5"/>
        <v>1.5000000000000002</v>
      </c>
      <c r="B134" s="17">
        <f t="shared" si="0"/>
        <v>4.3894402674278243</v>
      </c>
      <c r="C134" s="17">
        <f t="shared" si="1"/>
        <v>9.399642975262644</v>
      </c>
      <c r="D134" s="17">
        <f t="shared" si="2"/>
        <v>10</v>
      </c>
      <c r="E134" s="17">
        <f t="shared" si="3"/>
        <v>5</v>
      </c>
      <c r="F134" s="17">
        <f t="shared" si="4"/>
        <v>16</v>
      </c>
    </row>
    <row r="135" spans="1:6" s="17" customFormat="1" x14ac:dyDescent="0.3">
      <c r="A135" s="17">
        <f t="shared" si="5"/>
        <v>1.5100000000000002</v>
      </c>
      <c r="B135" s="17">
        <f t="shared" si="0"/>
        <v>4.4187032025440098</v>
      </c>
      <c r="C135" s="17">
        <f t="shared" si="1"/>
        <v>9.357005353796211</v>
      </c>
      <c r="D135" s="17">
        <f t="shared" si="2"/>
        <v>10</v>
      </c>
      <c r="E135" s="17">
        <f t="shared" si="3"/>
        <v>5</v>
      </c>
      <c r="F135" s="17">
        <f t="shared" si="4"/>
        <v>16</v>
      </c>
    </row>
    <row r="136" spans="1:6" s="17" customFormat="1" x14ac:dyDescent="0.3">
      <c r="A136" s="17">
        <f t="shared" si="5"/>
        <v>1.5200000000000002</v>
      </c>
      <c r="B136" s="17">
        <f t="shared" si="0"/>
        <v>4.4479661376601953</v>
      </c>
      <c r="C136" s="17">
        <f t="shared" si="1"/>
        <v>9.3154920133675159</v>
      </c>
      <c r="D136" s="17">
        <f t="shared" si="2"/>
        <v>10</v>
      </c>
      <c r="E136" s="17">
        <f t="shared" si="3"/>
        <v>5</v>
      </c>
      <c r="F136" s="17">
        <f t="shared" si="4"/>
        <v>16</v>
      </c>
    </row>
    <row r="137" spans="1:6" s="17" customFormat="1" x14ac:dyDescent="0.3">
      <c r="A137" s="17">
        <f t="shared" si="5"/>
        <v>1.5300000000000002</v>
      </c>
      <c r="B137" s="17">
        <f t="shared" si="0"/>
        <v>4.4772290727763808</v>
      </c>
      <c r="C137" s="17">
        <f t="shared" si="1"/>
        <v>9.2750561661009403</v>
      </c>
      <c r="D137" s="17">
        <f t="shared" si="2"/>
        <v>10</v>
      </c>
      <c r="E137" s="17">
        <f t="shared" si="3"/>
        <v>5</v>
      </c>
      <c r="F137" s="17">
        <f t="shared" si="4"/>
        <v>16</v>
      </c>
    </row>
    <row r="138" spans="1:6" s="17" customFormat="1" x14ac:dyDescent="0.3">
      <c r="A138" s="17">
        <f t="shared" si="5"/>
        <v>1.5400000000000003</v>
      </c>
      <c r="B138" s="17">
        <f t="shared" si="0"/>
        <v>4.5064920078925663</v>
      </c>
      <c r="C138" s="17">
        <f t="shared" si="1"/>
        <v>9.2356537100729277</v>
      </c>
      <c r="D138" s="17">
        <f t="shared" si="2"/>
        <v>10</v>
      </c>
      <c r="E138" s="17">
        <f t="shared" si="3"/>
        <v>5</v>
      </c>
      <c r="F138" s="17">
        <f t="shared" si="4"/>
        <v>16</v>
      </c>
    </row>
    <row r="139" spans="1:6" s="17" customFormat="1" x14ac:dyDescent="0.3">
      <c r="A139" s="17">
        <f t="shared" si="5"/>
        <v>1.5500000000000003</v>
      </c>
      <c r="B139" s="17">
        <f t="shared" si="0"/>
        <v>4.5357549430087518</v>
      </c>
      <c r="C139" s="17">
        <f t="shared" si="1"/>
        <v>9.197243032439415</v>
      </c>
      <c r="D139" s="17">
        <f t="shared" si="2"/>
        <v>10</v>
      </c>
      <c r="E139" s="17">
        <f t="shared" si="3"/>
        <v>5</v>
      </c>
      <c r="F139" s="17">
        <f t="shared" si="4"/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C2E6-0081-45CF-871C-98744FFDA79E}">
  <dimension ref="A1:W538"/>
  <sheetViews>
    <sheetView topLeftCell="A125" zoomScale="94" workbookViewId="0">
      <selection activeCell="A2" sqref="A2"/>
    </sheetView>
  </sheetViews>
  <sheetFormatPr defaultRowHeight="14.4" x14ac:dyDescent="0.3"/>
  <cols>
    <col min="1" max="1" width="34.77734375" customWidth="1"/>
    <col min="2" max="2" width="13.5546875" bestFit="1" customWidth="1"/>
    <col min="3" max="3" width="8.44140625" customWidth="1"/>
    <col min="4" max="4" width="8.6640625" customWidth="1"/>
    <col min="5" max="5" width="22" customWidth="1"/>
    <col min="6" max="6" width="18" customWidth="1"/>
    <col min="7" max="7" width="19.5546875" customWidth="1"/>
    <col min="8" max="9" width="14.21875" customWidth="1"/>
    <col min="10" max="10" width="9.77734375" customWidth="1"/>
    <col min="11" max="11" width="9.6640625" customWidth="1"/>
    <col min="12" max="12" width="18.88671875" customWidth="1"/>
    <col min="13" max="13" width="18.33203125" customWidth="1"/>
    <col min="14" max="14" width="16.6640625" customWidth="1"/>
    <col min="15" max="15" width="16.44140625" customWidth="1"/>
    <col min="16" max="16" width="27.33203125" customWidth="1"/>
    <col min="17" max="17" width="25.21875" customWidth="1"/>
    <col min="18" max="18" width="21" customWidth="1"/>
  </cols>
  <sheetData>
    <row r="1" spans="1:3" ht="21" x14ac:dyDescent="0.4">
      <c r="A1" s="32" t="s">
        <v>67</v>
      </c>
    </row>
    <row r="2" spans="1:3" x14ac:dyDescent="0.3">
      <c r="A2" s="5" t="s">
        <v>69</v>
      </c>
    </row>
    <row r="3" spans="1:3" x14ac:dyDescent="0.3">
      <c r="A3" t="s">
        <v>70</v>
      </c>
      <c r="B3" s="8">
        <f>Calculation!B16</f>
        <v>89.120715350223534</v>
      </c>
      <c r="C3" t="s">
        <v>18</v>
      </c>
    </row>
    <row r="4" spans="1:3" x14ac:dyDescent="0.3">
      <c r="A4" t="s">
        <v>77</v>
      </c>
      <c r="B4" s="8">
        <f>1/(B7/78+(1-B7)/92)</f>
        <v>79.205298013245027</v>
      </c>
      <c r="C4" t="s">
        <v>18</v>
      </c>
    </row>
    <row r="5" spans="1:3" x14ac:dyDescent="0.3">
      <c r="A5" t="s">
        <v>78</v>
      </c>
      <c r="B5" s="8">
        <f>1/(B8/78+(1-B8)/92)</f>
        <v>91.18170266836087</v>
      </c>
      <c r="C5" t="s">
        <v>18</v>
      </c>
    </row>
    <row r="6" spans="1:3" x14ac:dyDescent="0.3">
      <c r="A6" s="5" t="s">
        <v>68</v>
      </c>
    </row>
    <row r="7" spans="1:3" x14ac:dyDescent="0.3">
      <c r="A7" t="s">
        <v>22</v>
      </c>
      <c r="B7" s="8">
        <f>0.9</f>
        <v>0.9</v>
      </c>
      <c r="C7" s="8">
        <f>1-B7</f>
        <v>9.9999999999999978E-2</v>
      </c>
    </row>
    <row r="8" spans="1:3" x14ac:dyDescent="0.3">
      <c r="A8" t="s">
        <v>23</v>
      </c>
      <c r="B8" s="8">
        <f>0.05</f>
        <v>0.05</v>
      </c>
      <c r="C8" s="8">
        <f>1-B8</f>
        <v>0.95</v>
      </c>
    </row>
    <row r="10" spans="1:3" x14ac:dyDescent="0.3">
      <c r="A10" t="s">
        <v>72</v>
      </c>
      <c r="B10" s="8">
        <f>Calculation!B18</f>
        <v>381.50501672240807</v>
      </c>
      <c r="C10" t="s">
        <v>21</v>
      </c>
    </row>
    <row r="11" spans="1:3" x14ac:dyDescent="0.3">
      <c r="B11" s="8">
        <f>B10*B3/3600</f>
        <v>9.4444444444444446</v>
      </c>
      <c r="C11" t="s">
        <v>71</v>
      </c>
    </row>
    <row r="12" spans="1:3" x14ac:dyDescent="0.3">
      <c r="A12" t="s">
        <v>25</v>
      </c>
      <c r="B12" s="8">
        <f>Calculation!B19</f>
        <v>69.866220735785944</v>
      </c>
      <c r="C12" t="s">
        <v>21</v>
      </c>
    </row>
    <row r="13" spans="1:3" x14ac:dyDescent="0.3">
      <c r="A13" t="s">
        <v>27</v>
      </c>
      <c r="B13" s="8">
        <f>Calculation!B20</f>
        <v>311.63879598662214</v>
      </c>
      <c r="C13" t="s">
        <v>21</v>
      </c>
    </row>
    <row r="14" spans="1:3" x14ac:dyDescent="0.3">
      <c r="A14" s="16" t="s">
        <v>83</v>
      </c>
      <c r="B14" s="17">
        <v>1</v>
      </c>
    </row>
    <row r="16" spans="1:3" x14ac:dyDescent="0.3">
      <c r="A16" t="s">
        <v>73</v>
      </c>
      <c r="B16" s="8">
        <f>B12*B7*78+B12*C7*92</f>
        <v>5547.3779264214036</v>
      </c>
      <c r="C16" t="s">
        <v>74</v>
      </c>
    </row>
    <row r="17" spans="1:3" x14ac:dyDescent="0.3">
      <c r="B17" s="8">
        <f>B16/3600</f>
        <v>1.5409383128948344</v>
      </c>
      <c r="C17" t="s">
        <v>71</v>
      </c>
    </row>
    <row r="18" spans="1:3" x14ac:dyDescent="0.3">
      <c r="A18" t="s">
        <v>75</v>
      </c>
      <c r="B18" s="8">
        <f>B13*B8*78+B13*C8*92</f>
        <v>28452.622073578601</v>
      </c>
      <c r="C18" t="s">
        <v>74</v>
      </c>
    </row>
    <row r="19" spans="1:3" x14ac:dyDescent="0.3">
      <c r="B19" s="8">
        <f>B18/3600</f>
        <v>7.9035061315496113</v>
      </c>
      <c r="C19" t="s">
        <v>71</v>
      </c>
    </row>
    <row r="20" spans="1:3" x14ac:dyDescent="0.3">
      <c r="A20" t="s">
        <v>41</v>
      </c>
      <c r="B20" s="8">
        <f>Calculation!B84</f>
        <v>2.9262935116185491</v>
      </c>
      <c r="C20" t="s">
        <v>190</v>
      </c>
    </row>
    <row r="21" spans="1:3" x14ac:dyDescent="0.3">
      <c r="A21" t="s">
        <v>82</v>
      </c>
      <c r="B21" s="8">
        <v>1.2</v>
      </c>
    </row>
    <row r="22" spans="1:3" x14ac:dyDescent="0.3">
      <c r="A22" s="5" t="s">
        <v>76</v>
      </c>
    </row>
    <row r="23" spans="1:3" x14ac:dyDescent="0.3">
      <c r="A23" t="s">
        <v>79</v>
      </c>
      <c r="B23" s="8">
        <f>B12*(B21*B20+1)*B4*B14/3600</f>
        <v>6.9349761404896082</v>
      </c>
      <c r="C23" t="s">
        <v>71</v>
      </c>
    </row>
    <row r="24" spans="1:3" x14ac:dyDescent="0.3">
      <c r="A24" t="s">
        <v>80</v>
      </c>
      <c r="B24" s="8">
        <f>B12*(B21*B20)*B4*B14/3600</f>
        <v>5.3978164642570849</v>
      </c>
      <c r="C24" t="s">
        <v>71</v>
      </c>
    </row>
    <row r="25" spans="1:3" x14ac:dyDescent="0.3">
      <c r="A25" t="s">
        <v>81</v>
      </c>
      <c r="B25" s="8">
        <f>(B4*273*Calculation!C42)/(22.4*(273+Calculation!B38)*101.325)</f>
        <v>3.4144690168803469</v>
      </c>
      <c r="C25" t="s">
        <v>84</v>
      </c>
    </row>
    <row r="26" spans="1:3" x14ac:dyDescent="0.3">
      <c r="A26" t="s">
        <v>85</v>
      </c>
      <c r="B26" s="8">
        <f>(B12*B4)/(((B12*B7*78)/(Calculation!B28*1000))+((Design_cal!C7*Design_cal!B12*92)/(Calculation!C28*1000)))</f>
        <v>874.77302336057721</v>
      </c>
      <c r="C26" t="s">
        <v>84</v>
      </c>
    </row>
    <row r="27" spans="1:3" x14ac:dyDescent="0.3">
      <c r="A27" t="s">
        <v>86</v>
      </c>
      <c r="B27" s="8">
        <f>B23/B25</f>
        <v>2.0310555187950707</v>
      </c>
      <c r="C27" t="s">
        <v>88</v>
      </c>
    </row>
    <row r="28" spans="1:3" x14ac:dyDescent="0.3">
      <c r="A28" t="s">
        <v>87</v>
      </c>
      <c r="B28" s="8">
        <f>B24/B26</f>
        <v>6.1705337500241259E-3</v>
      </c>
      <c r="C28" t="s">
        <v>88</v>
      </c>
    </row>
    <row r="29" spans="1:3" x14ac:dyDescent="0.3">
      <c r="B29">
        <f>B28*3600</f>
        <v>22.213921500086855</v>
      </c>
      <c r="C29" t="s">
        <v>227</v>
      </c>
    </row>
    <row r="31" spans="1:3" x14ac:dyDescent="0.3">
      <c r="A31" s="5" t="s">
        <v>89</v>
      </c>
    </row>
    <row r="32" spans="1:3" x14ac:dyDescent="0.3">
      <c r="A32" t="s">
        <v>90</v>
      </c>
      <c r="B32" s="8">
        <f>(B24/B23)*SQRT(B25/B26)</f>
        <v>4.8628070733396173E-2</v>
      </c>
    </row>
    <row r="33" spans="1:5" x14ac:dyDescent="0.3">
      <c r="A33" t="s">
        <v>98</v>
      </c>
      <c r="B33" s="8">
        <f>LN(B32)</f>
        <v>-3.0235543277080037</v>
      </c>
    </row>
    <row r="36" spans="1:5" x14ac:dyDescent="0.3">
      <c r="A36" s="8" t="s">
        <v>95</v>
      </c>
      <c r="B36" s="8" t="s">
        <v>91</v>
      </c>
      <c r="C36" s="8" t="s">
        <v>92</v>
      </c>
      <c r="D36" s="8" t="s">
        <v>93</v>
      </c>
      <c r="E36" s="8" t="s">
        <v>94</v>
      </c>
    </row>
    <row r="37" spans="1:5" x14ac:dyDescent="0.3">
      <c r="A37" s="8">
        <v>300</v>
      </c>
      <c r="B37" s="8">
        <v>-1.5699999999999999E-2</v>
      </c>
      <c r="C37" s="8">
        <v>-0.18629999999999999</v>
      </c>
      <c r="D37" s="8">
        <v>-0.77129999999999999</v>
      </c>
      <c r="E37" s="8">
        <v>-2.7707999999999999</v>
      </c>
    </row>
    <row r="38" spans="1:5" x14ac:dyDescent="0.3">
      <c r="A38" s="8">
        <v>450</v>
      </c>
      <c r="B38" s="8">
        <v>-1.78E-2</v>
      </c>
      <c r="C38" s="8">
        <v>-0.20269999999999999</v>
      </c>
      <c r="D38" s="8">
        <v>-0.81610000000000005</v>
      </c>
      <c r="E38" s="8">
        <v>-2.5493000000000001</v>
      </c>
    </row>
    <row r="39" spans="1:5" x14ac:dyDescent="0.3">
      <c r="A39" s="8">
        <v>600</v>
      </c>
      <c r="B39" s="8">
        <v>-1.72E-2</v>
      </c>
      <c r="C39" s="8">
        <v>-0.20710000000000001</v>
      </c>
      <c r="D39" s="8">
        <v>-0.8609</v>
      </c>
      <c r="E39" s="8">
        <v>-2.3289</v>
      </c>
    </row>
    <row r="40" spans="1:5" x14ac:dyDescent="0.3">
      <c r="A40" s="8">
        <v>900</v>
      </c>
      <c r="B40" s="8">
        <v>-1.8200000000000001E-2</v>
      </c>
      <c r="C40" s="8">
        <v>-0.21560000000000001</v>
      </c>
      <c r="D40" s="8">
        <v>-0.89510000000000001</v>
      </c>
      <c r="E40" s="8">
        <v>-2.1038000000000001</v>
      </c>
    </row>
    <row r="42" spans="1:5" x14ac:dyDescent="0.3">
      <c r="A42" t="s">
        <v>97</v>
      </c>
      <c r="B42" s="8">
        <v>600</v>
      </c>
      <c r="C42" t="s">
        <v>96</v>
      </c>
    </row>
    <row r="45" spans="1:5" x14ac:dyDescent="0.3">
      <c r="A45" t="s">
        <v>99</v>
      </c>
      <c r="B45" s="8">
        <f>INDEX(TS_array,MATCH(B42,Tray_space,0),1)*(B33^3)+INDEX(TS_array,MATCH(B42,Tray_space,0),2)*(B33^2)+INDEX(TS_array,MATCH(B42,Tray_space,0),3)*B33+INDEX(TS_array,MATCH(B42,Tray_space,0),4)-1.188</f>
        <v>-2.3317808486996912</v>
      </c>
    </row>
    <row r="46" spans="1:5" x14ac:dyDescent="0.3">
      <c r="A46" t="s">
        <v>100</v>
      </c>
      <c r="B46" s="8">
        <f>EXP(B45)</f>
        <v>9.7122632276239643E-2</v>
      </c>
    </row>
    <row r="47" spans="1:5" x14ac:dyDescent="0.3">
      <c r="A47" s="5" t="s">
        <v>373</v>
      </c>
    </row>
    <row r="48" spans="1:5" x14ac:dyDescent="0.3">
      <c r="A48" t="s">
        <v>101</v>
      </c>
      <c r="B48" s="8">
        <v>0.85</v>
      </c>
    </row>
    <row r="49" spans="1:5" x14ac:dyDescent="0.3">
      <c r="A49" t="s">
        <v>103</v>
      </c>
      <c r="B49" s="8">
        <v>20</v>
      </c>
      <c r="C49" t="s">
        <v>104</v>
      </c>
    </row>
    <row r="56" spans="1:5" x14ac:dyDescent="0.3">
      <c r="A56" t="s">
        <v>105</v>
      </c>
      <c r="B56" s="8">
        <f>B48*((B49/20)^0.2)*B46*SQRT((B26-B25)/B25)</f>
        <v>1.318791780066771</v>
      </c>
      <c r="C56" t="s">
        <v>106</v>
      </c>
    </row>
    <row r="57" spans="1:5" x14ac:dyDescent="0.3">
      <c r="A57" s="12" t="s">
        <v>109</v>
      </c>
    </row>
    <row r="58" spans="1:5" x14ac:dyDescent="0.3">
      <c r="A58" t="s">
        <v>107</v>
      </c>
      <c r="B58" s="8">
        <f>12%</f>
        <v>0.12</v>
      </c>
      <c r="C58" t="s">
        <v>108</v>
      </c>
    </row>
    <row r="62" spans="1:5" x14ac:dyDescent="0.3">
      <c r="A62" t="s">
        <v>110</v>
      </c>
      <c r="B62" s="8">
        <f>ROUND(((4*B23)/(B25*PI()*(1-B58)*B56))^0.5,2)</f>
        <v>1.49</v>
      </c>
      <c r="C62" t="s">
        <v>111</v>
      </c>
    </row>
    <row r="63" spans="1:5" x14ac:dyDescent="0.3">
      <c r="B63" s="8">
        <f>B62*1000</f>
        <v>1490</v>
      </c>
      <c r="C63" t="s">
        <v>96</v>
      </c>
    </row>
    <row r="64" spans="1:5" x14ac:dyDescent="0.3">
      <c r="A64" s="7" t="s">
        <v>112</v>
      </c>
      <c r="B64" s="8"/>
      <c r="C64" s="8"/>
      <c r="D64" s="8"/>
      <c r="E64" s="8"/>
    </row>
    <row r="65" spans="1:5" x14ac:dyDescent="0.3">
      <c r="A65" s="9" t="s">
        <v>113</v>
      </c>
      <c r="B65" s="9">
        <v>450</v>
      </c>
      <c r="C65" s="10">
        <v>1000</v>
      </c>
      <c r="D65" s="10">
        <v>3000</v>
      </c>
      <c r="E65" s="9">
        <v>5000</v>
      </c>
    </row>
    <row r="66" spans="1:5" x14ac:dyDescent="0.3">
      <c r="A66" s="9" t="s">
        <v>114</v>
      </c>
      <c r="B66" s="9">
        <v>50</v>
      </c>
      <c r="C66" s="9">
        <v>100</v>
      </c>
      <c r="D66" s="9">
        <v>200</v>
      </c>
      <c r="E66" s="9">
        <v>300</v>
      </c>
    </row>
    <row r="67" spans="1:5" x14ac:dyDescent="0.3">
      <c r="A67" t="s">
        <v>115</v>
      </c>
      <c r="B67" s="8">
        <f>ROUND(B63+HLOOKUP(B63,B65:E66,2),0)+10</f>
        <v>1600</v>
      </c>
      <c r="C67" t="s">
        <v>96</v>
      </c>
      <c r="D67" s="8">
        <f>39.3701*B67*10^-3</f>
        <v>62.992160000000005</v>
      </c>
      <c r="E67" t="s">
        <v>159</v>
      </c>
    </row>
    <row r="68" spans="1:5" x14ac:dyDescent="0.3">
      <c r="A68" t="s">
        <v>116</v>
      </c>
      <c r="B68" s="8">
        <f>ROUND(PI()*(B67/1000)^2/4,2)</f>
        <v>2.0099999999999998</v>
      </c>
      <c r="C68" t="s">
        <v>117</v>
      </c>
    </row>
    <row r="70" spans="1:5" x14ac:dyDescent="0.3">
      <c r="A70" s="5" t="s">
        <v>221</v>
      </c>
    </row>
    <row r="71" spans="1:5" x14ac:dyDescent="0.3">
      <c r="A71" s="5" t="s">
        <v>345</v>
      </c>
    </row>
    <row r="72" spans="1:5" x14ac:dyDescent="0.3">
      <c r="A72" t="s">
        <v>120</v>
      </c>
      <c r="B72" s="8">
        <v>10</v>
      </c>
    </row>
    <row r="73" spans="1:5" x14ac:dyDescent="0.3">
      <c r="A73" t="s">
        <v>121</v>
      </c>
      <c r="B73" s="8">
        <v>8</v>
      </c>
    </row>
    <row r="74" spans="1:5" x14ac:dyDescent="0.3">
      <c r="A74" t="s">
        <v>122</v>
      </c>
      <c r="B74" s="8">
        <v>1</v>
      </c>
    </row>
    <row r="76" spans="1:5" x14ac:dyDescent="0.3">
      <c r="A76" t="s">
        <v>123</v>
      </c>
      <c r="B76" s="8">
        <f>(B72+B73-2)*B42</f>
        <v>9600</v>
      </c>
      <c r="C76" t="s">
        <v>96</v>
      </c>
    </row>
    <row r="77" spans="1:5" x14ac:dyDescent="0.3">
      <c r="A77" t="s">
        <v>124</v>
      </c>
      <c r="B77" s="8">
        <f>1.5*B42</f>
        <v>900</v>
      </c>
      <c r="C77" t="s">
        <v>96</v>
      </c>
    </row>
    <row r="78" spans="1:5" x14ac:dyDescent="0.3">
      <c r="A78" s="12" t="s">
        <v>125</v>
      </c>
    </row>
    <row r="79" spans="1:5" x14ac:dyDescent="0.3">
      <c r="A79" t="s">
        <v>126</v>
      </c>
      <c r="B79" s="8">
        <f>B42+150</f>
        <v>750</v>
      </c>
      <c r="C79" t="s">
        <v>96</v>
      </c>
    </row>
    <row r="80" spans="1:5" x14ac:dyDescent="0.3">
      <c r="A80" s="11" t="s">
        <v>127</v>
      </c>
    </row>
    <row r="81" spans="1:3" x14ac:dyDescent="0.3">
      <c r="A81" t="s">
        <v>136</v>
      </c>
      <c r="B81" s="8">
        <f>1200*2</f>
        <v>2400</v>
      </c>
      <c r="C81" t="s">
        <v>96</v>
      </c>
    </row>
    <row r="82" spans="1:3" ht="24.6" x14ac:dyDescent="0.3">
      <c r="A82" s="20" t="s">
        <v>128</v>
      </c>
      <c r="B82" s="21"/>
      <c r="C82" s="21"/>
    </row>
    <row r="83" spans="1:3" x14ac:dyDescent="0.3">
      <c r="A83" t="s">
        <v>129</v>
      </c>
      <c r="B83" s="8">
        <f>2*B42</f>
        <v>1200</v>
      </c>
      <c r="C83" t="s">
        <v>96</v>
      </c>
    </row>
    <row r="84" spans="1:3" x14ac:dyDescent="0.3">
      <c r="A84" t="s">
        <v>130</v>
      </c>
      <c r="B84" s="8">
        <f>ROUND((B76+B77+B79+B81+B83)/1000,1)*1000</f>
        <v>14900</v>
      </c>
      <c r="C84" t="s">
        <v>96</v>
      </c>
    </row>
    <row r="85" spans="1:3" x14ac:dyDescent="0.3">
      <c r="B85" s="8">
        <f>(B84)*10^-3</f>
        <v>14.9</v>
      </c>
      <c r="C85" t="s">
        <v>111</v>
      </c>
    </row>
    <row r="87" spans="1:3" x14ac:dyDescent="0.3">
      <c r="A87" t="s">
        <v>140</v>
      </c>
      <c r="B87" s="8">
        <f>(1.1*Calculation!B47*(Design_cal!B67*10^-3))/(2*0.8*(1088.7*101.325)+Calculation!C47)*1000</f>
        <v>1.393228435460087</v>
      </c>
      <c r="C87" t="s">
        <v>96</v>
      </c>
    </row>
    <row r="88" spans="1:3" x14ac:dyDescent="0.3">
      <c r="A88" s="11" t="s">
        <v>141</v>
      </c>
    </row>
    <row r="89" spans="1:3" x14ac:dyDescent="0.3">
      <c r="A89" t="s">
        <v>142</v>
      </c>
      <c r="B89" s="8">
        <f>5</f>
        <v>5</v>
      </c>
      <c r="C89" t="s">
        <v>96</v>
      </c>
    </row>
    <row r="90" spans="1:3" x14ac:dyDescent="0.3">
      <c r="A90" t="s">
        <v>143</v>
      </c>
      <c r="B90" s="8">
        <v>70</v>
      </c>
      <c r="C90" t="s">
        <v>144</v>
      </c>
    </row>
    <row r="91" spans="1:3" x14ac:dyDescent="0.3">
      <c r="A91" t="s">
        <v>145</v>
      </c>
      <c r="B91" s="8">
        <f>7.84*10^3</f>
        <v>7840</v>
      </c>
      <c r="C91" t="s">
        <v>84</v>
      </c>
    </row>
    <row r="92" spans="1:3" x14ac:dyDescent="0.3">
      <c r="A92" t="s">
        <v>146</v>
      </c>
      <c r="B92" s="8">
        <f>PI()*(B67*10^-3)*($B$89*10^-3)*$B$90*$B$91*B85</f>
        <v>205513.44095617736</v>
      </c>
      <c r="C92" t="s">
        <v>147</v>
      </c>
    </row>
    <row r="94" spans="1:3" x14ac:dyDescent="0.3">
      <c r="A94" s="8" t="s">
        <v>195</v>
      </c>
      <c r="B94" s="8" t="s">
        <v>196</v>
      </c>
    </row>
    <row r="95" spans="1:3" x14ac:dyDescent="0.3">
      <c r="A95" s="8">
        <v>60</v>
      </c>
      <c r="B95" s="8">
        <f>55*10^3</f>
        <v>55000</v>
      </c>
    </row>
    <row r="96" spans="1:3" x14ac:dyDescent="0.3">
      <c r="A96" s="8">
        <v>70</v>
      </c>
      <c r="B96" s="8">
        <f>65*10^3</f>
        <v>65000</v>
      </c>
    </row>
    <row r="97" spans="1:3" x14ac:dyDescent="0.3">
      <c r="A97" s="8">
        <v>80</v>
      </c>
      <c r="B97" s="8">
        <f>85*10^3</f>
        <v>85000</v>
      </c>
    </row>
    <row r="98" spans="1:3" x14ac:dyDescent="0.3">
      <c r="A98" s="8">
        <v>90</v>
      </c>
      <c r="B98" s="8">
        <f>110*10^3</f>
        <v>110000</v>
      </c>
    </row>
    <row r="99" spans="1:3" x14ac:dyDescent="0.3">
      <c r="A99" s="8">
        <v>100</v>
      </c>
      <c r="B99" s="8">
        <f>120*10^3</f>
        <v>120000</v>
      </c>
    </row>
    <row r="102" spans="1:3" x14ac:dyDescent="0.3">
      <c r="A102" t="s">
        <v>148</v>
      </c>
      <c r="B102" s="8">
        <f>_xlfn.FORECAST.LINEAR(D67,$B$95:$B$99,$A$95:$A$99)*(B72+B73+B74)</f>
        <v>1087489.3200000003</v>
      </c>
      <c r="C102" t="s">
        <v>147</v>
      </c>
    </row>
    <row r="103" spans="1:3" x14ac:dyDescent="0.3">
      <c r="A103" t="s">
        <v>149</v>
      </c>
      <c r="B103" s="8">
        <f>B102+B92</f>
        <v>1293002.7609561777</v>
      </c>
      <c r="C103" t="s">
        <v>147</v>
      </c>
    </row>
    <row r="104" spans="1:3" x14ac:dyDescent="0.3">
      <c r="A104" s="5" t="s">
        <v>223</v>
      </c>
    </row>
    <row r="105" spans="1:3" x14ac:dyDescent="0.3">
      <c r="B105" s="8" t="s">
        <v>4</v>
      </c>
      <c r="C105" s="8" t="s">
        <v>5</v>
      </c>
    </row>
    <row r="106" spans="1:3" x14ac:dyDescent="0.3">
      <c r="A106" s="8" t="s">
        <v>132</v>
      </c>
      <c r="B106" s="8">
        <v>134.80000000000001</v>
      </c>
      <c r="C106" s="8">
        <v>155.96</v>
      </c>
    </row>
    <row r="107" spans="1:3" x14ac:dyDescent="0.3">
      <c r="A107" s="8" t="s">
        <v>133</v>
      </c>
      <c r="B107" s="8">
        <v>82.44</v>
      </c>
      <c r="C107" s="8">
        <v>103.7</v>
      </c>
    </row>
    <row r="108" spans="1:3" x14ac:dyDescent="0.3">
      <c r="A108" s="8" t="s">
        <v>134</v>
      </c>
      <c r="B108" s="8">
        <v>30.77</v>
      </c>
      <c r="C108" s="8">
        <v>38.06</v>
      </c>
    </row>
    <row r="110" spans="1:3" x14ac:dyDescent="0.3">
      <c r="A110" t="s">
        <v>138</v>
      </c>
      <c r="B110" s="8">
        <f>B106*$B$7+$C$7*C106</f>
        <v>136.916</v>
      </c>
      <c r="C110" t="s">
        <v>135</v>
      </c>
    </row>
    <row r="111" spans="1:3" x14ac:dyDescent="0.3">
      <c r="A111" t="s">
        <v>139</v>
      </c>
      <c r="B111" s="8">
        <f>B107*$B$7+$C$7*C107</f>
        <v>84.566000000000003</v>
      </c>
      <c r="C111" t="s">
        <v>135</v>
      </c>
    </row>
    <row r="112" spans="1:3" x14ac:dyDescent="0.3">
      <c r="A112" t="s">
        <v>150</v>
      </c>
      <c r="B112" s="8">
        <f>B108*B7+C108*C7</f>
        <v>31.499000000000002</v>
      </c>
      <c r="C112" t="s">
        <v>151</v>
      </c>
    </row>
    <row r="113" spans="1:4" x14ac:dyDescent="0.3">
      <c r="A113" t="s">
        <v>163</v>
      </c>
      <c r="B113" s="8">
        <f>(((B21*$B$20+1)*$B$12)*(($B$111*(Calculation!B37-Calculation!B38))-B112))</f>
        <v>-239579.07314661279</v>
      </c>
      <c r="C113" t="s">
        <v>164</v>
      </c>
    </row>
    <row r="114" spans="1:4" x14ac:dyDescent="0.3">
      <c r="A114" t="s">
        <v>165</v>
      </c>
      <c r="B114" s="8">
        <f>((B21*$B$20)*$B$12)*$B$110*(Calculation!B37-Calculation!B38)</f>
        <v>-289400.19190646912</v>
      </c>
      <c r="C114" t="s">
        <v>164</v>
      </c>
    </row>
    <row r="115" spans="1:4" x14ac:dyDescent="0.3">
      <c r="A115" t="s">
        <v>166</v>
      </c>
      <c r="B115" s="8">
        <f>-(B113+B114)</f>
        <v>528979.26505308191</v>
      </c>
      <c r="C115" t="s">
        <v>164</v>
      </c>
    </row>
    <row r="117" spans="1:4" x14ac:dyDescent="0.3">
      <c r="A117" t="s">
        <v>160</v>
      </c>
      <c r="B117" s="8">
        <v>65</v>
      </c>
      <c r="C117" t="s">
        <v>155</v>
      </c>
    </row>
    <row r="118" spans="1:4" x14ac:dyDescent="0.3">
      <c r="B118" s="8">
        <f>5.6783*B117</f>
        <v>369.08949999999999</v>
      </c>
      <c r="C118" t="s">
        <v>156</v>
      </c>
    </row>
    <row r="119" spans="1:4" x14ac:dyDescent="0.3">
      <c r="A119" t="s">
        <v>157</v>
      </c>
      <c r="B119" s="8">
        <f>((Calculation!B38-47)-(Calculation!B37-33))/LN((Calculation!B38-47)/(Calculation!B37-33))</f>
        <v>46.255505405377995</v>
      </c>
    </row>
    <row r="120" spans="1:4" x14ac:dyDescent="0.3">
      <c r="A120" t="s">
        <v>153</v>
      </c>
      <c r="B120" s="8">
        <f>B115/(B119*B118)</f>
        <v>30.984431196188087</v>
      </c>
      <c r="C120" t="s">
        <v>117</v>
      </c>
    </row>
    <row r="121" spans="1:4" x14ac:dyDescent="0.3">
      <c r="B121" s="8">
        <f>B120*10.7639</f>
        <v>333.51331895264894</v>
      </c>
      <c r="C121" t="s">
        <v>158</v>
      </c>
    </row>
    <row r="126" spans="1:4" x14ac:dyDescent="0.3">
      <c r="A126" t="s">
        <v>167</v>
      </c>
      <c r="B126" t="s">
        <v>4</v>
      </c>
      <c r="C126" t="s">
        <v>5</v>
      </c>
    </row>
    <row r="127" spans="1:4" x14ac:dyDescent="0.3">
      <c r="B127" s="8">
        <f>19795.54791*4.18</f>
        <v>82745.3902638</v>
      </c>
      <c r="C127" s="8">
        <f>11982.8986*4.18</f>
        <v>50088.516147999995</v>
      </c>
      <c r="D127" t="s">
        <v>168</v>
      </c>
    </row>
    <row r="128" spans="1:4" x14ac:dyDescent="0.3">
      <c r="A128" t="s">
        <v>170</v>
      </c>
      <c r="B128" s="8">
        <f>B127*Calculation!B9+(1-Calculation!B9)*Design_cal!C127</f>
        <v>56804.833030236063</v>
      </c>
      <c r="C128" t="s">
        <v>169</v>
      </c>
    </row>
    <row r="130" spans="1:3" x14ac:dyDescent="0.3">
      <c r="A130" t="s">
        <v>171</v>
      </c>
      <c r="B130" s="8">
        <f>$B$127*B7+C7*$C$127</f>
        <v>79479.702852220013</v>
      </c>
      <c r="C130" t="s">
        <v>169</v>
      </c>
    </row>
    <row r="131" spans="1:3" x14ac:dyDescent="0.3">
      <c r="A131" t="s">
        <v>172</v>
      </c>
      <c r="B131" s="8">
        <f>$B$127*B8+C8*$C$127</f>
        <v>51721.359853789996</v>
      </c>
      <c r="C131" t="s">
        <v>169</v>
      </c>
    </row>
    <row r="133" spans="1:3" x14ac:dyDescent="0.3">
      <c r="A133" t="s">
        <v>173</v>
      </c>
      <c r="B133" s="8">
        <f>B115-B128*B11+($B$12*$B$4/3600)*B130+($B$13*$B$5/3600)*B131</f>
        <v>522912.59835801774</v>
      </c>
      <c r="C133" t="s">
        <v>164</v>
      </c>
    </row>
    <row r="134" spans="1:3" x14ac:dyDescent="0.3">
      <c r="A134" t="s">
        <v>175</v>
      </c>
      <c r="B134" s="8">
        <f>((Calculation!B46-115)-(Calculation!B46+8-115))/LN((Calculation!B46-115)/(Calculation!B46+8-115))</f>
        <v>8.4002739524991199</v>
      </c>
    </row>
    <row r="135" spans="1:3" x14ac:dyDescent="0.3">
      <c r="A135" t="s">
        <v>154</v>
      </c>
      <c r="B135" s="8">
        <f>(285+850)/2</f>
        <v>567.5</v>
      </c>
      <c r="C135" t="s">
        <v>156</v>
      </c>
    </row>
    <row r="136" spans="1:3" x14ac:dyDescent="0.3">
      <c r="A136" t="s">
        <v>222</v>
      </c>
      <c r="B136" s="8">
        <f>B133/(B134*B135)</f>
        <v>109.6906953975753</v>
      </c>
      <c r="C136" t="s">
        <v>117</v>
      </c>
    </row>
    <row r="137" spans="1:3" x14ac:dyDescent="0.3">
      <c r="B137" s="8">
        <f>B136*10.7639</f>
        <v>1180.6996761899607</v>
      </c>
      <c r="C137" t="s">
        <v>158</v>
      </c>
    </row>
    <row r="138" spans="1:3" x14ac:dyDescent="0.3">
      <c r="A138" t="s">
        <v>177</v>
      </c>
    </row>
    <row r="139" spans="1:3" x14ac:dyDescent="0.3">
      <c r="A139" s="8" t="s">
        <v>178</v>
      </c>
      <c r="B139" s="8" t="s">
        <v>179</v>
      </c>
    </row>
    <row r="140" spans="1:3" x14ac:dyDescent="0.3">
      <c r="A140" s="8">
        <v>0</v>
      </c>
      <c r="B140" s="8">
        <v>0</v>
      </c>
    </row>
    <row r="141" spans="1:3" x14ac:dyDescent="0.3">
      <c r="A141" s="8">
        <v>1000</v>
      </c>
      <c r="B141" s="8">
        <f>780*10^3</f>
        <v>780000</v>
      </c>
    </row>
    <row r="142" spans="1:3" x14ac:dyDescent="0.3">
      <c r="A142" s="8">
        <v>1200</v>
      </c>
      <c r="B142" s="8">
        <f>950*10^3</f>
        <v>950000</v>
      </c>
    </row>
    <row r="143" spans="1:3" x14ac:dyDescent="0.3">
      <c r="A143" s="8">
        <v>1400</v>
      </c>
      <c r="B143" s="8">
        <f>1220*10^3</f>
        <v>1220000</v>
      </c>
    </row>
    <row r="144" spans="1:3" x14ac:dyDescent="0.3">
      <c r="A144" s="8">
        <v>1600</v>
      </c>
      <c r="B144" s="8">
        <f>1450*10^3</f>
        <v>1450000</v>
      </c>
    </row>
    <row r="146" spans="1:3" x14ac:dyDescent="0.3">
      <c r="A146" t="s">
        <v>180</v>
      </c>
      <c r="B146" s="8">
        <f>_xlfn.FORECAST.LINEAR(B121,B140:B144,A140:A144)</f>
        <v>255451.20721844997</v>
      </c>
      <c r="C146" t="s">
        <v>181</v>
      </c>
    </row>
    <row r="153" spans="1:3" x14ac:dyDescent="0.3">
      <c r="A153" t="s">
        <v>184</v>
      </c>
    </row>
    <row r="154" spans="1:3" x14ac:dyDescent="0.3">
      <c r="A154" s="8" t="s">
        <v>178</v>
      </c>
      <c r="B154" s="8" t="s">
        <v>179</v>
      </c>
    </row>
    <row r="155" spans="1:3" x14ac:dyDescent="0.3">
      <c r="A155" s="8">
        <v>0</v>
      </c>
      <c r="B155" s="8">
        <v>0</v>
      </c>
    </row>
    <row r="156" spans="1:3" x14ac:dyDescent="0.3">
      <c r="A156" s="8">
        <v>1000</v>
      </c>
      <c r="B156" s="8">
        <f>400*10^3</f>
        <v>400000</v>
      </c>
    </row>
    <row r="157" spans="1:3" x14ac:dyDescent="0.3">
      <c r="A157" s="8">
        <v>1400</v>
      </c>
      <c r="B157" s="8">
        <f>500*10^3</f>
        <v>500000</v>
      </c>
    </row>
    <row r="158" spans="1:3" x14ac:dyDescent="0.3">
      <c r="A158" s="8">
        <v>1800</v>
      </c>
      <c r="B158" s="8">
        <f>620*10^3</f>
        <v>620000</v>
      </c>
    </row>
    <row r="159" spans="1:3" x14ac:dyDescent="0.3">
      <c r="A159" s="8">
        <v>2200</v>
      </c>
      <c r="B159" s="8">
        <f>800*10^3</f>
        <v>800000</v>
      </c>
    </row>
    <row r="160" spans="1:3" x14ac:dyDescent="0.3">
      <c r="A160" s="8">
        <v>2600</v>
      </c>
      <c r="B160" s="8">
        <f>1000*10^3</f>
        <v>1000000</v>
      </c>
    </row>
    <row r="162" spans="1:5" x14ac:dyDescent="0.3">
      <c r="A162" t="s">
        <v>183</v>
      </c>
      <c r="B162" s="8">
        <f>_xlfn.FORECAST.LINEAR(B137,$B$155:$B$160,$A$155:$A$160)</f>
        <v>434820.93407732807</v>
      </c>
      <c r="C162" t="s">
        <v>181</v>
      </c>
    </row>
    <row r="165" spans="1:5" x14ac:dyDescent="0.3">
      <c r="A165" t="s">
        <v>182</v>
      </c>
      <c r="B165" s="8">
        <f>1.2*2*(B162+B146+B103)</f>
        <v>4759859.7654046938</v>
      </c>
      <c r="C165" t="s">
        <v>147</v>
      </c>
      <c r="D165" s="36"/>
      <c r="E165" s="36"/>
    </row>
    <row r="166" spans="1:5" x14ac:dyDescent="0.3">
      <c r="D166" s="36"/>
    </row>
    <row r="167" spans="1:5" x14ac:dyDescent="0.3">
      <c r="A167" t="s">
        <v>364</v>
      </c>
      <c r="B167">
        <f>B165*0.4</f>
        <v>1903943.9061618776</v>
      </c>
    </row>
    <row r="168" spans="1:5" x14ac:dyDescent="0.3">
      <c r="A168" t="s">
        <v>370</v>
      </c>
      <c r="B168">
        <v>10</v>
      </c>
    </row>
    <row r="169" spans="1:5" x14ac:dyDescent="0.3">
      <c r="A169" t="s">
        <v>186</v>
      </c>
      <c r="B169" s="37">
        <f>DDB(B165,B167,B168,1)</f>
        <v>951971.95308093878</v>
      </c>
      <c r="C169" t="s">
        <v>194</v>
      </c>
    </row>
    <row r="171" spans="1:5" x14ac:dyDescent="0.3">
      <c r="A171" s="5" t="s">
        <v>187</v>
      </c>
    </row>
    <row r="172" spans="1:5" x14ac:dyDescent="0.3">
      <c r="A172" t="s">
        <v>365</v>
      </c>
      <c r="B172">
        <f>B115/(4.2*(47-33)*1000)</f>
        <v>8.9962460043041137</v>
      </c>
      <c r="C172" t="s">
        <v>366</v>
      </c>
    </row>
    <row r="173" spans="1:5" x14ac:dyDescent="0.3">
      <c r="A173" t="s">
        <v>367</v>
      </c>
      <c r="B173">
        <f>0.25</f>
        <v>0.25</v>
      </c>
      <c r="C173" t="s">
        <v>368</v>
      </c>
    </row>
    <row r="174" spans="1:5" x14ac:dyDescent="0.3">
      <c r="A174" s="35" t="s">
        <v>369</v>
      </c>
      <c r="B174">
        <f>B172*B173*10^-3*8000*60*60</f>
        <v>64772.97123098962</v>
      </c>
      <c r="C174" t="s">
        <v>194</v>
      </c>
    </row>
    <row r="176" spans="1:5" x14ac:dyDescent="0.3">
      <c r="A176" t="s">
        <v>188</v>
      </c>
      <c r="B176" s="8">
        <f>B133/(2700*10^3)</f>
        <v>0.19367133272519177</v>
      </c>
      <c r="C176" t="s">
        <v>189</v>
      </c>
    </row>
    <row r="177" spans="1:3" x14ac:dyDescent="0.3">
      <c r="A177" t="s">
        <v>191</v>
      </c>
      <c r="B177" s="8">
        <v>0.2</v>
      </c>
      <c r="C177" t="s">
        <v>192</v>
      </c>
    </row>
    <row r="178" spans="1:3" x14ac:dyDescent="0.3">
      <c r="A178" t="s">
        <v>193</v>
      </c>
      <c r="B178" s="8">
        <f>B177*B176*60*60*8000</f>
        <v>1115546.876497105</v>
      </c>
      <c r="C178" t="s">
        <v>194</v>
      </c>
    </row>
    <row r="180" spans="1:3" x14ac:dyDescent="0.3">
      <c r="A180" t="s">
        <v>226</v>
      </c>
      <c r="B180" s="8">
        <f>B169+B178+B174</f>
        <v>2132291.8008090337</v>
      </c>
      <c r="C180" t="s">
        <v>194</v>
      </c>
    </row>
    <row r="248" spans="2:23" ht="57.6" x14ac:dyDescent="0.3">
      <c r="B248" s="24" t="s">
        <v>66</v>
      </c>
      <c r="C248" s="24" t="s">
        <v>355</v>
      </c>
      <c r="D248" s="24" t="s">
        <v>356</v>
      </c>
      <c r="E248" s="24" t="s">
        <v>357</v>
      </c>
      <c r="F248" s="24" t="s">
        <v>358</v>
      </c>
      <c r="G248" s="24" t="s">
        <v>359</v>
      </c>
      <c r="H248" s="22" t="s">
        <v>360</v>
      </c>
      <c r="I248" s="22" t="s">
        <v>90</v>
      </c>
      <c r="J248" s="22" t="s">
        <v>100</v>
      </c>
      <c r="K248" s="22" t="s">
        <v>105</v>
      </c>
      <c r="L248" s="22" t="s">
        <v>137</v>
      </c>
      <c r="M248" s="23" t="s">
        <v>162</v>
      </c>
      <c r="N248" s="23" t="s">
        <v>201</v>
      </c>
      <c r="O248" s="23" t="s">
        <v>217</v>
      </c>
      <c r="P248" s="23" t="s">
        <v>218</v>
      </c>
      <c r="Q248" s="23" t="s">
        <v>199</v>
      </c>
      <c r="R248" s="23" t="s">
        <v>200</v>
      </c>
      <c r="S248" s="23" t="s">
        <v>202</v>
      </c>
      <c r="T248" s="23" t="s">
        <v>203</v>
      </c>
      <c r="U248" s="23" t="s">
        <v>206</v>
      </c>
      <c r="V248" s="23" t="s">
        <v>205</v>
      </c>
      <c r="W248" s="23" t="s">
        <v>204</v>
      </c>
    </row>
    <row r="249" spans="2:23" x14ac:dyDescent="0.3">
      <c r="B249" s="25">
        <v>1.05</v>
      </c>
      <c r="C249">
        <v>9</v>
      </c>
      <c r="D249">
        <v>10</v>
      </c>
      <c r="E249">
        <v>20</v>
      </c>
      <c r="F249">
        <v>13</v>
      </c>
      <c r="G249">
        <v>14</v>
      </c>
      <c r="H249">
        <v>28</v>
      </c>
      <c r="I249" s="8">
        <f t="shared" ref="I249:I268" si="0">(($B$12*(B249*$B$20)*$B$4*$B$14/3600)/($B$12*(B249*$B$20+1)*$B$4*$B$14/3600))*SQRT($B$25/$B$26)</f>
        <v>4.7135536081823325E-2</v>
      </c>
      <c r="J249" s="8">
        <f t="shared" ref="J249:J268" si="1">EXP(INDEX(TS_array,MATCH($B$42,Tray_space,0),1)*((LN(I249))^3)+INDEX(TS_array,MATCH($B$42,Tray_space,0),2)*((LN(I249))^2)+INDEX(TS_array,MATCH($B$42,Tray_space,0),3)*(LN(I249))+INDEX(TS_array,MATCH($B$42,Tray_space,0),4)-1.188)</f>
        <v>9.7361169786472024E-2</v>
      </c>
      <c r="K249" s="8">
        <f>$B$48*(($B$49/20)^0.2)*J249*SQRT(($B$26-$B$25)/$B$25)</f>
        <v>1.3220307914110816</v>
      </c>
      <c r="L249" s="8">
        <f t="shared" ref="L249:L268" si="2">10^-3*ROUND(ROUND(((4*($B$12*(B249*$B$20+1)*$B$4*$B$14/3600))/($B$25*PI()*(1-$B$58)*K249))^0.5,2)*1000+HLOOKUP(ROUND(((4*($B$12*(B249*$B$20+1)*$B$4*$B$14/3600))/($B$25*PI()*(1-$B$58)*K249))^0.5,2)*1000,$B$65:$E$66,2),0)</f>
        <v>1.52</v>
      </c>
      <c r="M249">
        <f>ROUND((((H249-ROUND(H249/10,0)-1)*$B$42)+1.5*$B$42+$B$79+ROUND(H249/10,0)*1200+2*$B$42)*10^-3,1)</f>
        <v>20.9</v>
      </c>
      <c r="N249">
        <f>(PI()*(L249)*($B$89*10^-3)*$B$90*$B$91*M249)+(_xlfn.FORECAST.LINEAR(39.3701*L249,$B$95:$B$99,$A$95:$A$99))*H249</f>
        <v>1722142.0527103965</v>
      </c>
      <c r="O249">
        <f t="shared" ref="O249:O268" si="3">$B$115*($B$20*B249+1)/($B$20*$B$21+1)</f>
        <v>477513.10049262684</v>
      </c>
      <c r="P249">
        <f>O249+($B$133-$B$115)</f>
        <v>471446.43379756267</v>
      </c>
      <c r="Q249">
        <f>(O249/($B$119*$B$118))*10.7639</f>
        <v>301.0646910190037</v>
      </c>
      <c r="R249">
        <f>_xlfn.FORECAST.LINEAR(Q249,$B$140:$B$144,$A$140:$A$144)</f>
        <v>226765.95108123263</v>
      </c>
      <c r="S249">
        <f>(P249/($B$135*$B$134))*10.7639</f>
        <v>1064.4927153669125</v>
      </c>
      <c r="T249">
        <f t="shared" ref="T249:T268" si="4">_xlfn.FORECAST.LINEAR(S249,$B$155:$B$160,$A$155:$A$160)</f>
        <v>391689.23419975024</v>
      </c>
      <c r="U249">
        <f t="shared" ref="U249:U268" si="5">ROUND(DDB((2*1.4*(T249+R249+N249)),(2*1.4*(T249+R249+N249))*0.4,10,1)*10^-6,4)</f>
        <v>1.3107</v>
      </c>
      <c r="V249">
        <f>ROUND(((($B$177*(P249/(2700*10^3)))+($B$173*0.001*(Cost_table[[#This Row],[Q_c (W)]]/(4.2*1000*(47-33)))))*60*60*8000)*10^-6,4)</f>
        <v>1.0642</v>
      </c>
      <c r="W249">
        <f>(V249+U249)</f>
        <v>2.3749000000000002</v>
      </c>
    </row>
    <row r="250" spans="2:23" x14ac:dyDescent="0.3">
      <c r="B250" s="25">
        <v>1.1000000000000001</v>
      </c>
      <c r="C250">
        <v>8</v>
      </c>
      <c r="D250">
        <v>8</v>
      </c>
      <c r="E250">
        <v>17</v>
      </c>
      <c r="F250">
        <v>12</v>
      </c>
      <c r="G250">
        <v>11</v>
      </c>
      <c r="H250">
        <v>24</v>
      </c>
      <c r="I250" s="8">
        <f t="shared" si="0"/>
        <v>4.7667555606766804E-2</v>
      </c>
      <c r="J250" s="8">
        <f t="shared" si="1"/>
        <v>9.7276312908073551E-2</v>
      </c>
      <c r="K250" s="8">
        <f t="shared" ref="K250:K268" si="6">$B$48*(($B$49/20)^0.2)*J250*SQRT(($B$26-$B$25)/$B$25)</f>
        <v>1.320878551700406</v>
      </c>
      <c r="L250" s="8">
        <f t="shared" si="2"/>
        <v>1.54</v>
      </c>
      <c r="M250">
        <f t="shared" ref="M250:M268" si="7">ROUND((((H250-ROUND(H250/10,0)-1)*$B$42)+1.5*$B$42+$B$79+ROUND(H250/10,0)*1200+2*$B$42)*10^-3,1)</f>
        <v>17.899999999999999</v>
      </c>
      <c r="N250">
        <f t="shared" ref="N250:N268" si="8">(PI()*(L250)*($B$89*10^-3)*$B$90*$B$91*M250)+(_xlfn.FORECAST.LINEAR(39.3701*L250,$B$95:$B$99,$A$95:$A$99))*H250</f>
        <v>1512091.6046358214</v>
      </c>
      <c r="O250">
        <f t="shared" si="3"/>
        <v>494668.48867944529</v>
      </c>
      <c r="P250">
        <f t="shared" ref="P250:P268" si="9">O250+($B$133-$B$115)</f>
        <v>488601.82198438112</v>
      </c>
      <c r="Q250">
        <f t="shared" ref="Q250:Q268" si="10">(O250/($B$119*$B$118))*10.7639</f>
        <v>311.88090033021882</v>
      </c>
      <c r="R250">
        <f t="shared" ref="R250:R268" si="11">_xlfn.FORECAST.LINEAR(Q250,$B$140:$B$144,$A$140:$A$144)</f>
        <v>236327.70312697178</v>
      </c>
      <c r="S250">
        <f t="shared" ref="S250:S268" si="12">(P250/($B$135*$B$134))*10.7639</f>
        <v>1103.2283689745955</v>
      </c>
      <c r="T250">
        <f t="shared" si="4"/>
        <v>406066.46749227628</v>
      </c>
      <c r="U250">
        <f t="shared" si="5"/>
        <v>1.2064999999999999</v>
      </c>
      <c r="V250">
        <f>ROUND(((($B$177*(P250/(2700*10^3)))+($B$173*0.001*(Cost_table[[#This Row],[Q_c (W)]]/(4.2*1000*(47-33)))))*60*60*8000)*10^-6,4)</f>
        <v>1.1029</v>
      </c>
      <c r="W250">
        <f t="shared" ref="W250:W268" si="13">(V250+U250)</f>
        <v>2.3094000000000001</v>
      </c>
    </row>
    <row r="251" spans="2:23" x14ac:dyDescent="0.3">
      <c r="B251" s="25">
        <v>1.1499999999999999</v>
      </c>
      <c r="C251">
        <v>8</v>
      </c>
      <c r="D251">
        <v>7</v>
      </c>
      <c r="E251">
        <v>16</v>
      </c>
      <c r="F251">
        <v>11</v>
      </c>
      <c r="G251">
        <v>10</v>
      </c>
      <c r="H251">
        <v>22</v>
      </c>
      <c r="I251" s="8">
        <f t="shared" si="0"/>
        <v>4.8163910513915394E-2</v>
      </c>
      <c r="J251" s="8">
        <f t="shared" si="1"/>
        <v>9.7196972406760604E-2</v>
      </c>
      <c r="K251" s="8">
        <f t="shared" si="6"/>
        <v>1.3198012168042483</v>
      </c>
      <c r="L251" s="8">
        <f t="shared" si="2"/>
        <v>1.57</v>
      </c>
      <c r="M251">
        <f t="shared" si="7"/>
        <v>16.7</v>
      </c>
      <c r="N251">
        <f t="shared" si="8"/>
        <v>1439747.3769005882</v>
      </c>
      <c r="O251">
        <f t="shared" si="3"/>
        <v>511823.87686626351</v>
      </c>
      <c r="P251">
        <f t="shared" si="9"/>
        <v>505757.21017119935</v>
      </c>
      <c r="Q251">
        <f t="shared" si="10"/>
        <v>322.69710964143383</v>
      </c>
      <c r="R251">
        <f t="shared" si="11"/>
        <v>245889.45517271082</v>
      </c>
      <c r="S251">
        <f t="shared" si="12"/>
        <v>1141.9640225822779</v>
      </c>
      <c r="T251">
        <f t="shared" si="4"/>
        <v>420443.70078480215</v>
      </c>
      <c r="U251">
        <f t="shared" si="5"/>
        <v>1.1794</v>
      </c>
      <c r="V251">
        <f>ROUND(((($B$177*(P251/(2700*10^3)))+($B$173*0.001*(Cost_table[[#This Row],[Q_c (W)]]/(4.2*1000*(47-33)))))*60*60*8000)*10^-6,4)</f>
        <v>1.1415999999999999</v>
      </c>
      <c r="W251">
        <f t="shared" si="13"/>
        <v>2.3209999999999997</v>
      </c>
    </row>
    <row r="252" spans="2:23" x14ac:dyDescent="0.3">
      <c r="B252" s="25">
        <v>1.2</v>
      </c>
      <c r="C252">
        <v>7</v>
      </c>
      <c r="D252">
        <v>7</v>
      </c>
      <c r="E252">
        <v>15</v>
      </c>
      <c r="F252">
        <v>10</v>
      </c>
      <c r="G252">
        <v>9</v>
      </c>
      <c r="H252">
        <v>20</v>
      </c>
      <c r="I252" s="8">
        <f t="shared" si="0"/>
        <v>4.8628070733396173E-2</v>
      </c>
      <c r="J252" s="8">
        <f t="shared" si="1"/>
        <v>9.7122632276239643E-2</v>
      </c>
      <c r="K252" s="8">
        <f t="shared" si="6"/>
        <v>1.318791780066771</v>
      </c>
      <c r="L252" s="8">
        <f t="shared" si="2"/>
        <v>1.59</v>
      </c>
      <c r="M252">
        <f t="shared" si="7"/>
        <v>15.5</v>
      </c>
      <c r="N252">
        <f t="shared" si="8"/>
        <v>1343399.032800545</v>
      </c>
      <c r="O252">
        <f t="shared" si="3"/>
        <v>528979.26505308191</v>
      </c>
      <c r="P252">
        <f t="shared" si="9"/>
        <v>522912.59835801774</v>
      </c>
      <c r="Q252">
        <f t="shared" si="10"/>
        <v>333.51331895264894</v>
      </c>
      <c r="R252">
        <f t="shared" si="11"/>
        <v>255451.20721844997</v>
      </c>
      <c r="S252">
        <f t="shared" si="12"/>
        <v>1180.6996761899607</v>
      </c>
      <c r="T252">
        <f t="shared" si="4"/>
        <v>434820.93407732807</v>
      </c>
      <c r="U252">
        <f t="shared" si="5"/>
        <v>1.1389</v>
      </c>
      <c r="V252">
        <f>ROUND(((($B$177*(P252/(2700*10^3)))+($B$173*0.001*(Cost_table[[#This Row],[Q_c (W)]]/(4.2*1000*(47-33)))))*60*60*8000)*10^-6,4)</f>
        <v>1.1802999999999999</v>
      </c>
      <c r="W252">
        <f t="shared" si="13"/>
        <v>2.3191999999999999</v>
      </c>
    </row>
    <row r="253" spans="2:23" x14ac:dyDescent="0.3">
      <c r="B253" s="25">
        <v>1.25</v>
      </c>
      <c r="C253">
        <v>7</v>
      </c>
      <c r="D253">
        <v>6</v>
      </c>
      <c r="E253">
        <v>14</v>
      </c>
      <c r="F253">
        <v>10</v>
      </c>
      <c r="G253">
        <v>8</v>
      </c>
      <c r="H253">
        <v>19</v>
      </c>
      <c r="I253" s="8">
        <f t="shared" si="0"/>
        <v>4.9063070200308562E-2</v>
      </c>
      <c r="J253" s="8">
        <f t="shared" si="1"/>
        <v>9.7052838272681435E-2</v>
      </c>
      <c r="K253" s="8">
        <f t="shared" si="6"/>
        <v>1.3178440734814643</v>
      </c>
      <c r="L253" s="8">
        <f t="shared" si="2"/>
        <v>1.62</v>
      </c>
      <c r="M253">
        <f t="shared" si="7"/>
        <v>14.9</v>
      </c>
      <c r="N253">
        <f t="shared" si="8"/>
        <v>1321752.7954681299</v>
      </c>
      <c r="O253">
        <f t="shared" si="3"/>
        <v>546134.65323990013</v>
      </c>
      <c r="P253">
        <f t="shared" si="9"/>
        <v>540067.98654483596</v>
      </c>
      <c r="Q253">
        <f t="shared" si="10"/>
        <v>344.32952826386395</v>
      </c>
      <c r="R253">
        <f t="shared" si="11"/>
        <v>265012.959264189</v>
      </c>
      <c r="S253">
        <f t="shared" si="12"/>
        <v>1219.4353297976431</v>
      </c>
      <c r="T253">
        <f t="shared" si="4"/>
        <v>449198.16736985394</v>
      </c>
      <c r="U253">
        <f t="shared" si="5"/>
        <v>1.1400999999999999</v>
      </c>
      <c r="V253">
        <f>ROUND(((($B$177*(P253/(2700*10^3)))+($B$173*0.001*(Cost_table[[#This Row],[Q_c (W)]]/(4.2*1000*(47-33)))))*60*60*8000)*10^-6,4)</f>
        <v>1.2190000000000001</v>
      </c>
      <c r="W253">
        <f t="shared" si="13"/>
        <v>2.3590999999999998</v>
      </c>
    </row>
    <row r="254" spans="2:23" x14ac:dyDescent="0.3">
      <c r="B254" s="25">
        <v>1.3</v>
      </c>
      <c r="C254">
        <v>7</v>
      </c>
      <c r="D254">
        <v>6</v>
      </c>
      <c r="E254">
        <v>14</v>
      </c>
      <c r="F254">
        <v>10</v>
      </c>
      <c r="G254">
        <v>8</v>
      </c>
      <c r="H254">
        <v>19</v>
      </c>
      <c r="I254" s="8">
        <f t="shared" si="0"/>
        <v>4.9471573247376437E-2</v>
      </c>
      <c r="J254" s="8">
        <f t="shared" si="1"/>
        <v>9.6987189043457309E-2</v>
      </c>
      <c r="K254" s="8">
        <f t="shared" si="6"/>
        <v>1.316952647231584</v>
      </c>
      <c r="L254" s="8">
        <f t="shared" si="2"/>
        <v>1.6400000000000001</v>
      </c>
      <c r="M254">
        <f t="shared" si="7"/>
        <v>14.9</v>
      </c>
      <c r="N254">
        <f t="shared" si="8"/>
        <v>1350502.8299800821</v>
      </c>
      <c r="O254">
        <f t="shared" si="3"/>
        <v>563290.04142671858</v>
      </c>
      <c r="P254">
        <f t="shared" si="9"/>
        <v>557223.37473165442</v>
      </c>
      <c r="Q254">
        <f t="shared" si="10"/>
        <v>355.14573757507907</v>
      </c>
      <c r="R254">
        <f t="shared" si="11"/>
        <v>274574.71130992816</v>
      </c>
      <c r="S254">
        <f t="shared" si="12"/>
        <v>1258.1709834053261</v>
      </c>
      <c r="T254">
        <f t="shared" si="4"/>
        <v>463575.40066237998</v>
      </c>
      <c r="U254">
        <f t="shared" si="5"/>
        <v>1.1696</v>
      </c>
      <c r="V254">
        <f>ROUND(((($B$177*(P254/(2700*10^3)))+($B$173*0.001*(Cost_table[[#This Row],[Q_c (W)]]/(4.2*1000*(47-33)))))*60*60*8000)*10^-6,4)</f>
        <v>1.2577</v>
      </c>
      <c r="W254">
        <f t="shared" si="13"/>
        <v>2.4272999999999998</v>
      </c>
    </row>
    <row r="255" spans="2:23" x14ac:dyDescent="0.3">
      <c r="B255" s="25">
        <v>1.35</v>
      </c>
      <c r="C255">
        <v>7</v>
      </c>
      <c r="D255">
        <v>6</v>
      </c>
      <c r="E255">
        <v>13</v>
      </c>
      <c r="F255">
        <v>10</v>
      </c>
      <c r="G255">
        <v>8</v>
      </c>
      <c r="H255">
        <v>19</v>
      </c>
      <c r="I255" s="8">
        <f t="shared" si="0"/>
        <v>4.98559292239691E-2</v>
      </c>
      <c r="J255" s="8">
        <f t="shared" si="1"/>
        <v>9.6925328724294921E-2</v>
      </c>
      <c r="K255" s="8">
        <f t="shared" si="6"/>
        <v>1.3161126691697083</v>
      </c>
      <c r="L255" s="8">
        <f t="shared" si="2"/>
        <v>1.67</v>
      </c>
      <c r="M255">
        <f t="shared" si="7"/>
        <v>14.9</v>
      </c>
      <c r="N255">
        <f t="shared" si="8"/>
        <v>1393627.8817480097</v>
      </c>
      <c r="O255">
        <f t="shared" si="3"/>
        <v>580445.42961353681</v>
      </c>
      <c r="P255">
        <f t="shared" si="9"/>
        <v>574378.76291847264</v>
      </c>
      <c r="Q255">
        <f t="shared" si="10"/>
        <v>365.96194688629407</v>
      </c>
      <c r="R255">
        <f t="shared" si="11"/>
        <v>284136.46335566719</v>
      </c>
      <c r="S255">
        <f t="shared" si="12"/>
        <v>1296.9066370130085</v>
      </c>
      <c r="T255">
        <f t="shared" si="4"/>
        <v>477952.63395490585</v>
      </c>
      <c r="U255">
        <f t="shared" si="5"/>
        <v>1.2072000000000001</v>
      </c>
      <c r="V255">
        <f>ROUND(((($B$177*(P255/(2700*10^3)))+($B$173*0.001*(Cost_table[[#This Row],[Q_c (W)]]/(4.2*1000*(47-33)))))*60*60*8000)*10^-6,4)</f>
        <v>1.2964</v>
      </c>
      <c r="W255">
        <f t="shared" si="13"/>
        <v>2.5036</v>
      </c>
    </row>
    <row r="256" spans="2:23" x14ac:dyDescent="0.3">
      <c r="B256" s="25">
        <v>1.4</v>
      </c>
      <c r="C256">
        <v>7</v>
      </c>
      <c r="D256">
        <v>5</v>
      </c>
      <c r="E256">
        <v>13</v>
      </c>
      <c r="F256">
        <v>9</v>
      </c>
      <c r="G256">
        <v>8</v>
      </c>
      <c r="H256">
        <v>18</v>
      </c>
      <c r="I256" s="8">
        <f t="shared" si="0"/>
        <v>5.0218217707399204E-2</v>
      </c>
      <c r="J256" s="8">
        <f t="shared" si="1"/>
        <v>9.6866940732419901E-2</v>
      </c>
      <c r="K256" s="8">
        <f t="shared" si="6"/>
        <v>1.3153198405371362</v>
      </c>
      <c r="L256" s="8">
        <f t="shared" si="2"/>
        <v>1.69</v>
      </c>
      <c r="M256">
        <f t="shared" si="7"/>
        <v>14.3</v>
      </c>
      <c r="N256">
        <f t="shared" si="8"/>
        <v>1350199.6278451318</v>
      </c>
      <c r="O256">
        <f t="shared" si="3"/>
        <v>597600.81780035514</v>
      </c>
      <c r="P256">
        <f t="shared" si="9"/>
        <v>591534.15110529098</v>
      </c>
      <c r="Q256">
        <f t="shared" si="10"/>
        <v>376.77815619750913</v>
      </c>
      <c r="R256">
        <f t="shared" si="11"/>
        <v>293698.21540140628</v>
      </c>
      <c r="S256">
        <f t="shared" si="12"/>
        <v>1335.6422906206913</v>
      </c>
      <c r="T256">
        <f t="shared" si="4"/>
        <v>492329.86724743183</v>
      </c>
      <c r="U256">
        <f t="shared" si="5"/>
        <v>1.1962999999999999</v>
      </c>
      <c r="V256">
        <f>ROUND(((($B$177*(P256/(2700*10^3)))+($B$173*0.001*(Cost_table[[#This Row],[Q_c (W)]]/(4.2*1000*(47-33)))))*60*60*8000)*10^-6,4)</f>
        <v>1.3351</v>
      </c>
      <c r="W256">
        <f t="shared" si="13"/>
        <v>2.5313999999999997</v>
      </c>
    </row>
    <row r="257" spans="2:23" x14ac:dyDescent="0.3">
      <c r="B257" s="25">
        <v>1.45</v>
      </c>
      <c r="C257">
        <v>6</v>
      </c>
      <c r="D257">
        <v>5</v>
      </c>
      <c r="E257">
        <v>12</v>
      </c>
      <c r="F257">
        <v>9</v>
      </c>
      <c r="G257">
        <v>7</v>
      </c>
      <c r="H257">
        <v>17</v>
      </c>
      <c r="I257" s="8">
        <f t="shared" si="0"/>
        <v>5.056028614422118E-2</v>
      </c>
      <c r="J257" s="8">
        <f t="shared" si="1"/>
        <v>9.6811742538781553E-2</v>
      </c>
      <c r="K257" s="8">
        <f t="shared" si="6"/>
        <v>1.3145703249779024</v>
      </c>
      <c r="L257" s="8">
        <f t="shared" si="2"/>
        <v>1.71</v>
      </c>
      <c r="M257">
        <f t="shared" si="7"/>
        <v>13.7</v>
      </c>
      <c r="N257">
        <f t="shared" si="8"/>
        <v>1303808.5742164587</v>
      </c>
      <c r="O257">
        <f t="shared" si="3"/>
        <v>614756.20598717348</v>
      </c>
      <c r="P257">
        <f t="shared" si="9"/>
        <v>608689.53929210932</v>
      </c>
      <c r="Q257">
        <f t="shared" si="10"/>
        <v>387.59436550872425</v>
      </c>
      <c r="R257">
        <f t="shared" si="11"/>
        <v>303259.96744714543</v>
      </c>
      <c r="S257">
        <f t="shared" si="12"/>
        <v>1374.377944228374</v>
      </c>
      <c r="T257">
        <f t="shared" si="4"/>
        <v>506707.10053995776</v>
      </c>
      <c r="U257">
        <f t="shared" si="5"/>
        <v>1.1837</v>
      </c>
      <c r="V257">
        <f>ROUND(((($B$177*(P257/(2700*10^3)))+($B$173*0.001*(Cost_table[[#This Row],[Q_c (W)]]/(4.2*1000*(47-33)))))*60*60*8000)*10^-6,4)</f>
        <v>1.3737999999999999</v>
      </c>
      <c r="W257">
        <f t="shared" si="13"/>
        <v>2.5575000000000001</v>
      </c>
    </row>
    <row r="258" spans="2:23" x14ac:dyDescent="0.3">
      <c r="B258" s="25">
        <v>1.5</v>
      </c>
      <c r="C258">
        <v>6</v>
      </c>
      <c r="D258">
        <v>5</v>
      </c>
      <c r="E258">
        <v>12</v>
      </c>
      <c r="F258">
        <v>9</v>
      </c>
      <c r="G258">
        <v>7</v>
      </c>
      <c r="H258">
        <v>17</v>
      </c>
      <c r="I258" s="8">
        <f t="shared" si="0"/>
        <v>5.0883781360123483E-2</v>
      </c>
      <c r="J258" s="8">
        <f t="shared" si="1"/>
        <v>9.6759481245740811E-2</v>
      </c>
      <c r="K258" s="8">
        <f t="shared" si="6"/>
        <v>1.3138606884898616</v>
      </c>
      <c r="L258" s="8">
        <f t="shared" si="2"/>
        <v>1.73</v>
      </c>
      <c r="M258">
        <f t="shared" si="7"/>
        <v>13.7</v>
      </c>
      <c r="N258">
        <f t="shared" si="8"/>
        <v>1329595.809002616</v>
      </c>
      <c r="O258">
        <f t="shared" si="3"/>
        <v>631911.5941739917</v>
      </c>
      <c r="P258">
        <f t="shared" si="9"/>
        <v>625844.92747892754</v>
      </c>
      <c r="Q258">
        <f t="shared" si="10"/>
        <v>398.41057481993926</v>
      </c>
      <c r="R258">
        <f t="shared" si="11"/>
        <v>312821.71949288447</v>
      </c>
      <c r="S258">
        <f t="shared" si="12"/>
        <v>1413.1135978360564</v>
      </c>
      <c r="T258">
        <f t="shared" si="4"/>
        <v>521084.33383248362</v>
      </c>
      <c r="U258">
        <f t="shared" si="5"/>
        <v>1.2116</v>
      </c>
      <c r="V258">
        <f>ROUND(((($B$177*(P258/(2700*10^3)))+($B$173*0.001*(Cost_table[[#This Row],[Q_c (W)]]/(4.2*1000*(47-33)))))*60*60*8000)*10^-6,4)</f>
        <v>1.4125000000000001</v>
      </c>
      <c r="W258">
        <f t="shared" si="13"/>
        <v>2.6241000000000003</v>
      </c>
    </row>
    <row r="259" spans="2:23" x14ac:dyDescent="0.3">
      <c r="B259" s="25">
        <v>1.55</v>
      </c>
      <c r="C259">
        <v>6</v>
      </c>
      <c r="D259">
        <v>5</v>
      </c>
      <c r="E259">
        <v>12</v>
      </c>
      <c r="F259">
        <v>9</v>
      </c>
      <c r="G259">
        <v>7</v>
      </c>
      <c r="H259">
        <v>17</v>
      </c>
      <c r="I259" s="8">
        <f t="shared" si="0"/>
        <v>5.1190176072822877E-2</v>
      </c>
      <c r="J259" s="8">
        <f t="shared" si="1"/>
        <v>9.6709929830509689E-2</v>
      </c>
      <c r="K259" s="8">
        <f t="shared" si="6"/>
        <v>1.313187848415762</v>
      </c>
      <c r="L259" s="8">
        <f t="shared" si="2"/>
        <v>1.76</v>
      </c>
      <c r="M259">
        <f t="shared" si="7"/>
        <v>13.7</v>
      </c>
      <c r="N259">
        <f t="shared" si="8"/>
        <v>1368276.6611818518</v>
      </c>
      <c r="O259">
        <f t="shared" si="3"/>
        <v>649066.98236081016</v>
      </c>
      <c r="P259">
        <f t="shared" si="9"/>
        <v>643000.31566574599</v>
      </c>
      <c r="Q259">
        <f t="shared" si="10"/>
        <v>409.22678413115443</v>
      </c>
      <c r="R259">
        <f t="shared" si="11"/>
        <v>322383.47153862362</v>
      </c>
      <c r="S259">
        <f t="shared" si="12"/>
        <v>1451.8492514437394</v>
      </c>
      <c r="T259">
        <f t="shared" si="4"/>
        <v>535461.56712500972</v>
      </c>
      <c r="U259">
        <f t="shared" si="5"/>
        <v>1.2465999999999999</v>
      </c>
      <c r="V259">
        <f>ROUND(((($B$177*(P259/(2700*10^3)))+($B$173*0.001*(Cost_table[[#This Row],[Q_c (W)]]/(4.2*1000*(47-33)))))*60*60*8000)*10^-6,4)</f>
        <v>1.4512</v>
      </c>
      <c r="W259">
        <f t="shared" si="13"/>
        <v>2.6978</v>
      </c>
    </row>
    <row r="260" spans="2:23" x14ac:dyDescent="0.3">
      <c r="B260" s="25">
        <v>1.6</v>
      </c>
      <c r="C260">
        <v>6</v>
      </c>
      <c r="D260">
        <v>5</v>
      </c>
      <c r="E260">
        <v>11</v>
      </c>
      <c r="F260">
        <v>9</v>
      </c>
      <c r="G260">
        <v>7</v>
      </c>
      <c r="H260">
        <v>17</v>
      </c>
      <c r="I260" s="8">
        <f t="shared" si="0"/>
        <v>5.1480791308677561E-2</v>
      </c>
      <c r="J260" s="8">
        <f t="shared" si="1"/>
        <v>9.6662883941365685E-2</v>
      </c>
      <c r="K260" s="8">
        <f t="shared" si="6"/>
        <v>1.3125490299402436</v>
      </c>
      <c r="L260" s="8">
        <f t="shared" si="2"/>
        <v>1.78</v>
      </c>
      <c r="M260">
        <f t="shared" si="7"/>
        <v>13.7</v>
      </c>
      <c r="N260">
        <f t="shared" si="8"/>
        <v>1394063.8959680095</v>
      </c>
      <c r="O260">
        <f t="shared" si="3"/>
        <v>666222.3705476285</v>
      </c>
      <c r="P260">
        <f t="shared" si="9"/>
        <v>660155.70385256433</v>
      </c>
      <c r="Q260">
        <f t="shared" si="10"/>
        <v>420.04299344236949</v>
      </c>
      <c r="R260">
        <f t="shared" si="11"/>
        <v>331945.22358436271</v>
      </c>
      <c r="S260">
        <f t="shared" si="12"/>
        <v>1490.5849050514223</v>
      </c>
      <c r="T260">
        <f t="shared" si="4"/>
        <v>549838.80041753571</v>
      </c>
      <c r="U260">
        <f t="shared" si="5"/>
        <v>1.2745</v>
      </c>
      <c r="V260">
        <f>ROUND(((($B$177*(P260/(2700*10^3)))+($B$173*0.001*(Cost_table[[#This Row],[Q_c (W)]]/(4.2*1000*(47-33)))))*60*60*8000)*10^-6,4)</f>
        <v>1.4899</v>
      </c>
      <c r="W260">
        <f t="shared" si="13"/>
        <v>2.7644000000000002</v>
      </c>
    </row>
    <row r="261" spans="2:23" x14ac:dyDescent="0.3">
      <c r="B261" s="25">
        <v>1.65</v>
      </c>
      <c r="C261">
        <v>6</v>
      </c>
      <c r="D261">
        <v>5</v>
      </c>
      <c r="E261">
        <v>11</v>
      </c>
      <c r="F261">
        <v>9</v>
      </c>
      <c r="G261">
        <v>6</v>
      </c>
      <c r="H261">
        <v>16</v>
      </c>
      <c r="I261" s="8">
        <f t="shared" si="0"/>
        <v>5.1756815442845452E-2</v>
      </c>
      <c r="J261" s="8">
        <f t="shared" si="1"/>
        <v>9.6618159154835029E-2</v>
      </c>
      <c r="K261" s="8">
        <f t="shared" si="6"/>
        <v>1.3119417288461577</v>
      </c>
      <c r="L261" s="8">
        <f t="shared" si="2"/>
        <v>1.8</v>
      </c>
      <c r="M261">
        <f t="shared" si="7"/>
        <v>13.1</v>
      </c>
      <c r="N261">
        <f t="shared" si="8"/>
        <v>1339525.1430934002</v>
      </c>
      <c r="O261">
        <f t="shared" si="3"/>
        <v>683377.75873444683</v>
      </c>
      <c r="P261">
        <f t="shared" si="9"/>
        <v>677311.09203938267</v>
      </c>
      <c r="Q261">
        <f t="shared" si="10"/>
        <v>430.8592027535845</v>
      </c>
      <c r="R261">
        <f t="shared" si="11"/>
        <v>341506.97563010175</v>
      </c>
      <c r="S261">
        <f t="shared" si="12"/>
        <v>1529.3205586591048</v>
      </c>
      <c r="T261">
        <f t="shared" si="4"/>
        <v>564216.03371006157</v>
      </c>
      <c r="U261">
        <f t="shared" si="5"/>
        <v>1.2573000000000001</v>
      </c>
      <c r="V261">
        <f>ROUND(((($B$177*(P261/(2700*10^3)))+($B$173*0.001*(Cost_table[[#This Row],[Q_c (W)]]/(4.2*1000*(47-33)))))*60*60*8000)*10^-6,4)</f>
        <v>1.5286</v>
      </c>
      <c r="W261">
        <f t="shared" si="13"/>
        <v>2.7858999999999998</v>
      </c>
    </row>
    <row r="262" spans="2:23" x14ac:dyDescent="0.3">
      <c r="B262" s="25">
        <v>1.7</v>
      </c>
      <c r="C262">
        <v>6</v>
      </c>
      <c r="D262">
        <v>4</v>
      </c>
      <c r="E262">
        <v>11</v>
      </c>
      <c r="F262">
        <v>8</v>
      </c>
      <c r="G262">
        <v>6</v>
      </c>
      <c r="H262">
        <v>15</v>
      </c>
      <c r="I262" s="8">
        <f t="shared" si="0"/>
        <v>5.2019320441790716E-2</v>
      </c>
      <c r="J262" s="8">
        <f t="shared" si="1"/>
        <v>9.6575588618900837E-2</v>
      </c>
      <c r="K262" s="8">
        <f t="shared" si="6"/>
        <v>1.3113636795125752</v>
      </c>
      <c r="L262" s="8">
        <f t="shared" si="2"/>
        <v>1.82</v>
      </c>
      <c r="M262">
        <f t="shared" si="7"/>
        <v>12.5</v>
      </c>
      <c r="N262">
        <f t="shared" si="8"/>
        <v>1282023.5904929966</v>
      </c>
      <c r="O262">
        <f t="shared" si="3"/>
        <v>700533.14692126517</v>
      </c>
      <c r="P262">
        <f t="shared" si="9"/>
        <v>694466.48022620101</v>
      </c>
      <c r="Q262">
        <f t="shared" si="10"/>
        <v>441.67541206479956</v>
      </c>
      <c r="R262">
        <f t="shared" si="11"/>
        <v>351068.72767584084</v>
      </c>
      <c r="S262">
        <f t="shared" si="12"/>
        <v>1568.0562122667877</v>
      </c>
      <c r="T262">
        <f t="shared" si="4"/>
        <v>578593.26700258767</v>
      </c>
      <c r="U262">
        <f t="shared" si="5"/>
        <v>1.2384999999999999</v>
      </c>
      <c r="V262">
        <f>ROUND(((($B$177*(P262/(2700*10^3)))+($B$173*0.001*(Cost_table[[#This Row],[Q_c (W)]]/(4.2*1000*(47-33)))))*60*60*8000)*10^-6,4)</f>
        <v>1.5672999999999999</v>
      </c>
      <c r="W262">
        <f t="shared" si="13"/>
        <v>2.8057999999999996</v>
      </c>
    </row>
    <row r="263" spans="2:23" x14ac:dyDescent="0.3">
      <c r="B263" s="25">
        <v>1.75</v>
      </c>
      <c r="C263">
        <v>6</v>
      </c>
      <c r="D263">
        <v>4</v>
      </c>
      <c r="E263">
        <v>11</v>
      </c>
      <c r="F263">
        <v>8</v>
      </c>
      <c r="G263">
        <v>6</v>
      </c>
      <c r="H263">
        <v>15</v>
      </c>
      <c r="I263" s="8">
        <f t="shared" si="0"/>
        <v>5.2269275776257326E-2</v>
      </c>
      <c r="J263" s="8">
        <f t="shared" si="1"/>
        <v>9.6535021020780001E-2</v>
      </c>
      <c r="K263" s="8">
        <f t="shared" si="6"/>
        <v>1.3108128273199922</v>
      </c>
      <c r="L263" s="8">
        <f t="shared" si="2"/>
        <v>1.84</v>
      </c>
      <c r="M263">
        <f t="shared" si="7"/>
        <v>12.5</v>
      </c>
      <c r="N263">
        <f t="shared" si="8"/>
        <v>1304848.0255533587</v>
      </c>
      <c r="O263">
        <f t="shared" si="3"/>
        <v>717688.53510808351</v>
      </c>
      <c r="P263">
        <f t="shared" si="9"/>
        <v>711621.86841301934</v>
      </c>
      <c r="Q263">
        <f t="shared" si="10"/>
        <v>452.49162137601468</v>
      </c>
      <c r="R263">
        <f t="shared" si="11"/>
        <v>360630.47972157999</v>
      </c>
      <c r="S263">
        <f t="shared" si="12"/>
        <v>1606.7918658744702</v>
      </c>
      <c r="T263">
        <f t="shared" si="4"/>
        <v>592970.50029511354</v>
      </c>
      <c r="U263">
        <f t="shared" si="5"/>
        <v>1.2646999999999999</v>
      </c>
      <c r="V263">
        <f>ROUND(((($B$177*(P263/(2700*10^3)))+($B$173*0.001*(Cost_table[[#This Row],[Q_c (W)]]/(4.2*1000*(47-33)))))*60*60*8000)*10^-6,4)</f>
        <v>1.6060000000000001</v>
      </c>
      <c r="W263">
        <f t="shared" si="13"/>
        <v>2.8707000000000003</v>
      </c>
    </row>
    <row r="264" spans="2:23" x14ac:dyDescent="0.3">
      <c r="B264" s="25">
        <v>1.8</v>
      </c>
      <c r="C264">
        <v>6</v>
      </c>
      <c r="D264">
        <v>4</v>
      </c>
      <c r="E264">
        <v>11</v>
      </c>
      <c r="F264">
        <v>8</v>
      </c>
      <c r="G264">
        <v>6</v>
      </c>
      <c r="H264">
        <v>15</v>
      </c>
      <c r="I264" s="8">
        <f t="shared" si="0"/>
        <v>5.2507560385400651E-2</v>
      </c>
      <c r="J264" s="8">
        <f t="shared" si="1"/>
        <v>9.6496318828654642E-2</v>
      </c>
      <c r="K264" s="8">
        <f t="shared" si="6"/>
        <v>1.3102873047754597</v>
      </c>
      <c r="L264" s="8">
        <f t="shared" si="2"/>
        <v>1.87</v>
      </c>
      <c r="M264">
        <f t="shared" si="7"/>
        <v>12.5</v>
      </c>
      <c r="N264">
        <f t="shared" si="8"/>
        <v>1339084.6781439031</v>
      </c>
      <c r="O264">
        <f t="shared" si="3"/>
        <v>734843.92329490173</v>
      </c>
      <c r="P264">
        <f t="shared" si="9"/>
        <v>728777.25659983756</v>
      </c>
      <c r="Q264">
        <f t="shared" si="10"/>
        <v>463.30783068722968</v>
      </c>
      <c r="R264">
        <f t="shared" si="11"/>
        <v>370192.23176731903</v>
      </c>
      <c r="S264">
        <f t="shared" si="12"/>
        <v>1645.5275194821527</v>
      </c>
      <c r="T264">
        <f t="shared" si="4"/>
        <v>607347.73358763941</v>
      </c>
      <c r="U264">
        <f t="shared" si="5"/>
        <v>1.2972999999999999</v>
      </c>
      <c r="V264">
        <f>ROUND(((($B$177*(P264/(2700*10^3)))+($B$173*0.001*(Cost_table[[#This Row],[Q_c (W)]]/(4.2*1000*(47-33)))))*60*60*8000)*10^-6,4)</f>
        <v>1.6447000000000001</v>
      </c>
      <c r="W264">
        <f t="shared" si="13"/>
        <v>2.9420000000000002</v>
      </c>
    </row>
    <row r="265" spans="2:23" x14ac:dyDescent="0.3">
      <c r="B265" s="25">
        <v>1.85</v>
      </c>
      <c r="C265">
        <v>6</v>
      </c>
      <c r="D265">
        <v>4</v>
      </c>
      <c r="E265">
        <v>11</v>
      </c>
      <c r="F265">
        <v>8</v>
      </c>
      <c r="G265">
        <v>6</v>
      </c>
      <c r="H265">
        <v>15</v>
      </c>
      <c r="I265" s="8">
        <f t="shared" si="0"/>
        <v>5.2734973003289748E-2</v>
      </c>
      <c r="J265" s="8">
        <f t="shared" si="1"/>
        <v>9.6459356765501936E-2</v>
      </c>
      <c r="K265" s="8">
        <f t="shared" si="6"/>
        <v>1.3097854107892932</v>
      </c>
      <c r="L265" s="8">
        <f t="shared" si="2"/>
        <v>1.8900000000000001</v>
      </c>
      <c r="M265">
        <f t="shared" si="7"/>
        <v>12.5</v>
      </c>
      <c r="N265">
        <f t="shared" si="8"/>
        <v>1361909.1132042657</v>
      </c>
      <c r="O265">
        <f t="shared" si="3"/>
        <v>751999.31148172007</v>
      </c>
      <c r="P265">
        <f t="shared" si="9"/>
        <v>745932.6447866559</v>
      </c>
      <c r="Q265">
        <f t="shared" si="10"/>
        <v>474.12403999844474</v>
      </c>
      <c r="R265">
        <f t="shared" si="11"/>
        <v>379753.98381305812</v>
      </c>
      <c r="S265">
        <f t="shared" si="12"/>
        <v>1684.2631730898352</v>
      </c>
      <c r="T265">
        <f t="shared" si="4"/>
        <v>621724.96688016527</v>
      </c>
      <c r="U265">
        <f t="shared" si="5"/>
        <v>1.3234999999999999</v>
      </c>
      <c r="V265">
        <f>ROUND(((($B$177*(P265/(2700*10^3)))+($B$173*0.001*(Cost_table[[#This Row],[Q_c (W)]]/(4.2*1000*(47-33)))))*60*60*8000)*10^-6,4)</f>
        <v>1.6834</v>
      </c>
      <c r="W265">
        <f t="shared" si="13"/>
        <v>3.0068999999999999</v>
      </c>
    </row>
    <row r="266" spans="2:23" x14ac:dyDescent="0.3">
      <c r="B266" s="25">
        <v>1.9</v>
      </c>
      <c r="C266">
        <v>6</v>
      </c>
      <c r="D266">
        <v>4</v>
      </c>
      <c r="E266">
        <v>11</v>
      </c>
      <c r="F266">
        <v>8</v>
      </c>
      <c r="G266">
        <v>6</v>
      </c>
      <c r="H266">
        <v>15</v>
      </c>
      <c r="I266" s="8">
        <f t="shared" si="0"/>
        <v>5.2952241103463124E-2</v>
      </c>
      <c r="J266" s="8">
        <f t="shared" si="1"/>
        <v>9.6424020480264661E-2</v>
      </c>
      <c r="K266" s="8">
        <f t="shared" si="6"/>
        <v>1.3093055926313952</v>
      </c>
      <c r="L266" s="8">
        <f t="shared" si="2"/>
        <v>1.9100000000000001</v>
      </c>
      <c r="M266">
        <f t="shared" si="7"/>
        <v>12.5</v>
      </c>
      <c r="N266">
        <f t="shared" si="8"/>
        <v>1384733.5482646285</v>
      </c>
      <c r="O266">
        <f t="shared" si="3"/>
        <v>769154.69966853841</v>
      </c>
      <c r="P266">
        <f t="shared" si="9"/>
        <v>763088.03297347424</v>
      </c>
      <c r="Q266">
        <f t="shared" si="10"/>
        <v>484.94024930965986</v>
      </c>
      <c r="R266">
        <f t="shared" si="11"/>
        <v>389315.73585879727</v>
      </c>
      <c r="S266">
        <f t="shared" si="12"/>
        <v>1722.9988266975181</v>
      </c>
      <c r="T266">
        <f t="shared" si="4"/>
        <v>636102.20017269126</v>
      </c>
      <c r="U266">
        <f t="shared" si="5"/>
        <v>1.3496999999999999</v>
      </c>
      <c r="V266">
        <f>ROUND(((($B$177*(P266/(2700*10^3)))+($B$173*0.001*(Cost_table[[#This Row],[Q_c (W)]]/(4.2*1000*(47-33)))))*60*60*8000)*10^-6,4)</f>
        <v>1.7221</v>
      </c>
      <c r="W266">
        <f t="shared" si="13"/>
        <v>3.0717999999999996</v>
      </c>
    </row>
    <row r="267" spans="2:23" x14ac:dyDescent="0.3">
      <c r="B267" s="25">
        <v>1.95</v>
      </c>
      <c r="C267">
        <v>6</v>
      </c>
      <c r="D267">
        <v>4</v>
      </c>
      <c r="E267">
        <v>11</v>
      </c>
      <c r="F267">
        <v>8</v>
      </c>
      <c r="G267">
        <v>6</v>
      </c>
      <c r="H267">
        <v>15</v>
      </c>
      <c r="I267" s="8">
        <f t="shared" si="0"/>
        <v>5.3160028672592403E-2</v>
      </c>
      <c r="J267" s="8">
        <f t="shared" si="1"/>
        <v>9.6390205387392666E-2</v>
      </c>
      <c r="K267" s="8">
        <f t="shared" si="6"/>
        <v>1.3088464301738236</v>
      </c>
      <c r="L267" s="8">
        <f t="shared" si="2"/>
        <v>1.93</v>
      </c>
      <c r="M267">
        <f t="shared" si="7"/>
        <v>12.5</v>
      </c>
      <c r="N267">
        <f t="shared" si="8"/>
        <v>1407557.9833249906</v>
      </c>
      <c r="O267">
        <f t="shared" si="3"/>
        <v>786310.08785535675</v>
      </c>
      <c r="P267">
        <f t="shared" si="9"/>
        <v>780243.42116029258</v>
      </c>
      <c r="Q267">
        <f t="shared" si="10"/>
        <v>495.75645862087492</v>
      </c>
      <c r="R267">
        <f t="shared" si="11"/>
        <v>398877.48790453636</v>
      </c>
      <c r="S267">
        <f t="shared" si="12"/>
        <v>1761.734480305201</v>
      </c>
      <c r="T267">
        <f t="shared" si="4"/>
        <v>650479.43346521736</v>
      </c>
      <c r="U267">
        <f t="shared" si="5"/>
        <v>1.3758999999999999</v>
      </c>
      <c r="V267">
        <f>ROUND(((($B$177*(P267/(2700*10^3)))+($B$173*0.001*(Cost_table[[#This Row],[Q_c (W)]]/(4.2*1000*(47-33)))))*60*60*8000)*10^-6,4)</f>
        <v>1.7607999999999999</v>
      </c>
      <c r="W267">
        <f t="shared" si="13"/>
        <v>3.1366999999999998</v>
      </c>
    </row>
    <row r="268" spans="2:23" x14ac:dyDescent="0.3">
      <c r="B268" s="25">
        <v>2</v>
      </c>
      <c r="C268">
        <v>6</v>
      </c>
      <c r="D268">
        <v>4</v>
      </c>
      <c r="E268">
        <v>11</v>
      </c>
      <c r="F268">
        <v>8</v>
      </c>
      <c r="G268">
        <v>6</v>
      </c>
      <c r="H268">
        <v>15</v>
      </c>
      <c r="I268" s="8">
        <f t="shared" si="0"/>
        <v>5.3358942988258794E-2</v>
      </c>
      <c r="J268" s="8">
        <f t="shared" si="1"/>
        <v>9.635781565051299E-2</v>
      </c>
      <c r="K268" s="8">
        <f t="shared" si="6"/>
        <v>1.3084066220904311</v>
      </c>
      <c r="L268" s="8">
        <f t="shared" si="2"/>
        <v>1.95</v>
      </c>
      <c r="M268">
        <f t="shared" si="7"/>
        <v>12.5</v>
      </c>
      <c r="N268">
        <f t="shared" si="8"/>
        <v>1430382.4183853532</v>
      </c>
      <c r="O268">
        <f t="shared" si="3"/>
        <v>803465.47604217508</v>
      </c>
      <c r="P268">
        <f t="shared" si="9"/>
        <v>797398.80934711092</v>
      </c>
      <c r="Q268">
        <f t="shared" si="10"/>
        <v>506.57266793208993</v>
      </c>
      <c r="R268">
        <f t="shared" si="11"/>
        <v>408439.2399502754</v>
      </c>
      <c r="S268">
        <f t="shared" si="12"/>
        <v>1800.4701339128835</v>
      </c>
      <c r="T268">
        <f t="shared" si="4"/>
        <v>664856.66675774322</v>
      </c>
      <c r="U268">
        <f t="shared" si="5"/>
        <v>1.4020999999999999</v>
      </c>
      <c r="V268">
        <f>ROUND(((($B$177*(P268/(2700*10^3)))+($B$173*0.001*(Cost_table[[#This Row],[Q_c (W)]]/(4.2*1000*(47-33)))))*60*60*8000)*10^-6,4)</f>
        <v>1.7995000000000001</v>
      </c>
      <c r="W268">
        <f t="shared" si="13"/>
        <v>3.2016</v>
      </c>
    </row>
    <row r="399" spans="2:7" x14ac:dyDescent="0.3">
      <c r="B399" s="25"/>
      <c r="D399" s="8"/>
      <c r="E399" s="8"/>
      <c r="F399" s="8"/>
      <c r="G399" s="8"/>
    </row>
    <row r="400" spans="2:7" x14ac:dyDescent="0.3">
      <c r="B400" s="25"/>
      <c r="D400" s="8"/>
      <c r="E400" s="8"/>
      <c r="F400" s="8"/>
      <c r="G400" s="8"/>
    </row>
    <row r="401" spans="2:7" x14ac:dyDescent="0.3">
      <c r="B401" s="25"/>
      <c r="D401" s="8"/>
      <c r="E401" s="8"/>
      <c r="F401" s="8"/>
      <c r="G401" s="8"/>
    </row>
    <row r="402" spans="2:7" x14ac:dyDescent="0.3">
      <c r="B402" s="25"/>
      <c r="D402" s="8"/>
      <c r="E402" s="8"/>
      <c r="F402" s="8"/>
      <c r="G402" s="8"/>
    </row>
    <row r="403" spans="2:7" x14ac:dyDescent="0.3">
      <c r="B403" s="25"/>
      <c r="D403" s="8"/>
      <c r="E403" s="8"/>
      <c r="F403" s="8"/>
      <c r="G403" s="8"/>
    </row>
    <row r="404" spans="2:7" x14ac:dyDescent="0.3">
      <c r="B404" s="25"/>
      <c r="D404" s="8"/>
      <c r="E404" s="8"/>
      <c r="F404" s="8"/>
      <c r="G404" s="8"/>
    </row>
    <row r="405" spans="2:7" x14ac:dyDescent="0.3">
      <c r="B405" s="25"/>
      <c r="D405" s="8"/>
      <c r="E405" s="8"/>
      <c r="F405" s="8"/>
      <c r="G405" s="8"/>
    </row>
    <row r="406" spans="2:7" x14ac:dyDescent="0.3">
      <c r="B406" s="25"/>
      <c r="D406" s="8"/>
      <c r="E406" s="8"/>
      <c r="F406" s="8"/>
      <c r="G406" s="8"/>
    </row>
    <row r="407" spans="2:7" x14ac:dyDescent="0.3">
      <c r="B407" s="25"/>
      <c r="D407" s="8"/>
      <c r="E407" s="8"/>
      <c r="F407" s="8"/>
      <c r="G407" s="8"/>
    </row>
    <row r="408" spans="2:7" x14ac:dyDescent="0.3">
      <c r="B408" s="25"/>
      <c r="D408" s="8"/>
      <c r="E408" s="8"/>
      <c r="F408" s="8"/>
      <c r="G408" s="8"/>
    </row>
    <row r="409" spans="2:7" x14ac:dyDescent="0.3">
      <c r="B409" s="25"/>
      <c r="D409" s="8"/>
      <c r="E409" s="8"/>
      <c r="F409" s="8"/>
      <c r="G409" s="8"/>
    </row>
    <row r="410" spans="2:7" x14ac:dyDescent="0.3">
      <c r="B410" s="25"/>
      <c r="D410" s="8"/>
      <c r="E410" s="8"/>
      <c r="F410" s="8"/>
      <c r="G410" s="8"/>
    </row>
    <row r="411" spans="2:7" x14ac:dyDescent="0.3">
      <c r="B411" s="25"/>
      <c r="D411" s="8"/>
      <c r="E411" s="8"/>
      <c r="F411" s="8"/>
      <c r="G411" s="8"/>
    </row>
    <row r="412" spans="2:7" x14ac:dyDescent="0.3">
      <c r="B412" s="25"/>
      <c r="D412" s="8"/>
      <c r="E412" s="8"/>
      <c r="F412" s="8"/>
      <c r="G412" s="8"/>
    </row>
    <row r="413" spans="2:7" x14ac:dyDescent="0.3">
      <c r="B413" s="25"/>
      <c r="D413" s="8"/>
      <c r="E413" s="8"/>
      <c r="F413" s="8"/>
      <c r="G413" s="8"/>
    </row>
    <row r="414" spans="2:7" x14ac:dyDescent="0.3">
      <c r="B414" s="25"/>
      <c r="D414" s="8"/>
      <c r="E414" s="8"/>
      <c r="F414" s="8"/>
      <c r="G414" s="8"/>
    </row>
    <row r="415" spans="2:7" x14ac:dyDescent="0.3">
      <c r="B415" s="25"/>
      <c r="D415" s="8"/>
      <c r="E415" s="8"/>
      <c r="F415" s="8"/>
      <c r="G415" s="8"/>
    </row>
    <row r="416" spans="2:7" x14ac:dyDescent="0.3">
      <c r="B416" s="25"/>
      <c r="D416" s="8"/>
      <c r="E416" s="8"/>
      <c r="F416" s="8"/>
      <c r="G416" s="8"/>
    </row>
    <row r="417" spans="2:7" x14ac:dyDescent="0.3">
      <c r="B417" s="25"/>
      <c r="D417" s="8"/>
      <c r="E417" s="8"/>
      <c r="F417" s="8"/>
      <c r="G417" s="8"/>
    </row>
    <row r="418" spans="2:7" x14ac:dyDescent="0.3">
      <c r="B418" s="25"/>
      <c r="D418" s="8"/>
      <c r="E418" s="8"/>
      <c r="F418" s="8"/>
      <c r="G418" s="8"/>
    </row>
    <row r="419" spans="2:7" x14ac:dyDescent="0.3">
      <c r="B419" s="25"/>
      <c r="D419" s="8"/>
      <c r="E419" s="8"/>
      <c r="F419" s="8"/>
      <c r="G419" s="8"/>
    </row>
    <row r="420" spans="2:7" x14ac:dyDescent="0.3">
      <c r="B420" s="25"/>
      <c r="D420" s="8"/>
      <c r="E420" s="8"/>
      <c r="F420" s="8"/>
      <c r="G420" s="8"/>
    </row>
    <row r="421" spans="2:7" x14ac:dyDescent="0.3">
      <c r="B421" s="25"/>
      <c r="D421" s="8"/>
      <c r="E421" s="8"/>
      <c r="F421" s="8"/>
      <c r="G421" s="8"/>
    </row>
    <row r="422" spans="2:7" x14ac:dyDescent="0.3">
      <c r="B422" s="25"/>
      <c r="D422" s="8"/>
      <c r="E422" s="8"/>
      <c r="F422" s="8"/>
      <c r="G422" s="8"/>
    </row>
    <row r="423" spans="2:7" x14ac:dyDescent="0.3">
      <c r="B423" s="25"/>
      <c r="D423" s="8"/>
      <c r="E423" s="8"/>
      <c r="F423" s="8"/>
      <c r="G423" s="8"/>
    </row>
    <row r="424" spans="2:7" x14ac:dyDescent="0.3">
      <c r="B424" s="25"/>
      <c r="D424" s="8"/>
      <c r="E424" s="8"/>
      <c r="F424" s="8"/>
      <c r="G424" s="8"/>
    </row>
    <row r="425" spans="2:7" x14ac:dyDescent="0.3">
      <c r="B425" s="25"/>
      <c r="D425" s="8"/>
      <c r="E425" s="8"/>
      <c r="F425" s="8"/>
      <c r="G425" s="8"/>
    </row>
    <row r="426" spans="2:7" x14ac:dyDescent="0.3">
      <c r="B426" s="25"/>
      <c r="D426" s="8"/>
      <c r="E426" s="8"/>
      <c r="F426" s="8"/>
      <c r="G426" s="8"/>
    </row>
    <row r="427" spans="2:7" x14ac:dyDescent="0.3">
      <c r="B427" s="25"/>
      <c r="D427" s="8"/>
      <c r="E427" s="8"/>
      <c r="F427" s="8"/>
      <c r="G427" s="8"/>
    </row>
    <row r="428" spans="2:7" x14ac:dyDescent="0.3">
      <c r="B428" s="25"/>
      <c r="D428" s="8"/>
      <c r="E428" s="8"/>
      <c r="F428" s="8"/>
      <c r="G428" s="8"/>
    </row>
    <row r="429" spans="2:7" x14ac:dyDescent="0.3">
      <c r="B429" s="25"/>
      <c r="D429" s="8"/>
      <c r="E429" s="8"/>
      <c r="F429" s="8"/>
      <c r="G429" s="8"/>
    </row>
    <row r="430" spans="2:7" x14ac:dyDescent="0.3">
      <c r="B430" s="25"/>
      <c r="D430" s="8"/>
      <c r="E430" s="8"/>
      <c r="F430" s="8"/>
      <c r="G430" s="8"/>
    </row>
    <row r="431" spans="2:7" x14ac:dyDescent="0.3">
      <c r="B431" s="25"/>
      <c r="D431" s="8"/>
      <c r="E431" s="8"/>
      <c r="F431" s="8"/>
      <c r="G431" s="8"/>
    </row>
    <row r="432" spans="2:7" x14ac:dyDescent="0.3">
      <c r="B432" s="25"/>
      <c r="D432" s="8"/>
      <c r="E432" s="8"/>
      <c r="F432" s="8"/>
      <c r="G432" s="8"/>
    </row>
    <row r="433" spans="2:7" x14ac:dyDescent="0.3">
      <c r="B433" s="25"/>
      <c r="D433" s="8"/>
      <c r="E433" s="8"/>
      <c r="F433" s="8"/>
      <c r="G433" s="8"/>
    </row>
    <row r="434" spans="2:7" x14ac:dyDescent="0.3">
      <c r="B434" s="25"/>
      <c r="D434" s="8"/>
      <c r="E434" s="8"/>
      <c r="F434" s="8"/>
      <c r="G434" s="8"/>
    </row>
    <row r="435" spans="2:7" x14ac:dyDescent="0.3">
      <c r="B435" s="25"/>
      <c r="D435" s="8"/>
      <c r="E435" s="8"/>
      <c r="F435" s="8"/>
      <c r="G435" s="8"/>
    </row>
    <row r="436" spans="2:7" x14ac:dyDescent="0.3">
      <c r="B436" s="25"/>
      <c r="D436" s="8"/>
      <c r="E436" s="8"/>
      <c r="F436" s="8"/>
      <c r="G436" s="8"/>
    </row>
    <row r="437" spans="2:7" x14ac:dyDescent="0.3">
      <c r="B437" s="25"/>
      <c r="D437" s="8"/>
      <c r="E437" s="8"/>
      <c r="F437" s="8"/>
      <c r="G437" s="8"/>
    </row>
    <row r="438" spans="2:7" x14ac:dyDescent="0.3">
      <c r="B438" s="25"/>
      <c r="D438" s="8"/>
      <c r="E438" s="8"/>
      <c r="F438" s="8"/>
      <c r="G438" s="8"/>
    </row>
    <row r="439" spans="2:7" x14ac:dyDescent="0.3">
      <c r="B439" s="25"/>
      <c r="D439" s="8"/>
      <c r="E439" s="8"/>
      <c r="F439" s="8"/>
      <c r="G439" s="8"/>
    </row>
    <row r="440" spans="2:7" x14ac:dyDescent="0.3">
      <c r="B440" s="25"/>
      <c r="D440" s="8"/>
      <c r="E440" s="8"/>
      <c r="F440" s="8"/>
      <c r="G440" s="8"/>
    </row>
    <row r="441" spans="2:7" x14ac:dyDescent="0.3">
      <c r="B441" s="25"/>
      <c r="D441" s="8"/>
      <c r="E441" s="8"/>
      <c r="F441" s="8"/>
      <c r="G441" s="8"/>
    </row>
    <row r="442" spans="2:7" x14ac:dyDescent="0.3">
      <c r="B442" s="25"/>
      <c r="D442" s="8"/>
      <c r="E442" s="8"/>
      <c r="F442" s="8"/>
      <c r="G442" s="8"/>
    </row>
    <row r="443" spans="2:7" x14ac:dyDescent="0.3">
      <c r="B443" s="25"/>
      <c r="D443" s="8"/>
      <c r="E443" s="8"/>
      <c r="F443" s="8"/>
      <c r="G443" s="8"/>
    </row>
    <row r="444" spans="2:7" x14ac:dyDescent="0.3">
      <c r="B444" s="25"/>
      <c r="D444" s="8"/>
      <c r="E444" s="8"/>
      <c r="F444" s="8"/>
      <c r="G444" s="8"/>
    </row>
    <row r="445" spans="2:7" x14ac:dyDescent="0.3">
      <c r="B445" s="25"/>
      <c r="D445" s="8"/>
      <c r="E445" s="8"/>
      <c r="F445" s="8"/>
      <c r="G445" s="8"/>
    </row>
    <row r="446" spans="2:7" x14ac:dyDescent="0.3">
      <c r="B446" s="25"/>
      <c r="D446" s="8"/>
      <c r="E446" s="8"/>
      <c r="F446" s="8"/>
      <c r="G446" s="8"/>
    </row>
    <row r="447" spans="2:7" x14ac:dyDescent="0.3">
      <c r="B447" s="25"/>
      <c r="D447" s="8"/>
      <c r="E447" s="8"/>
      <c r="F447" s="8"/>
      <c r="G447" s="8"/>
    </row>
    <row r="448" spans="2:7" x14ac:dyDescent="0.3">
      <c r="B448" s="25"/>
      <c r="D448" s="8"/>
      <c r="E448" s="8"/>
      <c r="F448" s="8"/>
      <c r="G448" s="8"/>
    </row>
    <row r="449" spans="2:7" x14ac:dyDescent="0.3">
      <c r="B449" s="25"/>
      <c r="D449" s="8"/>
      <c r="E449" s="8"/>
      <c r="F449" s="8"/>
      <c r="G449" s="8"/>
    </row>
    <row r="450" spans="2:7" x14ac:dyDescent="0.3">
      <c r="B450" s="25"/>
      <c r="D450" s="8"/>
      <c r="E450" s="8"/>
      <c r="F450" s="8"/>
      <c r="G450" s="8"/>
    </row>
    <row r="451" spans="2:7" x14ac:dyDescent="0.3">
      <c r="B451" s="25"/>
      <c r="D451" s="8"/>
      <c r="E451" s="8"/>
      <c r="F451" s="8"/>
      <c r="G451" s="8"/>
    </row>
    <row r="452" spans="2:7" x14ac:dyDescent="0.3">
      <c r="B452" s="25"/>
      <c r="D452" s="8"/>
      <c r="E452" s="8"/>
      <c r="F452" s="8"/>
      <c r="G452" s="8"/>
    </row>
    <row r="453" spans="2:7" x14ac:dyDescent="0.3">
      <c r="B453" s="25"/>
      <c r="D453" s="8"/>
      <c r="E453" s="8"/>
      <c r="F453" s="8"/>
      <c r="G453" s="8"/>
    </row>
    <row r="454" spans="2:7" x14ac:dyDescent="0.3">
      <c r="B454" s="25"/>
      <c r="D454" s="8"/>
      <c r="E454" s="8"/>
      <c r="F454" s="8"/>
      <c r="G454" s="8"/>
    </row>
    <row r="455" spans="2:7" x14ac:dyDescent="0.3">
      <c r="B455" s="25"/>
      <c r="D455" s="8"/>
      <c r="E455" s="8"/>
      <c r="F455" s="8"/>
      <c r="G455" s="8"/>
    </row>
    <row r="456" spans="2:7" x14ac:dyDescent="0.3">
      <c r="B456" s="25"/>
      <c r="D456" s="8"/>
      <c r="E456" s="8"/>
      <c r="F456" s="8"/>
      <c r="G456" s="8"/>
    </row>
    <row r="457" spans="2:7" x14ac:dyDescent="0.3">
      <c r="B457" s="25"/>
      <c r="D457" s="8"/>
      <c r="E457" s="8"/>
      <c r="F457" s="8"/>
      <c r="G457" s="8"/>
    </row>
    <row r="458" spans="2:7" x14ac:dyDescent="0.3">
      <c r="B458" s="25"/>
      <c r="D458" s="8"/>
      <c r="E458" s="8"/>
      <c r="F458" s="8"/>
      <c r="G458" s="8"/>
    </row>
    <row r="459" spans="2:7" x14ac:dyDescent="0.3">
      <c r="B459" s="25"/>
      <c r="D459" s="8"/>
      <c r="E459" s="8"/>
      <c r="F459" s="8"/>
      <c r="G459" s="8"/>
    </row>
    <row r="460" spans="2:7" x14ac:dyDescent="0.3">
      <c r="B460" s="25"/>
      <c r="D460" s="8"/>
      <c r="E460" s="8"/>
      <c r="F460" s="8"/>
      <c r="G460" s="8"/>
    </row>
    <row r="461" spans="2:7" x14ac:dyDescent="0.3">
      <c r="B461" s="25"/>
      <c r="D461" s="8"/>
      <c r="E461" s="8"/>
      <c r="F461" s="8"/>
      <c r="G461" s="8"/>
    </row>
    <row r="462" spans="2:7" x14ac:dyDescent="0.3">
      <c r="B462" s="25"/>
      <c r="D462" s="8"/>
      <c r="E462" s="8"/>
      <c r="F462" s="8"/>
      <c r="G462" s="8"/>
    </row>
    <row r="463" spans="2:7" x14ac:dyDescent="0.3">
      <c r="B463" s="25"/>
      <c r="D463" s="8"/>
      <c r="E463" s="8"/>
      <c r="F463" s="8"/>
      <c r="G463" s="8"/>
    </row>
    <row r="464" spans="2:7" x14ac:dyDescent="0.3">
      <c r="B464" s="25"/>
      <c r="D464" s="8"/>
      <c r="E464" s="8"/>
      <c r="F464" s="8"/>
      <c r="G464" s="8"/>
    </row>
    <row r="465" spans="2:7" x14ac:dyDescent="0.3">
      <c r="B465" s="25"/>
      <c r="D465" s="8"/>
      <c r="E465" s="8"/>
      <c r="F465" s="8"/>
      <c r="G465" s="8"/>
    </row>
    <row r="466" spans="2:7" x14ac:dyDescent="0.3">
      <c r="B466" s="25"/>
      <c r="D466" s="8"/>
      <c r="E466" s="8"/>
      <c r="F466" s="8"/>
      <c r="G466" s="8"/>
    </row>
    <row r="467" spans="2:7" x14ac:dyDescent="0.3">
      <c r="B467" s="25"/>
      <c r="D467" s="8"/>
      <c r="E467" s="8"/>
      <c r="F467" s="8"/>
      <c r="G467" s="8"/>
    </row>
    <row r="468" spans="2:7" x14ac:dyDescent="0.3">
      <c r="B468" s="25"/>
      <c r="D468" s="8"/>
      <c r="E468" s="8"/>
      <c r="F468" s="8"/>
      <c r="G468" s="8"/>
    </row>
    <row r="469" spans="2:7" x14ac:dyDescent="0.3">
      <c r="B469" s="25"/>
      <c r="D469" s="8"/>
      <c r="E469" s="8"/>
      <c r="F469" s="8"/>
      <c r="G469" s="8"/>
    </row>
    <row r="470" spans="2:7" x14ac:dyDescent="0.3">
      <c r="B470" s="25"/>
      <c r="D470" s="8"/>
      <c r="E470" s="8"/>
      <c r="F470" s="8"/>
      <c r="G470" s="8"/>
    </row>
    <row r="471" spans="2:7" x14ac:dyDescent="0.3">
      <c r="B471" s="25"/>
      <c r="D471" s="8"/>
      <c r="E471" s="8"/>
      <c r="F471" s="8"/>
      <c r="G471" s="8"/>
    </row>
    <row r="472" spans="2:7" x14ac:dyDescent="0.3">
      <c r="B472" s="25"/>
      <c r="D472" s="8"/>
      <c r="E472" s="8"/>
      <c r="F472" s="8"/>
      <c r="G472" s="8"/>
    </row>
    <row r="473" spans="2:7" x14ac:dyDescent="0.3">
      <c r="B473" s="25"/>
      <c r="D473" s="8"/>
      <c r="E473" s="8"/>
      <c r="F473" s="8"/>
      <c r="G473" s="8"/>
    </row>
    <row r="474" spans="2:7" x14ac:dyDescent="0.3">
      <c r="B474" s="25"/>
      <c r="D474" s="8"/>
      <c r="E474" s="8"/>
      <c r="F474" s="8"/>
      <c r="G474" s="8"/>
    </row>
    <row r="475" spans="2:7" x14ac:dyDescent="0.3">
      <c r="B475" s="25"/>
      <c r="D475" s="8"/>
      <c r="E475" s="8"/>
      <c r="F475" s="8"/>
      <c r="G475" s="8"/>
    </row>
    <row r="476" spans="2:7" x14ac:dyDescent="0.3">
      <c r="B476" s="25"/>
      <c r="D476" s="8"/>
      <c r="E476" s="8"/>
      <c r="F476" s="8"/>
      <c r="G476" s="8"/>
    </row>
    <row r="477" spans="2:7" x14ac:dyDescent="0.3">
      <c r="B477" s="25"/>
      <c r="D477" s="8"/>
      <c r="E477" s="8"/>
      <c r="F477" s="8"/>
      <c r="G477" s="8"/>
    </row>
    <row r="478" spans="2:7" x14ac:dyDescent="0.3">
      <c r="B478" s="25"/>
      <c r="D478" s="8"/>
      <c r="E478" s="8"/>
      <c r="F478" s="8"/>
      <c r="G478" s="8"/>
    </row>
    <row r="479" spans="2:7" x14ac:dyDescent="0.3">
      <c r="B479" s="25"/>
      <c r="D479" s="8"/>
      <c r="E479" s="8"/>
      <c r="F479" s="8"/>
      <c r="G479" s="8"/>
    </row>
    <row r="480" spans="2:7" x14ac:dyDescent="0.3">
      <c r="B480" s="25"/>
      <c r="D480" s="8"/>
      <c r="E480" s="8"/>
      <c r="F480" s="8"/>
      <c r="G480" s="8"/>
    </row>
    <row r="481" spans="2:7" x14ac:dyDescent="0.3">
      <c r="B481" s="25"/>
      <c r="D481" s="8"/>
      <c r="E481" s="8"/>
      <c r="F481" s="8"/>
      <c r="G481" s="8"/>
    </row>
    <row r="482" spans="2:7" x14ac:dyDescent="0.3">
      <c r="B482" s="25"/>
      <c r="D482" s="8"/>
      <c r="E482" s="8"/>
      <c r="F482" s="8"/>
      <c r="G482" s="8"/>
    </row>
    <row r="483" spans="2:7" x14ac:dyDescent="0.3">
      <c r="B483" s="25"/>
      <c r="D483" s="8"/>
      <c r="E483" s="8"/>
      <c r="F483" s="8"/>
      <c r="G483" s="8"/>
    </row>
    <row r="484" spans="2:7" x14ac:dyDescent="0.3">
      <c r="B484" s="25"/>
      <c r="D484" s="8"/>
      <c r="E484" s="8"/>
      <c r="F484" s="8"/>
      <c r="G484" s="8"/>
    </row>
    <row r="485" spans="2:7" x14ac:dyDescent="0.3">
      <c r="B485" s="25"/>
      <c r="D485" s="8"/>
      <c r="E485" s="8"/>
      <c r="F485" s="8"/>
      <c r="G485" s="8"/>
    </row>
    <row r="486" spans="2:7" x14ac:dyDescent="0.3">
      <c r="B486" s="25"/>
      <c r="D486" s="8"/>
      <c r="E486" s="8"/>
      <c r="F486" s="8"/>
      <c r="G486" s="8"/>
    </row>
    <row r="487" spans="2:7" x14ac:dyDescent="0.3">
      <c r="B487" s="25"/>
      <c r="D487" s="8"/>
      <c r="E487" s="8"/>
      <c r="F487" s="8"/>
      <c r="G487" s="8"/>
    </row>
    <row r="488" spans="2:7" x14ac:dyDescent="0.3">
      <c r="B488" s="25"/>
      <c r="D488" s="8"/>
      <c r="E488" s="8"/>
      <c r="F488" s="8"/>
      <c r="G488" s="8"/>
    </row>
    <row r="489" spans="2:7" x14ac:dyDescent="0.3">
      <c r="B489" s="25"/>
      <c r="D489" s="8"/>
      <c r="E489" s="8"/>
      <c r="F489" s="8"/>
      <c r="G489" s="8"/>
    </row>
    <row r="490" spans="2:7" x14ac:dyDescent="0.3">
      <c r="B490" s="25"/>
      <c r="D490" s="8"/>
      <c r="E490" s="8"/>
      <c r="F490" s="8"/>
      <c r="G490" s="8"/>
    </row>
    <row r="491" spans="2:7" x14ac:dyDescent="0.3">
      <c r="B491" s="25"/>
      <c r="D491" s="8"/>
      <c r="E491" s="8"/>
      <c r="F491" s="8"/>
      <c r="G491" s="8"/>
    </row>
    <row r="492" spans="2:7" x14ac:dyDescent="0.3">
      <c r="B492" s="25"/>
      <c r="D492" s="8"/>
      <c r="E492" s="8"/>
      <c r="F492" s="8"/>
      <c r="G492" s="8"/>
    </row>
    <row r="493" spans="2:7" x14ac:dyDescent="0.3">
      <c r="B493" s="25"/>
      <c r="D493" s="8"/>
      <c r="E493" s="8"/>
      <c r="F493" s="8"/>
      <c r="G493" s="8"/>
    </row>
    <row r="494" spans="2:7" x14ac:dyDescent="0.3">
      <c r="B494" s="25"/>
      <c r="D494" s="8"/>
      <c r="E494" s="8"/>
      <c r="F494" s="8"/>
      <c r="G494" s="8"/>
    </row>
    <row r="495" spans="2:7" x14ac:dyDescent="0.3">
      <c r="B495" s="25"/>
      <c r="D495" s="8"/>
      <c r="E495" s="8"/>
      <c r="F495" s="8"/>
      <c r="G495" s="8"/>
    </row>
    <row r="496" spans="2:7" x14ac:dyDescent="0.3">
      <c r="B496" s="25"/>
      <c r="D496" s="8"/>
      <c r="E496" s="8"/>
      <c r="F496" s="8"/>
      <c r="G496" s="8"/>
    </row>
    <row r="497" spans="2:7" x14ac:dyDescent="0.3">
      <c r="B497" s="25"/>
      <c r="D497" s="8"/>
      <c r="E497" s="8"/>
      <c r="F497" s="8"/>
      <c r="G497" s="8"/>
    </row>
    <row r="498" spans="2:7" x14ac:dyDescent="0.3">
      <c r="B498" s="25"/>
      <c r="D498" s="8"/>
      <c r="E498" s="8"/>
      <c r="F498" s="8"/>
      <c r="G498" s="8"/>
    </row>
    <row r="499" spans="2:7" x14ac:dyDescent="0.3">
      <c r="B499" s="25"/>
      <c r="D499" s="8"/>
      <c r="E499" s="8"/>
      <c r="F499" s="8"/>
      <c r="G499" s="8"/>
    </row>
    <row r="500" spans="2:7" x14ac:dyDescent="0.3">
      <c r="B500" s="25"/>
      <c r="D500" s="8"/>
      <c r="E500" s="8"/>
      <c r="F500" s="8"/>
      <c r="G500" s="8"/>
    </row>
    <row r="501" spans="2:7" x14ac:dyDescent="0.3">
      <c r="B501" s="25"/>
      <c r="D501" s="8"/>
      <c r="E501" s="8"/>
      <c r="F501" s="8"/>
      <c r="G501" s="8"/>
    </row>
    <row r="502" spans="2:7" x14ac:dyDescent="0.3">
      <c r="B502" s="25"/>
      <c r="D502" s="8"/>
      <c r="E502" s="8"/>
      <c r="F502" s="8"/>
      <c r="G502" s="8"/>
    </row>
    <row r="503" spans="2:7" x14ac:dyDescent="0.3">
      <c r="B503" s="25"/>
      <c r="D503" s="8"/>
      <c r="E503" s="8"/>
      <c r="F503" s="8"/>
      <c r="G503" s="8"/>
    </row>
    <row r="504" spans="2:7" x14ac:dyDescent="0.3">
      <c r="B504" s="25"/>
      <c r="D504" s="8"/>
      <c r="E504" s="8"/>
      <c r="F504" s="8"/>
      <c r="G504" s="8"/>
    </row>
    <row r="505" spans="2:7" x14ac:dyDescent="0.3">
      <c r="B505" s="25"/>
      <c r="D505" s="8"/>
      <c r="E505" s="8"/>
      <c r="F505" s="8"/>
      <c r="G505" s="8"/>
    </row>
    <row r="506" spans="2:7" x14ac:dyDescent="0.3">
      <c r="B506" s="25"/>
      <c r="D506" s="8"/>
      <c r="E506" s="8"/>
      <c r="F506" s="8"/>
      <c r="G506" s="8"/>
    </row>
    <row r="507" spans="2:7" x14ac:dyDescent="0.3">
      <c r="B507" s="25"/>
      <c r="D507" s="8"/>
      <c r="E507" s="8"/>
      <c r="F507" s="8"/>
      <c r="G507" s="8"/>
    </row>
    <row r="508" spans="2:7" x14ac:dyDescent="0.3">
      <c r="B508" s="25"/>
      <c r="D508" s="8"/>
      <c r="E508" s="8"/>
      <c r="F508" s="8"/>
      <c r="G508" s="8"/>
    </row>
    <row r="509" spans="2:7" x14ac:dyDescent="0.3">
      <c r="B509" s="25"/>
      <c r="D509" s="8"/>
      <c r="E509" s="8"/>
      <c r="F509" s="8"/>
      <c r="G509" s="8"/>
    </row>
    <row r="510" spans="2:7" x14ac:dyDescent="0.3">
      <c r="B510" s="25"/>
      <c r="D510" s="8"/>
      <c r="E510" s="8"/>
      <c r="F510" s="8"/>
      <c r="G510" s="8"/>
    </row>
    <row r="511" spans="2:7" x14ac:dyDescent="0.3">
      <c r="B511" s="25"/>
      <c r="D511" s="8"/>
      <c r="E511" s="8"/>
      <c r="F511" s="8"/>
      <c r="G511" s="8"/>
    </row>
    <row r="512" spans="2:7" x14ac:dyDescent="0.3">
      <c r="B512" s="25"/>
      <c r="D512" s="8"/>
      <c r="E512" s="8"/>
      <c r="F512" s="8"/>
      <c r="G512" s="8"/>
    </row>
    <row r="513" spans="2:7" x14ac:dyDescent="0.3">
      <c r="B513" s="25"/>
      <c r="D513" s="8"/>
      <c r="E513" s="8"/>
      <c r="F513" s="8"/>
      <c r="G513" s="8"/>
    </row>
    <row r="514" spans="2:7" x14ac:dyDescent="0.3">
      <c r="B514" s="25"/>
      <c r="D514" s="8"/>
      <c r="E514" s="8"/>
      <c r="F514" s="8"/>
      <c r="G514" s="8"/>
    </row>
    <row r="515" spans="2:7" x14ac:dyDescent="0.3">
      <c r="B515" s="25"/>
      <c r="D515" s="8"/>
      <c r="E515" s="8"/>
      <c r="F515" s="8"/>
      <c r="G515" s="8"/>
    </row>
    <row r="516" spans="2:7" x14ac:dyDescent="0.3">
      <c r="B516" s="25"/>
      <c r="D516" s="8"/>
      <c r="E516" s="8"/>
      <c r="F516" s="8"/>
      <c r="G516" s="8"/>
    </row>
    <row r="517" spans="2:7" x14ac:dyDescent="0.3">
      <c r="B517" s="25"/>
      <c r="D517" s="8"/>
      <c r="E517" s="8"/>
      <c r="F517" s="8"/>
      <c r="G517" s="8"/>
    </row>
    <row r="518" spans="2:7" x14ac:dyDescent="0.3">
      <c r="B518" s="25"/>
      <c r="D518" s="8"/>
      <c r="E518" s="8"/>
      <c r="F518" s="8"/>
      <c r="G518" s="8"/>
    </row>
    <row r="519" spans="2:7" x14ac:dyDescent="0.3">
      <c r="B519" s="25"/>
      <c r="D519" s="8"/>
      <c r="E519" s="8"/>
      <c r="F519" s="8"/>
      <c r="G519" s="8"/>
    </row>
    <row r="520" spans="2:7" x14ac:dyDescent="0.3">
      <c r="B520" s="25"/>
      <c r="D520" s="8"/>
      <c r="E520" s="8"/>
      <c r="F520" s="8"/>
      <c r="G520" s="8"/>
    </row>
    <row r="521" spans="2:7" x14ac:dyDescent="0.3">
      <c r="B521" s="25"/>
      <c r="D521" s="8"/>
      <c r="E521" s="8"/>
      <c r="F521" s="8"/>
      <c r="G521" s="8"/>
    </row>
    <row r="522" spans="2:7" x14ac:dyDescent="0.3">
      <c r="B522" s="25"/>
      <c r="D522" s="8"/>
      <c r="E522" s="8"/>
      <c r="F522" s="8"/>
      <c r="G522" s="8"/>
    </row>
    <row r="523" spans="2:7" x14ac:dyDescent="0.3">
      <c r="B523" s="25"/>
      <c r="D523" s="8"/>
      <c r="E523" s="8"/>
      <c r="F523" s="8"/>
      <c r="G523" s="8"/>
    </row>
    <row r="524" spans="2:7" x14ac:dyDescent="0.3">
      <c r="B524" s="25"/>
      <c r="D524" s="8"/>
      <c r="E524" s="8"/>
      <c r="F524" s="8"/>
      <c r="G524" s="8"/>
    </row>
    <row r="525" spans="2:7" x14ac:dyDescent="0.3">
      <c r="B525" s="25"/>
      <c r="D525" s="8"/>
      <c r="E525" s="8"/>
      <c r="F525" s="8"/>
      <c r="G525" s="8"/>
    </row>
    <row r="526" spans="2:7" x14ac:dyDescent="0.3">
      <c r="B526" s="25"/>
      <c r="D526" s="8"/>
      <c r="E526" s="8"/>
      <c r="F526" s="8"/>
      <c r="G526" s="8"/>
    </row>
    <row r="527" spans="2:7" x14ac:dyDescent="0.3">
      <c r="B527" s="25"/>
      <c r="D527" s="8"/>
      <c r="E527" s="8"/>
      <c r="F527" s="8"/>
      <c r="G527" s="8"/>
    </row>
    <row r="528" spans="2:7" x14ac:dyDescent="0.3">
      <c r="B528" s="25"/>
      <c r="D528" s="8"/>
      <c r="E528" s="8"/>
      <c r="F528" s="8"/>
      <c r="G528" s="8"/>
    </row>
    <row r="529" spans="2:7" x14ac:dyDescent="0.3">
      <c r="B529" s="25"/>
      <c r="D529" s="8"/>
      <c r="E529" s="8"/>
      <c r="F529" s="8"/>
      <c r="G529" s="8"/>
    </row>
    <row r="530" spans="2:7" x14ac:dyDescent="0.3">
      <c r="B530" s="25"/>
      <c r="D530" s="8"/>
      <c r="E530" s="8"/>
      <c r="F530" s="8"/>
      <c r="G530" s="8"/>
    </row>
    <row r="531" spans="2:7" x14ac:dyDescent="0.3">
      <c r="B531" s="25"/>
      <c r="D531" s="8"/>
      <c r="E531" s="8"/>
      <c r="F531" s="8"/>
      <c r="G531" s="8"/>
    </row>
    <row r="532" spans="2:7" x14ac:dyDescent="0.3">
      <c r="B532" s="25"/>
      <c r="D532" s="8"/>
      <c r="E532" s="8"/>
      <c r="F532" s="8"/>
      <c r="G532" s="8"/>
    </row>
    <row r="533" spans="2:7" x14ac:dyDescent="0.3">
      <c r="B533" s="25"/>
      <c r="D533" s="8"/>
      <c r="E533" s="8"/>
      <c r="F533" s="8"/>
      <c r="G533" s="8"/>
    </row>
    <row r="534" spans="2:7" x14ac:dyDescent="0.3">
      <c r="B534" s="25"/>
      <c r="D534" s="8"/>
      <c r="E534" s="8"/>
      <c r="F534" s="8"/>
      <c r="G534" s="8"/>
    </row>
    <row r="535" spans="2:7" x14ac:dyDescent="0.3">
      <c r="B535" s="25"/>
      <c r="D535" s="8"/>
      <c r="E535" s="8"/>
      <c r="F535" s="8"/>
      <c r="G535" s="8"/>
    </row>
    <row r="536" spans="2:7" x14ac:dyDescent="0.3">
      <c r="B536" s="25"/>
      <c r="D536" s="8"/>
      <c r="E536" s="8"/>
      <c r="F536" s="8"/>
      <c r="G536" s="8"/>
    </row>
    <row r="537" spans="2:7" x14ac:dyDescent="0.3">
      <c r="B537" s="25"/>
      <c r="D537" s="8"/>
      <c r="E537" s="8"/>
      <c r="F537" s="8"/>
      <c r="G537" s="8"/>
    </row>
    <row r="538" spans="2:7" x14ac:dyDescent="0.3">
      <c r="B538" s="25"/>
      <c r="D538" s="8"/>
      <c r="E538" s="8"/>
      <c r="F538" s="8"/>
      <c r="G538" s="8"/>
    </row>
  </sheetData>
  <phoneticPr fontId="1" type="noConversion"/>
  <dataValidations count="1">
    <dataValidation type="list" allowBlank="1" showInputMessage="1" showErrorMessage="1" sqref="B42" xr:uid="{AC83EC81-C673-4192-A0D7-52C9E0100EC9}">
      <formula1>Tray_space</formula1>
    </dataValidation>
  </dataValidations>
  <pageMargins left="0.7" right="0.7" top="0.75" bottom="0.75" header="0.3" footer="0.3"/>
  <pageSetup paperSize="9" orientation="portrait" r:id="rId1"/>
  <ignoredErrors>
    <ignoredError sqref="B18" formula="1"/>
  </ignoredErrors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D131-2B38-45DA-A404-21107DEFF5F4}">
  <dimension ref="A2:Q28"/>
  <sheetViews>
    <sheetView topLeftCell="A23" zoomScale="82" workbookViewId="0">
      <selection activeCell="M27" sqref="M27"/>
    </sheetView>
  </sheetViews>
  <sheetFormatPr defaultRowHeight="14.4" x14ac:dyDescent="0.3"/>
  <cols>
    <col min="1" max="1" width="6.5546875" customWidth="1"/>
    <col min="2" max="2" width="9.5546875" customWidth="1"/>
    <col min="3" max="3" width="8.33203125" customWidth="1"/>
    <col min="4" max="4" width="6.44140625" customWidth="1"/>
    <col min="5" max="5" width="9.44140625" customWidth="1"/>
    <col min="6" max="6" width="8.44140625" customWidth="1"/>
    <col min="7" max="7" width="6.77734375" customWidth="1"/>
    <col min="8" max="8" width="8.5546875" customWidth="1"/>
    <col min="9" max="9" width="6.88671875" customWidth="1"/>
    <col min="10" max="10" width="7.77734375" customWidth="1"/>
    <col min="11" max="11" width="8" customWidth="1"/>
    <col min="12" max="12" width="8.109375" customWidth="1"/>
    <col min="13" max="13" width="10.109375" customWidth="1"/>
    <col min="14" max="14" width="10.44140625" customWidth="1"/>
    <col min="15" max="15" width="8" customWidth="1"/>
  </cols>
  <sheetData>
    <row r="2" spans="1:17" ht="25.8" x14ac:dyDescent="0.5">
      <c r="A2" s="26" t="s">
        <v>219</v>
      </c>
      <c r="B2" s="26"/>
      <c r="C2" s="26"/>
      <c r="D2" s="26"/>
    </row>
    <row r="4" spans="1:17" ht="72" x14ac:dyDescent="0.3">
      <c r="A4" s="24" t="s">
        <v>66</v>
      </c>
      <c r="B4" s="24" t="s">
        <v>355</v>
      </c>
      <c r="C4" s="24" t="s">
        <v>356</v>
      </c>
      <c r="D4" s="24" t="s">
        <v>357</v>
      </c>
      <c r="E4" s="24" t="s">
        <v>358</v>
      </c>
      <c r="F4" s="24" t="s">
        <v>359</v>
      </c>
      <c r="G4" s="22" t="s">
        <v>360</v>
      </c>
      <c r="H4" s="22" t="s">
        <v>137</v>
      </c>
      <c r="I4" s="23" t="s">
        <v>162</v>
      </c>
      <c r="J4" s="23" t="s">
        <v>201</v>
      </c>
      <c r="K4" s="23" t="s">
        <v>217</v>
      </c>
      <c r="L4" s="23" t="s">
        <v>218</v>
      </c>
      <c r="M4" s="23" t="s">
        <v>200</v>
      </c>
      <c r="N4" s="23" t="s">
        <v>203</v>
      </c>
      <c r="O4" s="23" t="s">
        <v>206</v>
      </c>
      <c r="P4" s="23" t="s">
        <v>205</v>
      </c>
      <c r="Q4" s="23" t="s">
        <v>204</v>
      </c>
    </row>
    <row r="5" spans="1:17" x14ac:dyDescent="0.3">
      <c r="A5" s="25">
        <v>1.05</v>
      </c>
      <c r="B5">
        <f>INDEX(Cost_table4[],MATCH($A5,Cost_table4[R/R_m],0),MATCH(B$4,Cost_table4[#Headers],0))</f>
        <v>9</v>
      </c>
      <c r="C5">
        <f>INDEX(Cost_table4[],MATCH($A5,Cost_table4[R/R_m],0),MATCH(C$4,Cost_table4[#Headers],0))</f>
        <v>10</v>
      </c>
      <c r="D5">
        <f>INDEX(Cost_table4[],MATCH($A5,Cost_table4[R/R_m],0),MATCH(D$4,Cost_table4[#Headers],0))</f>
        <v>20</v>
      </c>
      <c r="E5">
        <f>INDEX(Cost_table4[],MATCH($A5,Cost_table4[R/R_m],0),MATCH(E$4,Cost_table4[#Headers],0))</f>
        <v>13</v>
      </c>
      <c r="F5">
        <f>INDEX(Cost_table4[],MATCH($A5,Cost_table4[R/R_m],0),MATCH(F$4,Cost_table4[#Headers],0))</f>
        <v>14</v>
      </c>
      <c r="G5">
        <f>INDEX(Cost_table4[],MATCH($A5,Cost_table4[R/R_m],0),MATCH(G$4,Cost_table4[#Headers],0))</f>
        <v>28</v>
      </c>
      <c r="H5">
        <f>INDEX(Cost_table[],MATCH($A5,Cost_table[R/R_m],0),MATCH(H$4,Cost_table[#Headers],0))</f>
        <v>1.52</v>
      </c>
      <c r="I5">
        <f>INDEX(Cost_table[],MATCH($A5,Cost_table[R/R_m],0),MATCH(I$4,Cost_table[#Headers],0))</f>
        <v>20.9</v>
      </c>
      <c r="J5">
        <f>INDEX(Cost_table[],MATCH($A5,Cost_table[R/R_m],0),MATCH(J$4,Cost_table[#Headers],0))</f>
        <v>1722142.0527103965</v>
      </c>
      <c r="K5">
        <f>INDEX(Cost_table[],MATCH($A5,Cost_table[R/R_m],0),MATCH(K$4,Cost_table[#Headers],0))</f>
        <v>477513.10049262684</v>
      </c>
      <c r="L5">
        <f>INDEX(Cost_table[],MATCH($A5,Cost_table[R/R_m],0),MATCH(L$4,Cost_table[#Headers],0))</f>
        <v>471446.43379756267</v>
      </c>
      <c r="M5">
        <f>INDEX(Cost_table[],MATCH($A5,Cost_table[R/R_m],0),MATCH(M$4,Cost_table[#Headers],0))</f>
        <v>226765.95108123263</v>
      </c>
      <c r="N5">
        <f>INDEX(Cost_table[],MATCH($A5,Cost_table[R/R_m],0),MATCH(N$4,Cost_table[#Headers],0))</f>
        <v>391689.23419975024</v>
      </c>
      <c r="O5">
        <f>INDEX(Cost_table[],MATCH($A5,Cost_table[R/R_m],0),MATCH(O$4,Cost_table[#Headers],0))</f>
        <v>1.3107</v>
      </c>
      <c r="P5">
        <f>INDEX(Cost_table[],MATCH($A5,Cost_table[R/R_m],0),MATCH(P$4,Cost_table[#Headers],0))</f>
        <v>1.0642</v>
      </c>
      <c r="Q5">
        <f>INDEX(Cost_table[],MATCH($A5,Cost_table[R/R_m],0),MATCH(Q$4,Cost_table[#Headers],0))</f>
        <v>2.3749000000000002</v>
      </c>
    </row>
    <row r="6" spans="1:17" x14ac:dyDescent="0.3">
      <c r="A6" s="25">
        <v>1.1000000000000001</v>
      </c>
      <c r="B6">
        <f>INDEX(Cost_table4[],MATCH($A6,Cost_table4[R/R_m],0),MATCH(B$4,Cost_table4[#Headers],0))</f>
        <v>8</v>
      </c>
      <c r="C6">
        <f>INDEX(Cost_table4[],MATCH($A6,Cost_table4[R/R_m],0),MATCH(C$4,Cost_table4[#Headers],0))</f>
        <v>8</v>
      </c>
      <c r="D6">
        <f>INDEX(Cost_table4[],MATCH($A6,Cost_table4[R/R_m],0),MATCH(D$4,Cost_table4[#Headers],0))</f>
        <v>17</v>
      </c>
      <c r="E6">
        <f>INDEX(Cost_table4[],MATCH($A6,Cost_table4[R/R_m],0),MATCH(E$4,Cost_table4[#Headers],0))</f>
        <v>12</v>
      </c>
      <c r="F6">
        <f>INDEX(Cost_table4[],MATCH($A6,Cost_table4[R/R_m],0),MATCH(F$4,Cost_table4[#Headers],0))</f>
        <v>11</v>
      </c>
      <c r="G6">
        <f>INDEX(Cost_table4[],MATCH($A6,Cost_table4[R/R_m],0),MATCH(G$4,Cost_table4[#Headers],0))</f>
        <v>24</v>
      </c>
      <c r="H6">
        <f>INDEX(Cost_table[],MATCH($A6,Cost_table[R/R_m],0),MATCH(H$4,Cost_table[#Headers],0))</f>
        <v>1.54</v>
      </c>
      <c r="I6">
        <f>INDEX(Cost_table[],MATCH($A6,Cost_table[R/R_m],0),MATCH(I$4,Cost_table[#Headers],0))</f>
        <v>17.899999999999999</v>
      </c>
      <c r="J6">
        <f>INDEX(Cost_table[],MATCH($A6,Cost_table[R/R_m],0),MATCH(J$4,Cost_table[#Headers],0))</f>
        <v>1512091.6046358214</v>
      </c>
      <c r="K6">
        <f>INDEX(Cost_table[],MATCH($A6,Cost_table[R/R_m],0),MATCH(K$4,Cost_table[#Headers],0))</f>
        <v>494668.48867944529</v>
      </c>
      <c r="L6">
        <f>INDEX(Cost_table[],MATCH($A6,Cost_table[R/R_m],0),MATCH(L$4,Cost_table[#Headers],0))</f>
        <v>488601.82198438112</v>
      </c>
      <c r="M6">
        <f>INDEX(Cost_table[],MATCH($A6,Cost_table[R/R_m],0),MATCH(M$4,Cost_table[#Headers],0))</f>
        <v>236327.70312697178</v>
      </c>
      <c r="N6">
        <f>INDEX(Cost_table[],MATCH($A6,Cost_table[R/R_m],0),MATCH(N$4,Cost_table[#Headers],0))</f>
        <v>406066.46749227628</v>
      </c>
      <c r="O6">
        <f>INDEX(Cost_table[],MATCH($A6,Cost_table[R/R_m],0),MATCH(O$4,Cost_table[#Headers],0))</f>
        <v>1.2064999999999999</v>
      </c>
      <c r="P6">
        <f>INDEX(Cost_table[],MATCH($A6,Cost_table[R/R_m],0),MATCH(P$4,Cost_table[#Headers],0))</f>
        <v>1.1029</v>
      </c>
      <c r="Q6">
        <f>INDEX(Cost_table[],MATCH($A6,Cost_table[R/R_m],0),MATCH(Q$4,Cost_table[#Headers],0))</f>
        <v>2.3094000000000001</v>
      </c>
    </row>
    <row r="7" spans="1:17" x14ac:dyDescent="0.3">
      <c r="A7" s="25">
        <v>1.1499999999999999</v>
      </c>
      <c r="B7">
        <f>INDEX(Cost_table4[],MATCH($A7,Cost_table4[R/R_m],0),MATCH(B$4,Cost_table4[#Headers],0))</f>
        <v>8</v>
      </c>
      <c r="C7">
        <f>INDEX(Cost_table4[],MATCH($A7,Cost_table4[R/R_m],0),MATCH(C$4,Cost_table4[#Headers],0))</f>
        <v>7</v>
      </c>
      <c r="D7">
        <f>INDEX(Cost_table4[],MATCH($A7,Cost_table4[R/R_m],0),MATCH(D$4,Cost_table4[#Headers],0))</f>
        <v>16</v>
      </c>
      <c r="E7">
        <f>INDEX(Cost_table4[],MATCH($A7,Cost_table4[R/R_m],0),MATCH(E$4,Cost_table4[#Headers],0))</f>
        <v>11</v>
      </c>
      <c r="F7">
        <f>INDEX(Cost_table4[],MATCH($A7,Cost_table4[R/R_m],0),MATCH(F$4,Cost_table4[#Headers],0))</f>
        <v>10</v>
      </c>
      <c r="G7">
        <f>INDEX(Cost_table4[],MATCH($A7,Cost_table4[R/R_m],0),MATCH(G$4,Cost_table4[#Headers],0))</f>
        <v>22</v>
      </c>
      <c r="H7">
        <f>INDEX(Cost_table[],MATCH($A7,Cost_table[R/R_m],0),MATCH(H$4,Cost_table[#Headers],0))</f>
        <v>1.57</v>
      </c>
      <c r="I7">
        <f>INDEX(Cost_table[],MATCH($A7,Cost_table[R/R_m],0),MATCH(I$4,Cost_table[#Headers],0))</f>
        <v>16.7</v>
      </c>
      <c r="J7">
        <f>INDEX(Cost_table[],MATCH($A7,Cost_table[R/R_m],0),MATCH(J$4,Cost_table[#Headers],0))</f>
        <v>1439747.3769005882</v>
      </c>
      <c r="K7">
        <f>INDEX(Cost_table[],MATCH($A7,Cost_table[R/R_m],0),MATCH(K$4,Cost_table[#Headers],0))</f>
        <v>511823.87686626351</v>
      </c>
      <c r="L7">
        <f>INDEX(Cost_table[],MATCH($A7,Cost_table[R/R_m],0),MATCH(L$4,Cost_table[#Headers],0))</f>
        <v>505757.21017119935</v>
      </c>
      <c r="M7">
        <f>INDEX(Cost_table[],MATCH($A7,Cost_table[R/R_m],0),MATCH(M$4,Cost_table[#Headers],0))</f>
        <v>245889.45517271082</v>
      </c>
      <c r="N7">
        <f>INDEX(Cost_table[],MATCH($A7,Cost_table[R/R_m],0),MATCH(N$4,Cost_table[#Headers],0))</f>
        <v>420443.70078480215</v>
      </c>
      <c r="O7">
        <f>INDEX(Cost_table[],MATCH($A7,Cost_table[R/R_m],0),MATCH(O$4,Cost_table[#Headers],0))</f>
        <v>1.1794</v>
      </c>
      <c r="P7">
        <f>INDEX(Cost_table[],MATCH($A7,Cost_table[R/R_m],0),MATCH(P$4,Cost_table[#Headers],0))</f>
        <v>1.1415999999999999</v>
      </c>
      <c r="Q7">
        <f>INDEX(Cost_table[],MATCH($A7,Cost_table[R/R_m],0),MATCH(Q$4,Cost_table[#Headers],0))</f>
        <v>2.3209999999999997</v>
      </c>
    </row>
    <row r="8" spans="1:17" x14ac:dyDescent="0.3">
      <c r="A8" s="25">
        <v>1.2</v>
      </c>
      <c r="B8">
        <f>INDEX(Cost_table4[],MATCH($A8,Cost_table4[R/R_m],0),MATCH(B$4,Cost_table4[#Headers],0))</f>
        <v>7</v>
      </c>
      <c r="C8">
        <f>INDEX(Cost_table4[],MATCH($A8,Cost_table4[R/R_m],0),MATCH(C$4,Cost_table4[#Headers],0))</f>
        <v>7</v>
      </c>
      <c r="D8">
        <f>INDEX(Cost_table4[],MATCH($A8,Cost_table4[R/R_m],0),MATCH(D$4,Cost_table4[#Headers],0))</f>
        <v>15</v>
      </c>
      <c r="E8">
        <f>INDEX(Cost_table4[],MATCH($A8,Cost_table4[R/R_m],0),MATCH(E$4,Cost_table4[#Headers],0))</f>
        <v>10</v>
      </c>
      <c r="F8">
        <f>INDEX(Cost_table4[],MATCH($A8,Cost_table4[R/R_m],0),MATCH(F$4,Cost_table4[#Headers],0))</f>
        <v>9</v>
      </c>
      <c r="G8">
        <f>INDEX(Cost_table4[],MATCH($A8,Cost_table4[R/R_m],0),MATCH(G$4,Cost_table4[#Headers],0))</f>
        <v>20</v>
      </c>
      <c r="H8">
        <f>INDEX(Cost_table[],MATCH($A8,Cost_table[R/R_m],0),MATCH(H$4,Cost_table[#Headers],0))</f>
        <v>1.59</v>
      </c>
      <c r="I8">
        <f>INDEX(Cost_table[],MATCH($A8,Cost_table[R/R_m],0),MATCH(I$4,Cost_table[#Headers],0))</f>
        <v>15.5</v>
      </c>
      <c r="J8">
        <f>INDEX(Cost_table[],MATCH($A8,Cost_table[R/R_m],0),MATCH(J$4,Cost_table[#Headers],0))</f>
        <v>1343399.032800545</v>
      </c>
      <c r="K8">
        <f>INDEX(Cost_table[],MATCH($A8,Cost_table[R/R_m],0),MATCH(K$4,Cost_table[#Headers],0))</f>
        <v>528979.26505308191</v>
      </c>
      <c r="L8">
        <f>INDEX(Cost_table[],MATCH($A8,Cost_table[R/R_m],0),MATCH(L$4,Cost_table[#Headers],0))</f>
        <v>522912.59835801774</v>
      </c>
      <c r="M8">
        <f>INDEX(Cost_table[],MATCH($A8,Cost_table[R/R_m],0),MATCH(M$4,Cost_table[#Headers],0))</f>
        <v>255451.20721844997</v>
      </c>
      <c r="N8">
        <f>INDEX(Cost_table[],MATCH($A8,Cost_table[R/R_m],0),MATCH(N$4,Cost_table[#Headers],0))</f>
        <v>434820.93407732807</v>
      </c>
      <c r="O8">
        <f>INDEX(Cost_table[],MATCH($A8,Cost_table[R/R_m],0),MATCH(O$4,Cost_table[#Headers],0))</f>
        <v>1.1389</v>
      </c>
      <c r="P8">
        <f>INDEX(Cost_table[],MATCH($A8,Cost_table[R/R_m],0),MATCH(P$4,Cost_table[#Headers],0))</f>
        <v>1.1802999999999999</v>
      </c>
      <c r="Q8">
        <f>INDEX(Cost_table[],MATCH($A8,Cost_table[R/R_m],0),MATCH(Q$4,Cost_table[#Headers],0))</f>
        <v>2.3191999999999999</v>
      </c>
    </row>
    <row r="9" spans="1:17" x14ac:dyDescent="0.3">
      <c r="A9" s="25">
        <v>1.25</v>
      </c>
      <c r="B9">
        <f>INDEX(Cost_table4[],MATCH($A9,Cost_table4[R/R_m],0),MATCH(B$4,Cost_table4[#Headers],0))</f>
        <v>7</v>
      </c>
      <c r="C9">
        <f>INDEX(Cost_table4[],MATCH($A9,Cost_table4[R/R_m],0),MATCH(C$4,Cost_table4[#Headers],0))</f>
        <v>6</v>
      </c>
      <c r="D9">
        <f>INDEX(Cost_table4[],MATCH($A9,Cost_table4[R/R_m],0),MATCH(D$4,Cost_table4[#Headers],0))</f>
        <v>14</v>
      </c>
      <c r="E9">
        <f>INDEX(Cost_table4[],MATCH($A9,Cost_table4[R/R_m],0),MATCH(E$4,Cost_table4[#Headers],0))</f>
        <v>10</v>
      </c>
      <c r="F9">
        <f>INDEX(Cost_table4[],MATCH($A9,Cost_table4[R/R_m],0),MATCH(F$4,Cost_table4[#Headers],0))</f>
        <v>8</v>
      </c>
      <c r="G9">
        <f>INDEX(Cost_table4[],MATCH($A9,Cost_table4[R/R_m],0),MATCH(G$4,Cost_table4[#Headers],0))</f>
        <v>19</v>
      </c>
      <c r="H9">
        <f>INDEX(Cost_table[],MATCH($A9,Cost_table[R/R_m],0),MATCH(H$4,Cost_table[#Headers],0))</f>
        <v>1.62</v>
      </c>
      <c r="I9">
        <f>INDEX(Cost_table[],MATCH($A9,Cost_table[R/R_m],0),MATCH(I$4,Cost_table[#Headers],0))</f>
        <v>14.9</v>
      </c>
      <c r="J9">
        <f>INDEX(Cost_table[],MATCH($A9,Cost_table[R/R_m],0),MATCH(J$4,Cost_table[#Headers],0))</f>
        <v>1321752.7954681299</v>
      </c>
      <c r="K9">
        <f>INDEX(Cost_table[],MATCH($A9,Cost_table[R/R_m],0),MATCH(K$4,Cost_table[#Headers],0))</f>
        <v>546134.65323990013</v>
      </c>
      <c r="L9">
        <f>INDEX(Cost_table[],MATCH($A9,Cost_table[R/R_m],0),MATCH(L$4,Cost_table[#Headers],0))</f>
        <v>540067.98654483596</v>
      </c>
      <c r="M9">
        <f>INDEX(Cost_table[],MATCH($A9,Cost_table[R/R_m],0),MATCH(M$4,Cost_table[#Headers],0))</f>
        <v>265012.959264189</v>
      </c>
      <c r="N9">
        <f>INDEX(Cost_table[],MATCH($A9,Cost_table[R/R_m],0),MATCH(N$4,Cost_table[#Headers],0))</f>
        <v>449198.16736985394</v>
      </c>
      <c r="O9">
        <f>INDEX(Cost_table[],MATCH($A9,Cost_table[R/R_m],0),MATCH(O$4,Cost_table[#Headers],0))</f>
        <v>1.1400999999999999</v>
      </c>
      <c r="P9">
        <f>INDEX(Cost_table[],MATCH($A9,Cost_table[R/R_m],0),MATCH(P$4,Cost_table[#Headers],0))</f>
        <v>1.2190000000000001</v>
      </c>
      <c r="Q9">
        <f>INDEX(Cost_table[],MATCH($A9,Cost_table[R/R_m],0),MATCH(Q$4,Cost_table[#Headers],0))</f>
        <v>2.3590999999999998</v>
      </c>
    </row>
    <row r="10" spans="1:17" x14ac:dyDescent="0.3">
      <c r="A10" s="25">
        <v>1.3</v>
      </c>
      <c r="B10">
        <f>INDEX(Cost_table4[],MATCH($A10,Cost_table4[R/R_m],0),MATCH(B$4,Cost_table4[#Headers],0))</f>
        <v>7</v>
      </c>
      <c r="C10">
        <f>INDEX(Cost_table4[],MATCH($A10,Cost_table4[R/R_m],0),MATCH(C$4,Cost_table4[#Headers],0))</f>
        <v>6</v>
      </c>
      <c r="D10">
        <f>INDEX(Cost_table4[],MATCH($A10,Cost_table4[R/R_m],0),MATCH(D$4,Cost_table4[#Headers],0))</f>
        <v>14</v>
      </c>
      <c r="E10">
        <f>INDEX(Cost_table4[],MATCH($A10,Cost_table4[R/R_m],0),MATCH(E$4,Cost_table4[#Headers],0))</f>
        <v>10</v>
      </c>
      <c r="F10">
        <f>INDEX(Cost_table4[],MATCH($A10,Cost_table4[R/R_m],0),MATCH(F$4,Cost_table4[#Headers],0))</f>
        <v>8</v>
      </c>
      <c r="G10">
        <f>INDEX(Cost_table4[],MATCH($A10,Cost_table4[R/R_m],0),MATCH(G$4,Cost_table4[#Headers],0))</f>
        <v>19</v>
      </c>
      <c r="H10">
        <f>INDEX(Cost_table[],MATCH($A10,Cost_table[R/R_m],0),MATCH(H$4,Cost_table[#Headers],0))</f>
        <v>1.6400000000000001</v>
      </c>
      <c r="I10">
        <f>INDEX(Cost_table[],MATCH($A10,Cost_table[R/R_m],0),MATCH(I$4,Cost_table[#Headers],0))</f>
        <v>14.9</v>
      </c>
      <c r="J10">
        <f>INDEX(Cost_table[],MATCH($A10,Cost_table[R/R_m],0),MATCH(J$4,Cost_table[#Headers],0))</f>
        <v>1350502.8299800821</v>
      </c>
      <c r="K10">
        <f>INDEX(Cost_table[],MATCH($A10,Cost_table[R/R_m],0),MATCH(K$4,Cost_table[#Headers],0))</f>
        <v>563290.04142671858</v>
      </c>
      <c r="L10">
        <f>INDEX(Cost_table[],MATCH($A10,Cost_table[R/R_m],0),MATCH(L$4,Cost_table[#Headers],0))</f>
        <v>557223.37473165442</v>
      </c>
      <c r="M10">
        <f>INDEX(Cost_table[],MATCH($A10,Cost_table[R/R_m],0),MATCH(M$4,Cost_table[#Headers],0))</f>
        <v>274574.71130992816</v>
      </c>
      <c r="N10">
        <f>INDEX(Cost_table[],MATCH($A10,Cost_table[R/R_m],0),MATCH(N$4,Cost_table[#Headers],0))</f>
        <v>463575.40066237998</v>
      </c>
      <c r="O10">
        <f>INDEX(Cost_table[],MATCH($A10,Cost_table[R/R_m],0),MATCH(O$4,Cost_table[#Headers],0))</f>
        <v>1.1696</v>
      </c>
      <c r="P10">
        <f>INDEX(Cost_table[],MATCH($A10,Cost_table[R/R_m],0),MATCH(P$4,Cost_table[#Headers],0))</f>
        <v>1.2577</v>
      </c>
      <c r="Q10">
        <f>INDEX(Cost_table[],MATCH($A10,Cost_table[R/R_m],0),MATCH(Q$4,Cost_table[#Headers],0))</f>
        <v>2.4272999999999998</v>
      </c>
    </row>
    <row r="11" spans="1:17" x14ac:dyDescent="0.3">
      <c r="A11" s="25">
        <v>1.35</v>
      </c>
      <c r="B11">
        <f>INDEX(Cost_table4[],MATCH($A11,Cost_table4[R/R_m],0),MATCH(B$4,Cost_table4[#Headers],0))</f>
        <v>7</v>
      </c>
      <c r="C11">
        <f>INDEX(Cost_table4[],MATCH($A11,Cost_table4[R/R_m],0),MATCH(C$4,Cost_table4[#Headers],0))</f>
        <v>6</v>
      </c>
      <c r="D11">
        <f>INDEX(Cost_table4[],MATCH($A11,Cost_table4[R/R_m],0),MATCH(D$4,Cost_table4[#Headers],0))</f>
        <v>13</v>
      </c>
      <c r="E11">
        <f>INDEX(Cost_table4[],MATCH($A11,Cost_table4[R/R_m],0),MATCH(E$4,Cost_table4[#Headers],0))</f>
        <v>10</v>
      </c>
      <c r="F11">
        <f>INDEX(Cost_table4[],MATCH($A11,Cost_table4[R/R_m],0),MATCH(F$4,Cost_table4[#Headers],0))</f>
        <v>8</v>
      </c>
      <c r="G11">
        <f>INDEX(Cost_table4[],MATCH($A11,Cost_table4[R/R_m],0),MATCH(G$4,Cost_table4[#Headers],0))</f>
        <v>19</v>
      </c>
      <c r="H11">
        <f>INDEX(Cost_table[],MATCH($A11,Cost_table[R/R_m],0),MATCH(H$4,Cost_table[#Headers],0))</f>
        <v>1.67</v>
      </c>
      <c r="I11">
        <f>INDEX(Cost_table[],MATCH($A11,Cost_table[R/R_m],0),MATCH(I$4,Cost_table[#Headers],0))</f>
        <v>14.9</v>
      </c>
      <c r="J11">
        <f>INDEX(Cost_table[],MATCH($A11,Cost_table[R/R_m],0),MATCH(J$4,Cost_table[#Headers],0))</f>
        <v>1393627.8817480097</v>
      </c>
      <c r="K11">
        <f>INDEX(Cost_table[],MATCH($A11,Cost_table[R/R_m],0),MATCH(K$4,Cost_table[#Headers],0))</f>
        <v>580445.42961353681</v>
      </c>
      <c r="L11">
        <f>INDEX(Cost_table[],MATCH($A11,Cost_table[R/R_m],0),MATCH(L$4,Cost_table[#Headers],0))</f>
        <v>574378.76291847264</v>
      </c>
      <c r="M11">
        <f>INDEX(Cost_table[],MATCH($A11,Cost_table[R/R_m],0),MATCH(M$4,Cost_table[#Headers],0))</f>
        <v>284136.46335566719</v>
      </c>
      <c r="N11">
        <f>INDEX(Cost_table[],MATCH($A11,Cost_table[R/R_m],0),MATCH(N$4,Cost_table[#Headers],0))</f>
        <v>477952.63395490585</v>
      </c>
      <c r="O11">
        <f>INDEX(Cost_table[],MATCH($A11,Cost_table[R/R_m],0),MATCH(O$4,Cost_table[#Headers],0))</f>
        <v>1.2072000000000001</v>
      </c>
      <c r="P11">
        <f>INDEX(Cost_table[],MATCH($A11,Cost_table[R/R_m],0),MATCH(P$4,Cost_table[#Headers],0))</f>
        <v>1.2964</v>
      </c>
      <c r="Q11">
        <f>INDEX(Cost_table[],MATCH($A11,Cost_table[R/R_m],0),MATCH(Q$4,Cost_table[#Headers],0))</f>
        <v>2.5036</v>
      </c>
    </row>
    <row r="12" spans="1:17" x14ac:dyDescent="0.3">
      <c r="A12" s="25">
        <v>1.4</v>
      </c>
      <c r="B12">
        <f>INDEX(Cost_table4[],MATCH($A12,Cost_table4[R/R_m],0),MATCH(B$4,Cost_table4[#Headers],0))</f>
        <v>7</v>
      </c>
      <c r="C12">
        <f>INDEX(Cost_table4[],MATCH($A12,Cost_table4[R/R_m],0),MATCH(C$4,Cost_table4[#Headers],0))</f>
        <v>5</v>
      </c>
      <c r="D12">
        <f>INDEX(Cost_table4[],MATCH($A12,Cost_table4[R/R_m],0),MATCH(D$4,Cost_table4[#Headers],0))</f>
        <v>13</v>
      </c>
      <c r="E12">
        <f>INDEX(Cost_table4[],MATCH($A12,Cost_table4[R/R_m],0),MATCH(E$4,Cost_table4[#Headers],0))</f>
        <v>9</v>
      </c>
      <c r="F12">
        <f>INDEX(Cost_table4[],MATCH($A12,Cost_table4[R/R_m],0),MATCH(F$4,Cost_table4[#Headers],0))</f>
        <v>8</v>
      </c>
      <c r="G12">
        <f>INDEX(Cost_table4[],MATCH($A12,Cost_table4[R/R_m],0),MATCH(G$4,Cost_table4[#Headers],0))</f>
        <v>18</v>
      </c>
      <c r="H12">
        <f>INDEX(Cost_table[],MATCH($A12,Cost_table[R/R_m],0),MATCH(H$4,Cost_table[#Headers],0))</f>
        <v>1.69</v>
      </c>
      <c r="I12">
        <f>INDEX(Cost_table[],MATCH($A12,Cost_table[R/R_m],0),MATCH(I$4,Cost_table[#Headers],0))</f>
        <v>14.3</v>
      </c>
      <c r="J12">
        <f>INDEX(Cost_table[],MATCH($A12,Cost_table[R/R_m],0),MATCH(J$4,Cost_table[#Headers],0))</f>
        <v>1350199.6278451318</v>
      </c>
      <c r="K12">
        <f>INDEX(Cost_table[],MATCH($A12,Cost_table[R/R_m],0),MATCH(K$4,Cost_table[#Headers],0))</f>
        <v>597600.81780035514</v>
      </c>
      <c r="L12">
        <f>INDEX(Cost_table[],MATCH($A12,Cost_table[R/R_m],0),MATCH(L$4,Cost_table[#Headers],0))</f>
        <v>591534.15110529098</v>
      </c>
      <c r="M12">
        <f>INDEX(Cost_table[],MATCH($A12,Cost_table[R/R_m],0),MATCH(M$4,Cost_table[#Headers],0))</f>
        <v>293698.21540140628</v>
      </c>
      <c r="N12">
        <f>INDEX(Cost_table[],MATCH($A12,Cost_table[R/R_m],0),MATCH(N$4,Cost_table[#Headers],0))</f>
        <v>492329.86724743183</v>
      </c>
      <c r="O12">
        <f>INDEX(Cost_table[],MATCH($A12,Cost_table[R/R_m],0),MATCH(O$4,Cost_table[#Headers],0))</f>
        <v>1.1962999999999999</v>
      </c>
      <c r="P12">
        <f>INDEX(Cost_table[],MATCH($A12,Cost_table[R/R_m],0),MATCH(P$4,Cost_table[#Headers],0))</f>
        <v>1.3351</v>
      </c>
      <c r="Q12">
        <f>INDEX(Cost_table[],MATCH($A12,Cost_table[R/R_m],0),MATCH(Q$4,Cost_table[#Headers],0))</f>
        <v>2.5313999999999997</v>
      </c>
    </row>
    <row r="13" spans="1:17" x14ac:dyDescent="0.3">
      <c r="A13" s="25">
        <v>1.45</v>
      </c>
      <c r="B13">
        <f>INDEX(Cost_table4[],MATCH($A13,Cost_table4[R/R_m],0),MATCH(B$4,Cost_table4[#Headers],0))</f>
        <v>6</v>
      </c>
      <c r="C13">
        <f>INDEX(Cost_table4[],MATCH($A13,Cost_table4[R/R_m],0),MATCH(C$4,Cost_table4[#Headers],0))</f>
        <v>5</v>
      </c>
      <c r="D13">
        <f>INDEX(Cost_table4[],MATCH($A13,Cost_table4[R/R_m],0),MATCH(D$4,Cost_table4[#Headers],0))</f>
        <v>12</v>
      </c>
      <c r="E13">
        <f>INDEX(Cost_table4[],MATCH($A13,Cost_table4[R/R_m],0),MATCH(E$4,Cost_table4[#Headers],0))</f>
        <v>9</v>
      </c>
      <c r="F13">
        <f>INDEX(Cost_table4[],MATCH($A13,Cost_table4[R/R_m],0),MATCH(F$4,Cost_table4[#Headers],0))</f>
        <v>7</v>
      </c>
      <c r="G13">
        <f>INDEX(Cost_table4[],MATCH($A13,Cost_table4[R/R_m],0),MATCH(G$4,Cost_table4[#Headers],0))</f>
        <v>17</v>
      </c>
      <c r="H13">
        <f>INDEX(Cost_table[],MATCH($A13,Cost_table[R/R_m],0),MATCH(H$4,Cost_table[#Headers],0))</f>
        <v>1.71</v>
      </c>
      <c r="I13">
        <f>INDEX(Cost_table[],MATCH($A13,Cost_table[R/R_m],0),MATCH(I$4,Cost_table[#Headers],0))</f>
        <v>13.7</v>
      </c>
      <c r="J13">
        <f>INDEX(Cost_table[],MATCH($A13,Cost_table[R/R_m],0),MATCH(J$4,Cost_table[#Headers],0))</f>
        <v>1303808.5742164587</v>
      </c>
      <c r="K13">
        <f>INDEX(Cost_table[],MATCH($A13,Cost_table[R/R_m],0),MATCH(K$4,Cost_table[#Headers],0))</f>
        <v>614756.20598717348</v>
      </c>
      <c r="L13">
        <f>INDEX(Cost_table[],MATCH($A13,Cost_table[R/R_m],0),MATCH(L$4,Cost_table[#Headers],0))</f>
        <v>608689.53929210932</v>
      </c>
      <c r="M13">
        <f>INDEX(Cost_table[],MATCH($A13,Cost_table[R/R_m],0),MATCH(M$4,Cost_table[#Headers],0))</f>
        <v>303259.96744714543</v>
      </c>
      <c r="N13">
        <f>INDEX(Cost_table[],MATCH($A13,Cost_table[R/R_m],0),MATCH(N$4,Cost_table[#Headers],0))</f>
        <v>506707.10053995776</v>
      </c>
      <c r="O13">
        <f>INDEX(Cost_table[],MATCH($A13,Cost_table[R/R_m],0),MATCH(O$4,Cost_table[#Headers],0))</f>
        <v>1.1837</v>
      </c>
      <c r="P13">
        <f>INDEX(Cost_table[],MATCH($A13,Cost_table[R/R_m],0),MATCH(P$4,Cost_table[#Headers],0))</f>
        <v>1.3737999999999999</v>
      </c>
      <c r="Q13">
        <f>INDEX(Cost_table[],MATCH($A13,Cost_table[R/R_m],0),MATCH(Q$4,Cost_table[#Headers],0))</f>
        <v>2.5575000000000001</v>
      </c>
    </row>
    <row r="14" spans="1:17" x14ac:dyDescent="0.3">
      <c r="A14" s="25">
        <v>1.5</v>
      </c>
      <c r="B14">
        <f>INDEX(Cost_table4[],MATCH($A14,Cost_table4[R/R_m],0),MATCH(B$4,Cost_table4[#Headers],0))</f>
        <v>6</v>
      </c>
      <c r="C14">
        <f>INDEX(Cost_table4[],MATCH($A14,Cost_table4[R/R_m],0),MATCH(C$4,Cost_table4[#Headers],0))</f>
        <v>5</v>
      </c>
      <c r="D14">
        <f>INDEX(Cost_table4[],MATCH($A14,Cost_table4[R/R_m],0),MATCH(D$4,Cost_table4[#Headers],0))</f>
        <v>12</v>
      </c>
      <c r="E14">
        <f>INDEX(Cost_table4[],MATCH($A14,Cost_table4[R/R_m],0),MATCH(E$4,Cost_table4[#Headers],0))</f>
        <v>9</v>
      </c>
      <c r="F14">
        <f>INDEX(Cost_table4[],MATCH($A14,Cost_table4[R/R_m],0),MATCH(F$4,Cost_table4[#Headers],0))</f>
        <v>7</v>
      </c>
      <c r="G14">
        <f>INDEX(Cost_table4[],MATCH($A14,Cost_table4[R/R_m],0),MATCH(G$4,Cost_table4[#Headers],0))</f>
        <v>17</v>
      </c>
      <c r="H14">
        <f>INDEX(Cost_table[],MATCH($A14,Cost_table[R/R_m],0),MATCH(H$4,Cost_table[#Headers],0))</f>
        <v>1.73</v>
      </c>
      <c r="I14">
        <f>INDEX(Cost_table[],MATCH($A14,Cost_table[R/R_m],0),MATCH(I$4,Cost_table[#Headers],0))</f>
        <v>13.7</v>
      </c>
      <c r="J14">
        <f>INDEX(Cost_table[],MATCH($A14,Cost_table[R/R_m],0),MATCH(J$4,Cost_table[#Headers],0))</f>
        <v>1329595.809002616</v>
      </c>
      <c r="K14">
        <f>INDEX(Cost_table[],MATCH($A14,Cost_table[R/R_m],0),MATCH(K$4,Cost_table[#Headers],0))</f>
        <v>631911.5941739917</v>
      </c>
      <c r="L14">
        <f>INDEX(Cost_table[],MATCH($A14,Cost_table[R/R_m],0),MATCH(L$4,Cost_table[#Headers],0))</f>
        <v>625844.92747892754</v>
      </c>
      <c r="M14">
        <f>INDEX(Cost_table[],MATCH($A14,Cost_table[R/R_m],0),MATCH(M$4,Cost_table[#Headers],0))</f>
        <v>312821.71949288447</v>
      </c>
      <c r="N14">
        <f>INDEX(Cost_table[],MATCH($A14,Cost_table[R/R_m],0),MATCH(N$4,Cost_table[#Headers],0))</f>
        <v>521084.33383248362</v>
      </c>
      <c r="O14">
        <f>INDEX(Cost_table[],MATCH($A14,Cost_table[R/R_m],0),MATCH(O$4,Cost_table[#Headers],0))</f>
        <v>1.2116</v>
      </c>
      <c r="P14">
        <f>INDEX(Cost_table[],MATCH($A14,Cost_table[R/R_m],0),MATCH(P$4,Cost_table[#Headers],0))</f>
        <v>1.4125000000000001</v>
      </c>
      <c r="Q14">
        <f>INDEX(Cost_table[],MATCH($A14,Cost_table[R/R_m],0),MATCH(Q$4,Cost_table[#Headers],0))</f>
        <v>2.6241000000000003</v>
      </c>
    </row>
    <row r="15" spans="1:17" x14ac:dyDescent="0.3">
      <c r="A15" s="25">
        <v>1.55</v>
      </c>
      <c r="B15">
        <f>INDEX(Cost_table4[],MATCH($A15,Cost_table4[R/R_m],0),MATCH(B$4,Cost_table4[#Headers],0))</f>
        <v>6</v>
      </c>
      <c r="C15">
        <f>INDEX(Cost_table4[],MATCH($A15,Cost_table4[R/R_m],0),MATCH(C$4,Cost_table4[#Headers],0))</f>
        <v>5</v>
      </c>
      <c r="D15">
        <f>INDEX(Cost_table4[],MATCH($A15,Cost_table4[R/R_m],0),MATCH(D$4,Cost_table4[#Headers],0))</f>
        <v>12</v>
      </c>
      <c r="E15">
        <f>INDEX(Cost_table4[],MATCH($A15,Cost_table4[R/R_m],0),MATCH(E$4,Cost_table4[#Headers],0))</f>
        <v>9</v>
      </c>
      <c r="F15">
        <f>INDEX(Cost_table4[],MATCH($A15,Cost_table4[R/R_m],0),MATCH(F$4,Cost_table4[#Headers],0))</f>
        <v>7</v>
      </c>
      <c r="G15">
        <f>INDEX(Cost_table4[],MATCH($A15,Cost_table4[R/R_m],0),MATCH(G$4,Cost_table4[#Headers],0))</f>
        <v>17</v>
      </c>
      <c r="H15">
        <f>INDEX(Cost_table[],MATCH($A15,Cost_table[R/R_m],0),MATCH(H$4,Cost_table[#Headers],0))</f>
        <v>1.76</v>
      </c>
      <c r="I15">
        <f>INDEX(Cost_table[],MATCH($A15,Cost_table[R/R_m],0),MATCH(I$4,Cost_table[#Headers],0))</f>
        <v>13.7</v>
      </c>
      <c r="J15">
        <f>INDEX(Cost_table[],MATCH($A15,Cost_table[R/R_m],0),MATCH(J$4,Cost_table[#Headers],0))</f>
        <v>1368276.6611818518</v>
      </c>
      <c r="K15">
        <f>INDEX(Cost_table[],MATCH($A15,Cost_table[R/R_m],0),MATCH(K$4,Cost_table[#Headers],0))</f>
        <v>649066.98236081016</v>
      </c>
      <c r="L15">
        <f>INDEX(Cost_table[],MATCH($A15,Cost_table[R/R_m],0),MATCH(L$4,Cost_table[#Headers],0))</f>
        <v>643000.31566574599</v>
      </c>
      <c r="M15">
        <f>INDEX(Cost_table[],MATCH($A15,Cost_table[R/R_m],0),MATCH(M$4,Cost_table[#Headers],0))</f>
        <v>322383.47153862362</v>
      </c>
      <c r="N15">
        <f>INDEX(Cost_table[],MATCH($A15,Cost_table[R/R_m],0),MATCH(N$4,Cost_table[#Headers],0))</f>
        <v>535461.56712500972</v>
      </c>
      <c r="O15">
        <f>INDEX(Cost_table[],MATCH($A15,Cost_table[R/R_m],0),MATCH(O$4,Cost_table[#Headers],0))</f>
        <v>1.2465999999999999</v>
      </c>
      <c r="P15">
        <f>INDEX(Cost_table[],MATCH($A15,Cost_table[R/R_m],0),MATCH(P$4,Cost_table[#Headers],0))</f>
        <v>1.4512</v>
      </c>
      <c r="Q15">
        <f>INDEX(Cost_table[],MATCH($A15,Cost_table[R/R_m],0),MATCH(Q$4,Cost_table[#Headers],0))</f>
        <v>2.6978</v>
      </c>
    </row>
    <row r="16" spans="1:17" x14ac:dyDescent="0.3">
      <c r="A16" s="25">
        <v>1.6</v>
      </c>
      <c r="B16">
        <f>INDEX(Cost_table4[],MATCH($A16,Cost_table4[R/R_m],0),MATCH(B$4,Cost_table4[#Headers],0))</f>
        <v>6</v>
      </c>
      <c r="C16">
        <f>INDEX(Cost_table4[],MATCH($A16,Cost_table4[R/R_m],0),MATCH(C$4,Cost_table4[#Headers],0))</f>
        <v>5</v>
      </c>
      <c r="D16">
        <f>INDEX(Cost_table4[],MATCH($A16,Cost_table4[R/R_m],0),MATCH(D$4,Cost_table4[#Headers],0))</f>
        <v>11</v>
      </c>
      <c r="E16">
        <f>INDEX(Cost_table4[],MATCH($A16,Cost_table4[R/R_m],0),MATCH(E$4,Cost_table4[#Headers],0))</f>
        <v>9</v>
      </c>
      <c r="F16">
        <f>INDEX(Cost_table4[],MATCH($A16,Cost_table4[R/R_m],0),MATCH(F$4,Cost_table4[#Headers],0))</f>
        <v>7</v>
      </c>
      <c r="G16">
        <f>INDEX(Cost_table4[],MATCH($A16,Cost_table4[R/R_m],0),MATCH(G$4,Cost_table4[#Headers],0))</f>
        <v>17</v>
      </c>
      <c r="H16">
        <f>INDEX(Cost_table[],MATCH($A16,Cost_table[R/R_m],0),MATCH(H$4,Cost_table[#Headers],0))</f>
        <v>1.78</v>
      </c>
      <c r="I16">
        <f>INDEX(Cost_table[],MATCH($A16,Cost_table[R/R_m],0),MATCH(I$4,Cost_table[#Headers],0))</f>
        <v>13.7</v>
      </c>
      <c r="J16">
        <f>INDEX(Cost_table[],MATCH($A16,Cost_table[R/R_m],0),MATCH(J$4,Cost_table[#Headers],0))</f>
        <v>1394063.8959680095</v>
      </c>
      <c r="K16">
        <f>INDEX(Cost_table[],MATCH($A16,Cost_table[R/R_m],0),MATCH(K$4,Cost_table[#Headers],0))</f>
        <v>666222.3705476285</v>
      </c>
      <c r="L16">
        <f>INDEX(Cost_table[],MATCH($A16,Cost_table[R/R_m],0),MATCH(L$4,Cost_table[#Headers],0))</f>
        <v>660155.70385256433</v>
      </c>
      <c r="M16">
        <f>INDEX(Cost_table[],MATCH($A16,Cost_table[R/R_m],0),MATCH(M$4,Cost_table[#Headers],0))</f>
        <v>331945.22358436271</v>
      </c>
      <c r="N16">
        <f>INDEX(Cost_table[],MATCH($A16,Cost_table[R/R_m],0),MATCH(N$4,Cost_table[#Headers],0))</f>
        <v>549838.80041753571</v>
      </c>
      <c r="O16">
        <f>INDEX(Cost_table[],MATCH($A16,Cost_table[R/R_m],0),MATCH(O$4,Cost_table[#Headers],0))</f>
        <v>1.2745</v>
      </c>
      <c r="P16">
        <f>INDEX(Cost_table[],MATCH($A16,Cost_table[R/R_m],0),MATCH(P$4,Cost_table[#Headers],0))</f>
        <v>1.4899</v>
      </c>
      <c r="Q16">
        <f>INDEX(Cost_table[],MATCH($A16,Cost_table[R/R_m],0),MATCH(Q$4,Cost_table[#Headers],0))</f>
        <v>2.7644000000000002</v>
      </c>
    </row>
    <row r="17" spans="1:17" x14ac:dyDescent="0.3">
      <c r="A17" s="25">
        <v>1.65</v>
      </c>
      <c r="B17">
        <f>INDEX(Cost_table4[],MATCH($A17,Cost_table4[R/R_m],0),MATCH(B$4,Cost_table4[#Headers],0))</f>
        <v>6</v>
      </c>
      <c r="C17">
        <f>INDEX(Cost_table4[],MATCH($A17,Cost_table4[R/R_m],0),MATCH(C$4,Cost_table4[#Headers],0))</f>
        <v>5</v>
      </c>
      <c r="D17">
        <f>INDEX(Cost_table4[],MATCH($A17,Cost_table4[R/R_m],0),MATCH(D$4,Cost_table4[#Headers],0))</f>
        <v>11</v>
      </c>
      <c r="E17">
        <f>INDEX(Cost_table4[],MATCH($A17,Cost_table4[R/R_m],0),MATCH(E$4,Cost_table4[#Headers],0))</f>
        <v>9</v>
      </c>
      <c r="F17">
        <f>INDEX(Cost_table4[],MATCH($A17,Cost_table4[R/R_m],0),MATCH(F$4,Cost_table4[#Headers],0))</f>
        <v>6</v>
      </c>
      <c r="G17">
        <f>INDEX(Cost_table4[],MATCH($A17,Cost_table4[R/R_m],0),MATCH(G$4,Cost_table4[#Headers],0))</f>
        <v>16</v>
      </c>
      <c r="H17">
        <f>INDEX(Cost_table[],MATCH($A17,Cost_table[R/R_m],0),MATCH(H$4,Cost_table[#Headers],0))</f>
        <v>1.8</v>
      </c>
      <c r="I17">
        <f>INDEX(Cost_table[],MATCH($A17,Cost_table[R/R_m],0),MATCH(I$4,Cost_table[#Headers],0))</f>
        <v>13.1</v>
      </c>
      <c r="J17">
        <f>INDEX(Cost_table[],MATCH($A17,Cost_table[R/R_m],0),MATCH(J$4,Cost_table[#Headers],0))</f>
        <v>1339525.1430934002</v>
      </c>
      <c r="K17">
        <f>INDEX(Cost_table[],MATCH($A17,Cost_table[R/R_m],0),MATCH(K$4,Cost_table[#Headers],0))</f>
        <v>683377.75873444683</v>
      </c>
      <c r="L17">
        <f>INDEX(Cost_table[],MATCH($A17,Cost_table[R/R_m],0),MATCH(L$4,Cost_table[#Headers],0))</f>
        <v>677311.09203938267</v>
      </c>
      <c r="M17">
        <f>INDEX(Cost_table[],MATCH($A17,Cost_table[R/R_m],0),MATCH(M$4,Cost_table[#Headers],0))</f>
        <v>341506.97563010175</v>
      </c>
      <c r="N17">
        <f>INDEX(Cost_table[],MATCH($A17,Cost_table[R/R_m],0),MATCH(N$4,Cost_table[#Headers],0))</f>
        <v>564216.03371006157</v>
      </c>
      <c r="O17">
        <f>INDEX(Cost_table[],MATCH($A17,Cost_table[R/R_m],0),MATCH(O$4,Cost_table[#Headers],0))</f>
        <v>1.2573000000000001</v>
      </c>
      <c r="P17">
        <f>INDEX(Cost_table[],MATCH($A17,Cost_table[R/R_m],0),MATCH(P$4,Cost_table[#Headers],0))</f>
        <v>1.5286</v>
      </c>
      <c r="Q17">
        <f>INDEX(Cost_table[],MATCH($A17,Cost_table[R/R_m],0),MATCH(Q$4,Cost_table[#Headers],0))</f>
        <v>2.7858999999999998</v>
      </c>
    </row>
    <row r="18" spans="1:17" x14ac:dyDescent="0.3">
      <c r="A18" s="25">
        <v>1.7</v>
      </c>
      <c r="B18">
        <f>INDEX(Cost_table4[],MATCH($A18,Cost_table4[R/R_m],0),MATCH(B$4,Cost_table4[#Headers],0))</f>
        <v>6</v>
      </c>
      <c r="C18">
        <f>INDEX(Cost_table4[],MATCH($A18,Cost_table4[R/R_m],0),MATCH(C$4,Cost_table4[#Headers],0))</f>
        <v>4</v>
      </c>
      <c r="D18">
        <f>INDEX(Cost_table4[],MATCH($A18,Cost_table4[R/R_m],0),MATCH(D$4,Cost_table4[#Headers],0))</f>
        <v>11</v>
      </c>
      <c r="E18">
        <f>INDEX(Cost_table4[],MATCH($A18,Cost_table4[R/R_m],0),MATCH(E$4,Cost_table4[#Headers],0))</f>
        <v>8</v>
      </c>
      <c r="F18">
        <f>INDEX(Cost_table4[],MATCH($A18,Cost_table4[R/R_m],0),MATCH(F$4,Cost_table4[#Headers],0))</f>
        <v>6</v>
      </c>
      <c r="G18">
        <f>INDEX(Cost_table4[],MATCH($A18,Cost_table4[R/R_m],0),MATCH(G$4,Cost_table4[#Headers],0))</f>
        <v>15</v>
      </c>
      <c r="H18">
        <f>INDEX(Cost_table[],MATCH($A18,Cost_table[R/R_m],0),MATCH(H$4,Cost_table[#Headers],0))</f>
        <v>1.82</v>
      </c>
      <c r="I18">
        <f>INDEX(Cost_table[],MATCH($A18,Cost_table[R/R_m],0),MATCH(I$4,Cost_table[#Headers],0))</f>
        <v>12.5</v>
      </c>
      <c r="J18">
        <f>INDEX(Cost_table[],MATCH($A18,Cost_table[R/R_m],0),MATCH(J$4,Cost_table[#Headers],0))</f>
        <v>1282023.5904929966</v>
      </c>
      <c r="K18">
        <f>INDEX(Cost_table[],MATCH($A18,Cost_table[R/R_m],0),MATCH(K$4,Cost_table[#Headers],0))</f>
        <v>700533.14692126517</v>
      </c>
      <c r="L18">
        <f>INDEX(Cost_table[],MATCH($A18,Cost_table[R/R_m],0),MATCH(L$4,Cost_table[#Headers],0))</f>
        <v>694466.48022620101</v>
      </c>
      <c r="M18">
        <f>INDEX(Cost_table[],MATCH($A18,Cost_table[R/R_m],0),MATCH(M$4,Cost_table[#Headers],0))</f>
        <v>351068.72767584084</v>
      </c>
      <c r="N18">
        <f>INDEX(Cost_table[],MATCH($A18,Cost_table[R/R_m],0),MATCH(N$4,Cost_table[#Headers],0))</f>
        <v>578593.26700258767</v>
      </c>
      <c r="O18">
        <f>INDEX(Cost_table[],MATCH($A18,Cost_table[R/R_m],0),MATCH(O$4,Cost_table[#Headers],0))</f>
        <v>1.2384999999999999</v>
      </c>
      <c r="P18">
        <f>INDEX(Cost_table[],MATCH($A18,Cost_table[R/R_m],0),MATCH(P$4,Cost_table[#Headers],0))</f>
        <v>1.5672999999999999</v>
      </c>
      <c r="Q18">
        <f>INDEX(Cost_table[],MATCH($A18,Cost_table[R/R_m],0),MATCH(Q$4,Cost_table[#Headers],0))</f>
        <v>2.8057999999999996</v>
      </c>
    </row>
    <row r="19" spans="1:17" x14ac:dyDescent="0.3">
      <c r="A19" s="25">
        <v>1.75</v>
      </c>
      <c r="B19">
        <f>INDEX(Cost_table4[],MATCH($A19,Cost_table4[R/R_m],0),MATCH(B$4,Cost_table4[#Headers],0))</f>
        <v>6</v>
      </c>
      <c r="C19">
        <f>INDEX(Cost_table4[],MATCH($A19,Cost_table4[R/R_m],0),MATCH(C$4,Cost_table4[#Headers],0))</f>
        <v>4</v>
      </c>
      <c r="D19">
        <f>INDEX(Cost_table4[],MATCH($A19,Cost_table4[R/R_m],0),MATCH(D$4,Cost_table4[#Headers],0))</f>
        <v>11</v>
      </c>
      <c r="E19">
        <f>INDEX(Cost_table4[],MATCH($A19,Cost_table4[R/R_m],0),MATCH(E$4,Cost_table4[#Headers],0))</f>
        <v>8</v>
      </c>
      <c r="F19">
        <f>INDEX(Cost_table4[],MATCH($A19,Cost_table4[R/R_m],0),MATCH(F$4,Cost_table4[#Headers],0))</f>
        <v>6</v>
      </c>
      <c r="G19">
        <f>INDEX(Cost_table4[],MATCH($A19,Cost_table4[R/R_m],0),MATCH(G$4,Cost_table4[#Headers],0))</f>
        <v>15</v>
      </c>
      <c r="H19">
        <f>INDEX(Cost_table[],MATCH($A19,Cost_table[R/R_m],0),MATCH(H$4,Cost_table[#Headers],0))</f>
        <v>1.84</v>
      </c>
      <c r="I19">
        <f>INDEX(Cost_table[],MATCH($A19,Cost_table[R/R_m],0),MATCH(I$4,Cost_table[#Headers],0))</f>
        <v>12.5</v>
      </c>
      <c r="J19">
        <f>INDEX(Cost_table[],MATCH($A19,Cost_table[R/R_m],0),MATCH(J$4,Cost_table[#Headers],0))</f>
        <v>1304848.0255533587</v>
      </c>
      <c r="K19">
        <f>INDEX(Cost_table[],MATCH($A19,Cost_table[R/R_m],0),MATCH(K$4,Cost_table[#Headers],0))</f>
        <v>717688.53510808351</v>
      </c>
      <c r="L19">
        <f>INDEX(Cost_table[],MATCH($A19,Cost_table[R/R_m],0),MATCH(L$4,Cost_table[#Headers],0))</f>
        <v>711621.86841301934</v>
      </c>
      <c r="M19">
        <f>INDEX(Cost_table[],MATCH($A19,Cost_table[R/R_m],0),MATCH(M$4,Cost_table[#Headers],0))</f>
        <v>360630.47972157999</v>
      </c>
      <c r="N19">
        <f>INDEX(Cost_table[],MATCH($A19,Cost_table[R/R_m],0),MATCH(N$4,Cost_table[#Headers],0))</f>
        <v>592970.50029511354</v>
      </c>
      <c r="O19">
        <f>INDEX(Cost_table[],MATCH($A19,Cost_table[R/R_m],0),MATCH(O$4,Cost_table[#Headers],0))</f>
        <v>1.2646999999999999</v>
      </c>
      <c r="P19">
        <f>INDEX(Cost_table[],MATCH($A19,Cost_table[R/R_m],0),MATCH(P$4,Cost_table[#Headers],0))</f>
        <v>1.6060000000000001</v>
      </c>
      <c r="Q19">
        <f>INDEX(Cost_table[],MATCH($A19,Cost_table[R/R_m],0),MATCH(Q$4,Cost_table[#Headers],0))</f>
        <v>2.8707000000000003</v>
      </c>
    </row>
    <row r="20" spans="1:17" x14ac:dyDescent="0.3">
      <c r="A20" s="25">
        <v>1.8</v>
      </c>
      <c r="B20">
        <f>INDEX(Cost_table4[],MATCH($A20,Cost_table4[R/R_m],0),MATCH(B$4,Cost_table4[#Headers],0))</f>
        <v>6</v>
      </c>
      <c r="C20">
        <f>INDEX(Cost_table4[],MATCH($A20,Cost_table4[R/R_m],0),MATCH(C$4,Cost_table4[#Headers],0))</f>
        <v>4</v>
      </c>
      <c r="D20">
        <f>INDEX(Cost_table4[],MATCH($A20,Cost_table4[R/R_m],0),MATCH(D$4,Cost_table4[#Headers],0))</f>
        <v>11</v>
      </c>
      <c r="E20">
        <f>INDEX(Cost_table4[],MATCH($A20,Cost_table4[R/R_m],0),MATCH(E$4,Cost_table4[#Headers],0))</f>
        <v>8</v>
      </c>
      <c r="F20">
        <f>INDEX(Cost_table4[],MATCH($A20,Cost_table4[R/R_m],0),MATCH(F$4,Cost_table4[#Headers],0))</f>
        <v>6</v>
      </c>
      <c r="G20">
        <f>INDEX(Cost_table4[],MATCH($A20,Cost_table4[R/R_m],0),MATCH(G$4,Cost_table4[#Headers],0))</f>
        <v>15</v>
      </c>
      <c r="H20">
        <f>INDEX(Cost_table[],MATCH($A20,Cost_table[R/R_m],0),MATCH(H$4,Cost_table[#Headers],0))</f>
        <v>1.87</v>
      </c>
      <c r="I20">
        <f>INDEX(Cost_table[],MATCH($A20,Cost_table[R/R_m],0),MATCH(I$4,Cost_table[#Headers],0))</f>
        <v>12.5</v>
      </c>
      <c r="J20">
        <f>INDEX(Cost_table[],MATCH($A20,Cost_table[R/R_m],0),MATCH(J$4,Cost_table[#Headers],0))</f>
        <v>1339084.6781439031</v>
      </c>
      <c r="K20">
        <f>INDEX(Cost_table[],MATCH($A20,Cost_table[R/R_m],0),MATCH(K$4,Cost_table[#Headers],0))</f>
        <v>734843.92329490173</v>
      </c>
      <c r="L20">
        <f>INDEX(Cost_table[],MATCH($A20,Cost_table[R/R_m],0),MATCH(L$4,Cost_table[#Headers],0))</f>
        <v>728777.25659983756</v>
      </c>
      <c r="M20">
        <f>INDEX(Cost_table[],MATCH($A20,Cost_table[R/R_m],0),MATCH(M$4,Cost_table[#Headers],0))</f>
        <v>370192.23176731903</v>
      </c>
      <c r="N20">
        <f>INDEX(Cost_table[],MATCH($A20,Cost_table[R/R_m],0),MATCH(N$4,Cost_table[#Headers],0))</f>
        <v>607347.73358763941</v>
      </c>
      <c r="O20">
        <f>INDEX(Cost_table[],MATCH($A20,Cost_table[R/R_m],0),MATCH(O$4,Cost_table[#Headers],0))</f>
        <v>1.2972999999999999</v>
      </c>
      <c r="P20">
        <f>INDEX(Cost_table[],MATCH($A20,Cost_table[R/R_m],0),MATCH(P$4,Cost_table[#Headers],0))</f>
        <v>1.6447000000000001</v>
      </c>
      <c r="Q20">
        <f>INDEX(Cost_table[],MATCH($A20,Cost_table[R/R_m],0),MATCH(Q$4,Cost_table[#Headers],0))</f>
        <v>2.9420000000000002</v>
      </c>
    </row>
    <row r="21" spans="1:17" x14ac:dyDescent="0.3">
      <c r="A21" s="25">
        <v>1.85</v>
      </c>
      <c r="B21">
        <f>INDEX(Cost_table4[],MATCH($A21,Cost_table4[R/R_m],0),MATCH(B$4,Cost_table4[#Headers],0))</f>
        <v>6</v>
      </c>
      <c r="C21">
        <f>INDEX(Cost_table4[],MATCH($A21,Cost_table4[R/R_m],0),MATCH(C$4,Cost_table4[#Headers],0))</f>
        <v>4</v>
      </c>
      <c r="D21">
        <f>INDEX(Cost_table4[],MATCH($A21,Cost_table4[R/R_m],0),MATCH(D$4,Cost_table4[#Headers],0))</f>
        <v>11</v>
      </c>
      <c r="E21">
        <f>INDEX(Cost_table4[],MATCH($A21,Cost_table4[R/R_m],0),MATCH(E$4,Cost_table4[#Headers],0))</f>
        <v>8</v>
      </c>
      <c r="F21">
        <f>INDEX(Cost_table4[],MATCH($A21,Cost_table4[R/R_m],0),MATCH(F$4,Cost_table4[#Headers],0))</f>
        <v>6</v>
      </c>
      <c r="G21">
        <f>INDEX(Cost_table4[],MATCH($A21,Cost_table4[R/R_m],0),MATCH(G$4,Cost_table4[#Headers],0))</f>
        <v>15</v>
      </c>
      <c r="H21">
        <f>INDEX(Cost_table[],MATCH($A21,Cost_table[R/R_m],0),MATCH(H$4,Cost_table[#Headers],0))</f>
        <v>1.8900000000000001</v>
      </c>
      <c r="I21">
        <f>INDEX(Cost_table[],MATCH($A21,Cost_table[R/R_m],0),MATCH(I$4,Cost_table[#Headers],0))</f>
        <v>12.5</v>
      </c>
      <c r="J21">
        <f>INDEX(Cost_table[],MATCH($A21,Cost_table[R/R_m],0),MATCH(J$4,Cost_table[#Headers],0))</f>
        <v>1361909.1132042657</v>
      </c>
      <c r="K21">
        <f>INDEX(Cost_table[],MATCH($A21,Cost_table[R/R_m],0),MATCH(K$4,Cost_table[#Headers],0))</f>
        <v>751999.31148172007</v>
      </c>
      <c r="L21">
        <f>INDEX(Cost_table[],MATCH($A21,Cost_table[R/R_m],0),MATCH(L$4,Cost_table[#Headers],0))</f>
        <v>745932.6447866559</v>
      </c>
      <c r="M21">
        <f>INDEX(Cost_table[],MATCH($A21,Cost_table[R/R_m],0),MATCH(M$4,Cost_table[#Headers],0))</f>
        <v>379753.98381305812</v>
      </c>
      <c r="N21">
        <f>INDEX(Cost_table[],MATCH($A21,Cost_table[R/R_m],0),MATCH(N$4,Cost_table[#Headers],0))</f>
        <v>621724.96688016527</v>
      </c>
      <c r="O21">
        <f>INDEX(Cost_table[],MATCH($A21,Cost_table[R/R_m],0),MATCH(O$4,Cost_table[#Headers],0))</f>
        <v>1.3234999999999999</v>
      </c>
      <c r="P21">
        <f>INDEX(Cost_table[],MATCH($A21,Cost_table[R/R_m],0),MATCH(P$4,Cost_table[#Headers],0))</f>
        <v>1.6834</v>
      </c>
      <c r="Q21">
        <f>INDEX(Cost_table[],MATCH($A21,Cost_table[R/R_m],0),MATCH(Q$4,Cost_table[#Headers],0))</f>
        <v>3.0068999999999999</v>
      </c>
    </row>
    <row r="22" spans="1:17" x14ac:dyDescent="0.3">
      <c r="A22" s="25">
        <v>1.9</v>
      </c>
      <c r="B22">
        <f>INDEX(Cost_table4[],MATCH($A22,Cost_table4[R/R_m],0),MATCH(B$4,Cost_table4[#Headers],0))</f>
        <v>6</v>
      </c>
      <c r="C22">
        <f>INDEX(Cost_table4[],MATCH($A22,Cost_table4[R/R_m],0),MATCH(C$4,Cost_table4[#Headers],0))</f>
        <v>4</v>
      </c>
      <c r="D22">
        <f>INDEX(Cost_table4[],MATCH($A22,Cost_table4[R/R_m],0),MATCH(D$4,Cost_table4[#Headers],0))</f>
        <v>11</v>
      </c>
      <c r="E22">
        <f>INDEX(Cost_table4[],MATCH($A22,Cost_table4[R/R_m],0),MATCH(E$4,Cost_table4[#Headers],0))</f>
        <v>8</v>
      </c>
      <c r="F22">
        <f>INDEX(Cost_table4[],MATCH($A22,Cost_table4[R/R_m],0),MATCH(F$4,Cost_table4[#Headers],0))</f>
        <v>6</v>
      </c>
      <c r="G22">
        <f>INDEX(Cost_table4[],MATCH($A22,Cost_table4[R/R_m],0),MATCH(G$4,Cost_table4[#Headers],0))</f>
        <v>15</v>
      </c>
      <c r="H22">
        <f>INDEX(Cost_table[],MATCH($A22,Cost_table[R/R_m],0),MATCH(H$4,Cost_table[#Headers],0))</f>
        <v>1.9100000000000001</v>
      </c>
      <c r="I22">
        <f>INDEX(Cost_table[],MATCH($A22,Cost_table[R/R_m],0),MATCH(I$4,Cost_table[#Headers],0))</f>
        <v>12.5</v>
      </c>
      <c r="J22">
        <f>INDEX(Cost_table[],MATCH($A22,Cost_table[R/R_m],0),MATCH(J$4,Cost_table[#Headers],0))</f>
        <v>1384733.5482646285</v>
      </c>
      <c r="K22">
        <f>INDEX(Cost_table[],MATCH($A22,Cost_table[R/R_m],0),MATCH(K$4,Cost_table[#Headers],0))</f>
        <v>769154.69966853841</v>
      </c>
      <c r="L22">
        <f>INDEX(Cost_table[],MATCH($A22,Cost_table[R/R_m],0),MATCH(L$4,Cost_table[#Headers],0))</f>
        <v>763088.03297347424</v>
      </c>
      <c r="M22">
        <f>INDEX(Cost_table[],MATCH($A22,Cost_table[R/R_m],0),MATCH(M$4,Cost_table[#Headers],0))</f>
        <v>389315.73585879727</v>
      </c>
      <c r="N22">
        <f>INDEX(Cost_table[],MATCH($A22,Cost_table[R/R_m],0),MATCH(N$4,Cost_table[#Headers],0))</f>
        <v>636102.20017269126</v>
      </c>
      <c r="O22">
        <f>INDEX(Cost_table[],MATCH($A22,Cost_table[R/R_m],0),MATCH(O$4,Cost_table[#Headers],0))</f>
        <v>1.3496999999999999</v>
      </c>
      <c r="P22">
        <f>INDEX(Cost_table[],MATCH($A22,Cost_table[R/R_m],0),MATCH(P$4,Cost_table[#Headers],0))</f>
        <v>1.7221</v>
      </c>
      <c r="Q22">
        <f>INDEX(Cost_table[],MATCH($A22,Cost_table[R/R_m],0),MATCH(Q$4,Cost_table[#Headers],0))</f>
        <v>3.0717999999999996</v>
      </c>
    </row>
    <row r="23" spans="1:17" x14ac:dyDescent="0.3">
      <c r="A23" s="25">
        <v>1.95</v>
      </c>
      <c r="B23">
        <f>INDEX(Cost_table4[],MATCH($A23,Cost_table4[R/R_m],0),MATCH(B$4,Cost_table4[#Headers],0))</f>
        <v>6</v>
      </c>
      <c r="C23">
        <f>INDEX(Cost_table4[],MATCH($A23,Cost_table4[R/R_m],0),MATCH(C$4,Cost_table4[#Headers],0))</f>
        <v>4</v>
      </c>
      <c r="D23">
        <f>INDEX(Cost_table4[],MATCH($A23,Cost_table4[R/R_m],0),MATCH(D$4,Cost_table4[#Headers],0))</f>
        <v>11</v>
      </c>
      <c r="E23">
        <f>INDEX(Cost_table4[],MATCH($A23,Cost_table4[R/R_m],0),MATCH(E$4,Cost_table4[#Headers],0))</f>
        <v>8</v>
      </c>
      <c r="F23">
        <f>INDEX(Cost_table4[],MATCH($A23,Cost_table4[R/R_m],0),MATCH(F$4,Cost_table4[#Headers],0))</f>
        <v>6</v>
      </c>
      <c r="G23">
        <f>INDEX(Cost_table4[],MATCH($A23,Cost_table4[R/R_m],0),MATCH(G$4,Cost_table4[#Headers],0))</f>
        <v>15</v>
      </c>
      <c r="H23">
        <f>INDEX(Cost_table[],MATCH($A23,Cost_table[R/R_m],0),MATCH(H$4,Cost_table[#Headers],0))</f>
        <v>1.93</v>
      </c>
      <c r="I23">
        <f>INDEX(Cost_table[],MATCH($A23,Cost_table[R/R_m],0),MATCH(I$4,Cost_table[#Headers],0))</f>
        <v>12.5</v>
      </c>
      <c r="J23">
        <f>INDEX(Cost_table[],MATCH($A23,Cost_table[R/R_m],0),MATCH(J$4,Cost_table[#Headers],0))</f>
        <v>1407557.9833249906</v>
      </c>
      <c r="K23">
        <f>INDEX(Cost_table[],MATCH($A23,Cost_table[R/R_m],0),MATCH(K$4,Cost_table[#Headers],0))</f>
        <v>786310.08785535675</v>
      </c>
      <c r="L23">
        <f>INDEX(Cost_table[],MATCH($A23,Cost_table[R/R_m],0),MATCH(L$4,Cost_table[#Headers],0))</f>
        <v>780243.42116029258</v>
      </c>
      <c r="M23">
        <f>INDEX(Cost_table[],MATCH($A23,Cost_table[R/R_m],0),MATCH(M$4,Cost_table[#Headers],0))</f>
        <v>398877.48790453636</v>
      </c>
      <c r="N23">
        <f>INDEX(Cost_table[],MATCH($A23,Cost_table[R/R_m],0),MATCH(N$4,Cost_table[#Headers],0))</f>
        <v>650479.43346521736</v>
      </c>
      <c r="O23">
        <f>INDEX(Cost_table[],MATCH($A23,Cost_table[R/R_m],0),MATCH(O$4,Cost_table[#Headers],0))</f>
        <v>1.3758999999999999</v>
      </c>
      <c r="P23">
        <f>INDEX(Cost_table[],MATCH($A23,Cost_table[R/R_m],0),MATCH(P$4,Cost_table[#Headers],0))</f>
        <v>1.7607999999999999</v>
      </c>
      <c r="Q23">
        <f>INDEX(Cost_table[],MATCH($A23,Cost_table[R/R_m],0),MATCH(Q$4,Cost_table[#Headers],0))</f>
        <v>3.1366999999999998</v>
      </c>
    </row>
    <row r="24" spans="1:17" x14ac:dyDescent="0.3">
      <c r="A24" s="25">
        <v>2</v>
      </c>
      <c r="B24">
        <f>INDEX(Cost_table4[],MATCH($A24,Cost_table4[R/R_m],0),MATCH(B$4,Cost_table4[#Headers],0))</f>
        <v>6</v>
      </c>
      <c r="C24">
        <f>INDEX(Cost_table4[],MATCH($A24,Cost_table4[R/R_m],0),MATCH(C$4,Cost_table4[#Headers],0))</f>
        <v>4</v>
      </c>
      <c r="D24">
        <f>INDEX(Cost_table4[],MATCH($A24,Cost_table4[R/R_m],0),MATCH(D$4,Cost_table4[#Headers],0))</f>
        <v>11</v>
      </c>
      <c r="E24">
        <f>INDEX(Cost_table4[],MATCH($A24,Cost_table4[R/R_m],0),MATCH(E$4,Cost_table4[#Headers],0))</f>
        <v>8</v>
      </c>
      <c r="F24">
        <f>INDEX(Cost_table4[],MATCH($A24,Cost_table4[R/R_m],0),MATCH(F$4,Cost_table4[#Headers],0))</f>
        <v>6</v>
      </c>
      <c r="G24">
        <f>INDEX(Cost_table4[],MATCH($A24,Cost_table4[R/R_m],0),MATCH(G$4,Cost_table4[#Headers],0))</f>
        <v>15</v>
      </c>
      <c r="H24">
        <f>INDEX(Cost_table[],MATCH($A24,Cost_table[R/R_m],0),MATCH(H$4,Cost_table[#Headers],0))</f>
        <v>1.95</v>
      </c>
      <c r="I24">
        <f>INDEX(Cost_table[],MATCH($A24,Cost_table[R/R_m],0),MATCH(I$4,Cost_table[#Headers],0))</f>
        <v>12.5</v>
      </c>
      <c r="J24">
        <f>INDEX(Cost_table[],MATCH($A24,Cost_table[R/R_m],0),MATCH(J$4,Cost_table[#Headers],0))</f>
        <v>1430382.4183853532</v>
      </c>
      <c r="K24">
        <f>INDEX(Cost_table[],MATCH($A24,Cost_table[R/R_m],0),MATCH(K$4,Cost_table[#Headers],0))</f>
        <v>803465.47604217508</v>
      </c>
      <c r="L24">
        <f>INDEX(Cost_table[],MATCH($A24,Cost_table[R/R_m],0),MATCH(L$4,Cost_table[#Headers],0))</f>
        <v>797398.80934711092</v>
      </c>
      <c r="M24">
        <f>INDEX(Cost_table[],MATCH($A24,Cost_table[R/R_m],0),MATCH(M$4,Cost_table[#Headers],0))</f>
        <v>408439.2399502754</v>
      </c>
      <c r="N24">
        <f>INDEX(Cost_table[],MATCH($A24,Cost_table[R/R_m],0),MATCH(N$4,Cost_table[#Headers],0))</f>
        <v>664856.66675774322</v>
      </c>
      <c r="O24">
        <f>INDEX(Cost_table[],MATCH($A24,Cost_table[R/R_m],0),MATCH(O$4,Cost_table[#Headers],0))</f>
        <v>1.4020999999999999</v>
      </c>
      <c r="P24">
        <f>INDEX(Cost_table[],MATCH($A24,Cost_table[R/R_m],0),MATCH(P$4,Cost_table[#Headers],0))</f>
        <v>1.7995000000000001</v>
      </c>
      <c r="Q24">
        <f>INDEX(Cost_table[],MATCH($A24,Cost_table[R/R_m],0),MATCH(Q$4,Cost_table[#Headers],0))</f>
        <v>3.2016</v>
      </c>
    </row>
    <row r="26" spans="1:17" x14ac:dyDescent="0.3">
      <c r="D26" s="17" t="s">
        <v>371</v>
      </c>
      <c r="E26" s="17" t="s">
        <v>372</v>
      </c>
      <c r="F26" s="17"/>
      <c r="G26" s="17" t="s">
        <v>371</v>
      </c>
      <c r="H26" s="17" t="s">
        <v>372</v>
      </c>
    </row>
    <row r="27" spans="1:17" x14ac:dyDescent="0.3">
      <c r="D27" s="17">
        <v>1.2</v>
      </c>
      <c r="E27" s="17">
        <v>0</v>
      </c>
      <c r="F27" s="17"/>
      <c r="G27" s="17">
        <v>0</v>
      </c>
      <c r="H27" s="17">
        <v>2.31</v>
      </c>
    </row>
    <row r="28" spans="1:17" x14ac:dyDescent="0.3">
      <c r="D28" s="17">
        <v>1.2</v>
      </c>
      <c r="E28" s="17">
        <v>2.31</v>
      </c>
      <c r="F28" s="17"/>
      <c r="G28" s="17">
        <v>1.2</v>
      </c>
      <c r="H28" s="17">
        <v>2.31</v>
      </c>
    </row>
  </sheetData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05E9-72C6-4E62-A2D3-7E848901F7C4}">
  <dimension ref="A1:W264"/>
  <sheetViews>
    <sheetView zoomScale="59" workbookViewId="0">
      <selection activeCell="C245" sqref="C245:H264"/>
    </sheetView>
  </sheetViews>
  <sheetFormatPr defaultRowHeight="14.4" x14ac:dyDescent="0.3"/>
  <cols>
    <col min="1" max="1" width="34.77734375" customWidth="1"/>
    <col min="2" max="2" width="13.88671875" bestFit="1" customWidth="1"/>
    <col min="3" max="3" width="10.21875" customWidth="1"/>
    <col min="4" max="5" width="9.88671875" customWidth="1"/>
    <col min="6" max="6" width="18" customWidth="1"/>
    <col min="7" max="7" width="19.5546875" customWidth="1"/>
    <col min="8" max="9" width="14.21875" customWidth="1"/>
    <col min="10" max="10" width="9.77734375" customWidth="1"/>
    <col min="11" max="11" width="9.6640625" customWidth="1"/>
    <col min="12" max="12" width="18.88671875" customWidth="1"/>
    <col min="13" max="13" width="18.33203125" customWidth="1"/>
    <col min="14" max="14" width="16.6640625" customWidth="1"/>
    <col min="15" max="15" width="16.44140625" customWidth="1"/>
    <col min="16" max="16" width="27.33203125" customWidth="1"/>
    <col min="17" max="17" width="25.21875" customWidth="1"/>
    <col min="18" max="18" width="21" customWidth="1"/>
  </cols>
  <sheetData>
    <row r="1" spans="1:3" ht="21" x14ac:dyDescent="0.4">
      <c r="A1" s="4" t="s">
        <v>67</v>
      </c>
    </row>
    <row r="2" spans="1:3" x14ac:dyDescent="0.3">
      <c r="A2" t="s">
        <v>69</v>
      </c>
    </row>
    <row r="3" spans="1:3" x14ac:dyDescent="0.3">
      <c r="A3" t="s">
        <v>70</v>
      </c>
      <c r="B3" s="8">
        <f>Calculation!B16</f>
        <v>89.120715350223534</v>
      </c>
      <c r="C3" t="s">
        <v>18</v>
      </c>
    </row>
    <row r="4" spans="1:3" x14ac:dyDescent="0.3">
      <c r="A4" t="s">
        <v>77</v>
      </c>
      <c r="B4" s="8">
        <f>1/(B7/78+(1-B7)/92)</f>
        <v>79.205298013245027</v>
      </c>
      <c r="C4" t="s">
        <v>18</v>
      </c>
    </row>
    <row r="5" spans="1:3" x14ac:dyDescent="0.3">
      <c r="A5" t="s">
        <v>78</v>
      </c>
      <c r="B5" s="8">
        <f>1/(B8/78+(1-B8)/92)</f>
        <v>91.18170266836087</v>
      </c>
      <c r="C5" t="s">
        <v>18</v>
      </c>
    </row>
    <row r="6" spans="1:3" x14ac:dyDescent="0.3">
      <c r="A6" s="5" t="s">
        <v>68</v>
      </c>
    </row>
    <row r="7" spans="1:3" x14ac:dyDescent="0.3">
      <c r="A7" t="s">
        <v>22</v>
      </c>
      <c r="B7" s="8">
        <f>0.9</f>
        <v>0.9</v>
      </c>
      <c r="C7" s="8">
        <f>1-B7</f>
        <v>9.9999999999999978E-2</v>
      </c>
    </row>
    <row r="8" spans="1:3" x14ac:dyDescent="0.3">
      <c r="A8" t="s">
        <v>23</v>
      </c>
      <c r="B8" s="8">
        <f>0.05</f>
        <v>0.05</v>
      </c>
      <c r="C8" s="8">
        <f>1-B8</f>
        <v>0.95</v>
      </c>
    </row>
    <row r="10" spans="1:3" x14ac:dyDescent="0.3">
      <c r="A10" t="s">
        <v>72</v>
      </c>
      <c r="B10" s="8">
        <f>Calculation!B18</f>
        <v>381.50501672240807</v>
      </c>
      <c r="C10" t="s">
        <v>21</v>
      </c>
    </row>
    <row r="11" spans="1:3" x14ac:dyDescent="0.3">
      <c r="B11" s="8">
        <f>B10*B3/3600</f>
        <v>9.4444444444444446</v>
      </c>
      <c r="C11" t="s">
        <v>71</v>
      </c>
    </row>
    <row r="12" spans="1:3" x14ac:dyDescent="0.3">
      <c r="A12" t="s">
        <v>25</v>
      </c>
      <c r="B12" s="8">
        <f>Calculation!B19</f>
        <v>69.866220735785944</v>
      </c>
      <c r="C12" t="s">
        <v>21</v>
      </c>
    </row>
    <row r="13" spans="1:3" x14ac:dyDescent="0.3">
      <c r="A13" t="s">
        <v>27</v>
      </c>
      <c r="B13" s="8">
        <f>Calculation!B20</f>
        <v>311.63879598662214</v>
      </c>
      <c r="C13" t="s">
        <v>21</v>
      </c>
    </row>
    <row r="14" spans="1:3" x14ac:dyDescent="0.3">
      <c r="A14" s="16" t="s">
        <v>83</v>
      </c>
      <c r="B14" s="17">
        <v>1</v>
      </c>
    </row>
    <row r="16" spans="1:3" x14ac:dyDescent="0.3">
      <c r="A16" t="s">
        <v>73</v>
      </c>
      <c r="B16" s="8">
        <f>B12*B7*78+B12*C7*92</f>
        <v>5547.3779264214036</v>
      </c>
      <c r="C16" t="s">
        <v>74</v>
      </c>
    </row>
    <row r="17" spans="1:3" x14ac:dyDescent="0.3">
      <c r="B17" s="8">
        <f>B16/3600</f>
        <v>1.5409383128948344</v>
      </c>
      <c r="C17" t="s">
        <v>71</v>
      </c>
    </row>
    <row r="18" spans="1:3" x14ac:dyDescent="0.3">
      <c r="A18" t="s">
        <v>75</v>
      </c>
      <c r="B18" s="8">
        <f>B13*B8*78+B13*C8*92</f>
        <v>28452.622073578601</v>
      </c>
      <c r="C18" t="s">
        <v>74</v>
      </c>
    </row>
    <row r="19" spans="1:3" x14ac:dyDescent="0.3">
      <c r="B19" s="8">
        <f>B18/3600</f>
        <v>7.9035061315496113</v>
      </c>
      <c r="C19" t="s">
        <v>71</v>
      </c>
    </row>
    <row r="20" spans="1:3" x14ac:dyDescent="0.3">
      <c r="A20" t="s">
        <v>41</v>
      </c>
      <c r="B20" s="8">
        <f>Calculation!B84</f>
        <v>2.9262935116185491</v>
      </c>
      <c r="C20" t="s">
        <v>190</v>
      </c>
    </row>
    <row r="21" spans="1:3" x14ac:dyDescent="0.3">
      <c r="A21" t="s">
        <v>82</v>
      </c>
      <c r="B21" s="8">
        <v>1.2270000000000001</v>
      </c>
    </row>
    <row r="22" spans="1:3" x14ac:dyDescent="0.3">
      <c r="A22" s="5" t="s">
        <v>76</v>
      </c>
    </row>
    <row r="23" spans="1:3" x14ac:dyDescent="0.3">
      <c r="A23" t="s">
        <v>79</v>
      </c>
      <c r="B23" s="8">
        <f>B12*(B21*B20+1)*B4*B14/3600</f>
        <v>7.0564270109353915</v>
      </c>
      <c r="C23" t="s">
        <v>71</v>
      </c>
    </row>
    <row r="24" spans="1:3" x14ac:dyDescent="0.3">
      <c r="A24" t="s">
        <v>80</v>
      </c>
      <c r="B24" s="8">
        <f>B12*(B21*B20)*B4*B14/3600</f>
        <v>5.5192673347028682</v>
      </c>
      <c r="C24" t="s">
        <v>71</v>
      </c>
    </row>
    <row r="25" spans="1:3" x14ac:dyDescent="0.3">
      <c r="A25" t="s">
        <v>81</v>
      </c>
      <c r="B25" s="8">
        <f>(B4*273*Calculation!C42)/(22.4*(273+Calculation!B38)*101.325)</f>
        <v>3.4144690168803469</v>
      </c>
      <c r="C25" t="s">
        <v>84</v>
      </c>
    </row>
    <row r="26" spans="1:3" x14ac:dyDescent="0.3">
      <c r="A26" t="s">
        <v>85</v>
      </c>
      <c r="B26" s="8">
        <f>(B12*B4)/(((B12*B7*78)/(Calculation!B28*1000))+(('Design_cal (3)'!C7*'Design_cal (3)'!B12*92)/(Calculation!C28*1000)))</f>
        <v>874.77302336057721</v>
      </c>
      <c r="C26" t="s">
        <v>84</v>
      </c>
    </row>
    <row r="27" spans="1:3" x14ac:dyDescent="0.3">
      <c r="A27" t="s">
        <v>86</v>
      </c>
      <c r="B27" s="8">
        <f>B23/B25</f>
        <v>2.0666249938277503</v>
      </c>
      <c r="C27" t="s">
        <v>88</v>
      </c>
    </row>
    <row r="28" spans="1:3" x14ac:dyDescent="0.3">
      <c r="A28" t="s">
        <v>87</v>
      </c>
      <c r="B28" s="8">
        <f>B24/B26</f>
        <v>6.3093707593996672E-3</v>
      </c>
      <c r="C28" t="s">
        <v>88</v>
      </c>
    </row>
    <row r="29" spans="1:3" x14ac:dyDescent="0.3">
      <c r="B29">
        <f>B28*3600</f>
        <v>22.713734733838802</v>
      </c>
      <c r="C29" t="s">
        <v>227</v>
      </c>
    </row>
    <row r="31" spans="1:3" x14ac:dyDescent="0.3">
      <c r="A31" s="5" t="s">
        <v>89</v>
      </c>
    </row>
    <row r="32" spans="1:3" x14ac:dyDescent="0.3">
      <c r="A32" t="s">
        <v>90</v>
      </c>
      <c r="B32" s="8">
        <f>(B24/B23)*SQRT(B25/B26)</f>
        <v>4.886641443911887E-2</v>
      </c>
    </row>
    <row r="33" spans="1:5" x14ac:dyDescent="0.3">
      <c r="A33" t="s">
        <v>98</v>
      </c>
      <c r="B33" s="8">
        <f>LN(B32)</f>
        <v>-3.0186649397570151</v>
      </c>
    </row>
    <row r="36" spans="1:5" x14ac:dyDescent="0.3">
      <c r="A36" s="8" t="s">
        <v>95</v>
      </c>
      <c r="B36" s="8" t="s">
        <v>91</v>
      </c>
      <c r="C36" s="8" t="s">
        <v>92</v>
      </c>
      <c r="D36" s="8" t="s">
        <v>93</v>
      </c>
      <c r="E36" s="8" t="s">
        <v>94</v>
      </c>
    </row>
    <row r="37" spans="1:5" x14ac:dyDescent="0.3">
      <c r="A37" s="8">
        <v>300</v>
      </c>
      <c r="B37" s="8">
        <v>-1.5699999999999999E-2</v>
      </c>
      <c r="C37" s="8">
        <v>-0.18629999999999999</v>
      </c>
      <c r="D37" s="8">
        <v>-0.77129999999999999</v>
      </c>
      <c r="E37" s="8">
        <v>-2.7707999999999999</v>
      </c>
    </row>
    <row r="38" spans="1:5" x14ac:dyDescent="0.3">
      <c r="A38" s="8">
        <v>450</v>
      </c>
      <c r="B38" s="8">
        <v>-1.78E-2</v>
      </c>
      <c r="C38" s="8">
        <v>-0.20269999999999999</v>
      </c>
      <c r="D38" s="8">
        <v>-0.81610000000000005</v>
      </c>
      <c r="E38" s="8">
        <v>-2.5493000000000001</v>
      </c>
    </row>
    <row r="39" spans="1:5" x14ac:dyDescent="0.3">
      <c r="A39" s="8">
        <v>600</v>
      </c>
      <c r="B39" s="8">
        <v>-1.72E-2</v>
      </c>
      <c r="C39" s="8">
        <v>-0.20710000000000001</v>
      </c>
      <c r="D39" s="8">
        <v>-0.8609</v>
      </c>
      <c r="E39" s="8">
        <v>-2.3289</v>
      </c>
    </row>
    <row r="40" spans="1:5" x14ac:dyDescent="0.3">
      <c r="A40" s="8">
        <v>900</v>
      </c>
      <c r="B40" s="8">
        <v>-1.8200000000000001E-2</v>
      </c>
      <c r="C40" s="8">
        <v>-0.21560000000000001</v>
      </c>
      <c r="D40" s="8">
        <v>-0.89510000000000001</v>
      </c>
      <c r="E40" s="8">
        <v>-2.1038000000000001</v>
      </c>
    </row>
    <row r="42" spans="1:5" x14ac:dyDescent="0.3">
      <c r="A42" t="s">
        <v>97</v>
      </c>
      <c r="B42" s="8">
        <v>600</v>
      </c>
      <c r="C42" t="s">
        <v>96</v>
      </c>
    </row>
    <row r="45" spans="1:5" x14ac:dyDescent="0.3">
      <c r="A45" t="s">
        <v>99</v>
      </c>
      <c r="B45" s="8">
        <f>INDEX(TS_array,MATCH(B42,Tray_space,0),1)*(B33^3)+INDEX(TS_array,MATCH(B42,Tray_space,0),2)*(B33^2)+INDEX(TS_array,MATCH(B42,Tray_space,0),3)*B33+INDEX(TS_array,MATCH(B42,Tray_space,0),4)-1.188</f>
        <v>-2.3321745179119961</v>
      </c>
    </row>
    <row r="46" spans="1:5" x14ac:dyDescent="0.3">
      <c r="A46" t="s">
        <v>100</v>
      </c>
      <c r="B46" s="8">
        <f>EXP(B45)</f>
        <v>9.7084405610918773E-2</v>
      </c>
    </row>
    <row r="47" spans="1:5" x14ac:dyDescent="0.3">
      <c r="A47" s="5" t="s">
        <v>102</v>
      </c>
    </row>
    <row r="48" spans="1:5" x14ac:dyDescent="0.3">
      <c r="A48" t="s">
        <v>101</v>
      </c>
      <c r="B48" s="8">
        <v>0.8</v>
      </c>
    </row>
    <row r="49" spans="1:5" x14ac:dyDescent="0.3">
      <c r="A49" t="s">
        <v>103</v>
      </c>
      <c r="B49" s="8">
        <v>20</v>
      </c>
      <c r="C49" t="s">
        <v>104</v>
      </c>
    </row>
    <row r="56" spans="1:5" x14ac:dyDescent="0.3">
      <c r="A56" t="s">
        <v>105</v>
      </c>
      <c r="B56" s="8">
        <f>B48*((B49/20)^0.2)*B46*SQRT((B26-B25)/B25)</f>
        <v>1.2407272607268551</v>
      </c>
      <c r="C56" t="s">
        <v>106</v>
      </c>
    </row>
    <row r="57" spans="1:5" x14ac:dyDescent="0.3">
      <c r="A57" s="12" t="s">
        <v>109</v>
      </c>
    </row>
    <row r="58" spans="1:5" x14ac:dyDescent="0.3">
      <c r="A58" t="s">
        <v>107</v>
      </c>
      <c r="B58" s="8">
        <f>12%</f>
        <v>0.12</v>
      </c>
      <c r="C58" t="s">
        <v>108</v>
      </c>
    </row>
    <row r="62" spans="1:5" x14ac:dyDescent="0.3">
      <c r="A62" t="s">
        <v>110</v>
      </c>
      <c r="B62" s="8">
        <f>ROUND(((4*B23)/(B25*PI()*(1-B58)*B56))^0.5,2)</f>
        <v>1.55</v>
      </c>
      <c r="C62" t="s">
        <v>111</v>
      </c>
    </row>
    <row r="63" spans="1:5" x14ac:dyDescent="0.3">
      <c r="B63" s="8">
        <f>B62*1000</f>
        <v>1550</v>
      </c>
      <c r="C63" t="s">
        <v>96</v>
      </c>
    </row>
    <row r="64" spans="1:5" x14ac:dyDescent="0.3">
      <c r="A64" s="7" t="s">
        <v>112</v>
      </c>
      <c r="B64" s="8"/>
      <c r="C64" s="8"/>
      <c r="D64" s="8"/>
      <c r="E64" s="8"/>
    </row>
    <row r="65" spans="1:5" x14ac:dyDescent="0.3">
      <c r="A65" s="9" t="s">
        <v>113</v>
      </c>
      <c r="B65" s="9">
        <v>450</v>
      </c>
      <c r="C65" s="10">
        <v>1000</v>
      </c>
      <c r="D65" s="10">
        <v>3000</v>
      </c>
      <c r="E65" s="9">
        <v>5000</v>
      </c>
    </row>
    <row r="66" spans="1:5" x14ac:dyDescent="0.3">
      <c r="A66" s="9" t="s">
        <v>114</v>
      </c>
      <c r="B66" s="9">
        <v>50</v>
      </c>
      <c r="C66" s="9">
        <v>100</v>
      </c>
      <c r="D66" s="9">
        <v>200</v>
      </c>
      <c r="E66" s="9">
        <v>300</v>
      </c>
    </row>
    <row r="67" spans="1:5" x14ac:dyDescent="0.3">
      <c r="A67" t="s">
        <v>115</v>
      </c>
      <c r="B67" s="8">
        <f>ROUND(B63+HLOOKUP(B63,B65:E66,2),0)+50</f>
        <v>1700</v>
      </c>
      <c r="C67" t="s">
        <v>96</v>
      </c>
      <c r="D67" s="8">
        <f>39.3701*B67*10^-3</f>
        <v>66.929169999999999</v>
      </c>
      <c r="E67" t="s">
        <v>159</v>
      </c>
    </row>
    <row r="68" spans="1:5" x14ac:dyDescent="0.3">
      <c r="A68" t="s">
        <v>116</v>
      </c>
      <c r="B68" s="8">
        <f>ROUND(PI()*(B67/1000)^2/4,2)</f>
        <v>2.27</v>
      </c>
      <c r="C68" t="s">
        <v>117</v>
      </c>
    </row>
    <row r="70" spans="1:5" x14ac:dyDescent="0.3">
      <c r="A70" s="5" t="s">
        <v>221</v>
      </c>
    </row>
    <row r="71" spans="1:5" x14ac:dyDescent="0.3">
      <c r="A71" s="5" t="s">
        <v>345</v>
      </c>
    </row>
    <row r="72" spans="1:5" x14ac:dyDescent="0.3">
      <c r="A72" t="s">
        <v>120</v>
      </c>
      <c r="B72" s="8">
        <v>11</v>
      </c>
    </row>
    <row r="73" spans="1:5" x14ac:dyDescent="0.3">
      <c r="A73" t="s">
        <v>121</v>
      </c>
      <c r="B73" s="8">
        <v>5</v>
      </c>
    </row>
    <row r="74" spans="1:5" x14ac:dyDescent="0.3">
      <c r="A74" t="s">
        <v>122</v>
      </c>
      <c r="B74" s="8">
        <v>1</v>
      </c>
    </row>
    <row r="76" spans="1:5" x14ac:dyDescent="0.3">
      <c r="A76" t="s">
        <v>123</v>
      </c>
      <c r="B76" s="8">
        <f>(B72+B73-2)*B42</f>
        <v>8400</v>
      </c>
      <c r="C76" t="s">
        <v>96</v>
      </c>
    </row>
    <row r="77" spans="1:5" x14ac:dyDescent="0.3">
      <c r="A77" t="s">
        <v>124</v>
      </c>
      <c r="B77" s="8">
        <f>1.5*B42</f>
        <v>900</v>
      </c>
      <c r="C77" t="s">
        <v>96</v>
      </c>
    </row>
    <row r="78" spans="1:5" x14ac:dyDescent="0.3">
      <c r="A78" s="12" t="s">
        <v>125</v>
      </c>
    </row>
    <row r="79" spans="1:5" x14ac:dyDescent="0.3">
      <c r="A79" t="s">
        <v>126</v>
      </c>
      <c r="B79" s="8">
        <f>B42+150</f>
        <v>750</v>
      </c>
      <c r="C79" t="s">
        <v>96</v>
      </c>
    </row>
    <row r="80" spans="1:5" x14ac:dyDescent="0.3">
      <c r="A80" s="11" t="s">
        <v>127</v>
      </c>
    </row>
    <row r="81" spans="1:3" x14ac:dyDescent="0.3">
      <c r="A81" t="s">
        <v>136</v>
      </c>
      <c r="B81" s="8">
        <f>1200*2</f>
        <v>2400</v>
      </c>
      <c r="C81" t="s">
        <v>96</v>
      </c>
    </row>
    <row r="82" spans="1:3" ht="24.6" x14ac:dyDescent="0.3">
      <c r="A82" s="20" t="s">
        <v>128</v>
      </c>
      <c r="B82" s="21"/>
      <c r="C82" s="21"/>
    </row>
    <row r="83" spans="1:3" x14ac:dyDescent="0.3">
      <c r="A83" t="s">
        <v>129</v>
      </c>
      <c r="B83" s="8">
        <f>2*B42</f>
        <v>1200</v>
      </c>
      <c r="C83" t="s">
        <v>96</v>
      </c>
    </row>
    <row r="84" spans="1:3" x14ac:dyDescent="0.3">
      <c r="A84" t="s">
        <v>130</v>
      </c>
      <c r="B84" s="8">
        <f>ROUND((B76+B77+B79+B81+B83)/1000,1)*1000</f>
        <v>13700</v>
      </c>
      <c r="C84" t="s">
        <v>96</v>
      </c>
    </row>
    <row r="85" spans="1:3" x14ac:dyDescent="0.3">
      <c r="B85" s="8">
        <f>(B84)*10^-3</f>
        <v>13.700000000000001</v>
      </c>
      <c r="C85" t="s">
        <v>111</v>
      </c>
    </row>
    <row r="87" spans="1:3" x14ac:dyDescent="0.3">
      <c r="A87" t="s">
        <v>140</v>
      </c>
      <c r="B87" s="8">
        <f>(1.1*Calculation!B47*('Design_cal (3)'!B67*10^-3))/(2*0.8*(1088.7*101.325)+Calculation!C47)*1000</f>
        <v>1.4803052126763421</v>
      </c>
      <c r="C87" t="s">
        <v>96</v>
      </c>
    </row>
    <row r="88" spans="1:3" x14ac:dyDescent="0.3">
      <c r="A88" s="11" t="s">
        <v>141</v>
      </c>
    </row>
    <row r="89" spans="1:3" x14ac:dyDescent="0.3">
      <c r="A89" t="s">
        <v>142</v>
      </c>
      <c r="B89" s="8">
        <f>5</f>
        <v>5</v>
      </c>
      <c r="C89" t="s">
        <v>96</v>
      </c>
    </row>
    <row r="90" spans="1:3" x14ac:dyDescent="0.3">
      <c r="A90" t="s">
        <v>143</v>
      </c>
      <c r="B90" s="8">
        <v>70</v>
      </c>
      <c r="C90" t="s">
        <v>144</v>
      </c>
    </row>
    <row r="91" spans="1:3" x14ac:dyDescent="0.3">
      <c r="A91" t="s">
        <v>145</v>
      </c>
      <c r="B91" s="8">
        <f>7.84*10^3</f>
        <v>7840</v>
      </c>
      <c r="C91" t="s">
        <v>84</v>
      </c>
    </row>
    <row r="92" spans="1:3" x14ac:dyDescent="0.3">
      <c r="A92" t="s">
        <v>146</v>
      </c>
      <c r="B92" s="8">
        <f>PI()*(B67*10^-3)*($B$89*10^-3)*$B$90*$B$91*B85</f>
        <v>200772.14932337965</v>
      </c>
      <c r="C92" t="s">
        <v>147</v>
      </c>
    </row>
    <row r="94" spans="1:3" x14ac:dyDescent="0.3">
      <c r="A94" s="8" t="s">
        <v>195</v>
      </c>
      <c r="B94" s="8" t="s">
        <v>196</v>
      </c>
    </row>
    <row r="95" spans="1:3" x14ac:dyDescent="0.3">
      <c r="A95" s="8">
        <v>60</v>
      </c>
      <c r="B95" s="8">
        <f>55*10^3</f>
        <v>55000</v>
      </c>
    </row>
    <row r="96" spans="1:3" x14ac:dyDescent="0.3">
      <c r="A96" s="8">
        <v>70</v>
      </c>
      <c r="B96" s="8">
        <f>65*10^3</f>
        <v>65000</v>
      </c>
    </row>
    <row r="97" spans="1:3" x14ac:dyDescent="0.3">
      <c r="A97" s="8">
        <v>80</v>
      </c>
      <c r="B97" s="8">
        <f>85*10^3</f>
        <v>85000</v>
      </c>
    </row>
    <row r="98" spans="1:3" x14ac:dyDescent="0.3">
      <c r="A98" s="8">
        <v>90</v>
      </c>
      <c r="B98" s="8">
        <f>110*10^3</f>
        <v>110000</v>
      </c>
    </row>
    <row r="99" spans="1:3" x14ac:dyDescent="0.3">
      <c r="A99" s="8">
        <v>100</v>
      </c>
      <c r="B99" s="8">
        <f>120*10^3</f>
        <v>120000</v>
      </c>
    </row>
    <row r="102" spans="1:3" x14ac:dyDescent="0.3">
      <c r="A102" t="s">
        <v>148</v>
      </c>
      <c r="B102" s="8">
        <f>_xlfn.FORECAST.LINEAR(D67,$B$95:$B$99,$A$95:$A$99)*(B72+B73+B74)</f>
        <v>1090142.8075000001</v>
      </c>
      <c r="C102" t="s">
        <v>147</v>
      </c>
    </row>
    <row r="103" spans="1:3" x14ac:dyDescent="0.3">
      <c r="A103" t="s">
        <v>149</v>
      </c>
      <c r="B103" s="8">
        <f>B102+B92</f>
        <v>1290914.9568233797</v>
      </c>
      <c r="C103" t="s">
        <v>147</v>
      </c>
    </row>
    <row r="104" spans="1:3" x14ac:dyDescent="0.3">
      <c r="A104" s="5" t="s">
        <v>223</v>
      </c>
    </row>
    <row r="105" spans="1:3" x14ac:dyDescent="0.3">
      <c r="B105" s="8" t="s">
        <v>4</v>
      </c>
      <c r="C105" s="8" t="s">
        <v>5</v>
      </c>
    </row>
    <row r="106" spans="1:3" x14ac:dyDescent="0.3">
      <c r="A106" s="8" t="s">
        <v>132</v>
      </c>
      <c r="B106" s="8">
        <v>134.80000000000001</v>
      </c>
      <c r="C106" s="8">
        <v>155.96</v>
      </c>
    </row>
    <row r="107" spans="1:3" x14ac:dyDescent="0.3">
      <c r="A107" s="8" t="s">
        <v>133</v>
      </c>
      <c r="B107" s="8">
        <v>82.44</v>
      </c>
      <c r="C107" s="8">
        <v>103.7</v>
      </c>
    </row>
    <row r="108" spans="1:3" x14ac:dyDescent="0.3">
      <c r="A108" s="8" t="s">
        <v>134</v>
      </c>
      <c r="B108" s="8">
        <v>30.77</v>
      </c>
      <c r="C108" s="8">
        <v>38.06</v>
      </c>
    </row>
    <row r="110" spans="1:3" x14ac:dyDescent="0.3">
      <c r="A110" t="s">
        <v>138</v>
      </c>
      <c r="B110" s="8">
        <f>B106*$B$7+$C$7*C106</f>
        <v>136.916</v>
      </c>
      <c r="C110" t="s">
        <v>135</v>
      </c>
    </row>
    <row r="111" spans="1:3" x14ac:dyDescent="0.3">
      <c r="A111" t="s">
        <v>139</v>
      </c>
      <c r="B111" s="8">
        <f>B107*$B$7+$C$7*C107</f>
        <v>84.566000000000003</v>
      </c>
      <c r="C111" t="s">
        <v>135</v>
      </c>
    </row>
    <row r="112" spans="1:3" x14ac:dyDescent="0.3">
      <c r="A112" t="s">
        <v>150</v>
      </c>
      <c r="B112" s="8">
        <f>B108*B7+C108*C7</f>
        <v>31.499000000000002</v>
      </c>
      <c r="C112" t="s">
        <v>151</v>
      </c>
    </row>
    <row r="113" spans="1:4" x14ac:dyDescent="0.3">
      <c r="A113" t="s">
        <v>163</v>
      </c>
      <c r="B113" s="8">
        <f>(((B21*$B$20+1)*$B$12)*(($B$111*(Calculation!B37-Calculation!B38))-B112))</f>
        <v>-243774.77423985346</v>
      </c>
      <c r="C113" t="s">
        <v>164</v>
      </c>
    </row>
    <row r="114" spans="1:4" x14ac:dyDescent="0.3">
      <c r="A114" t="s">
        <v>165</v>
      </c>
      <c r="B114" s="8">
        <f>((B21*$B$20)*$B$12)*$B$110*(Calculation!B37-Calculation!B38)</f>
        <v>-295911.69622436463</v>
      </c>
      <c r="C114" t="s">
        <v>164</v>
      </c>
    </row>
    <row r="115" spans="1:4" x14ac:dyDescent="0.3">
      <c r="A115" t="s">
        <v>166</v>
      </c>
      <c r="B115" s="8">
        <f>-(B113+B114)</f>
        <v>539686.47046421806</v>
      </c>
      <c r="C115" t="s">
        <v>164</v>
      </c>
    </row>
    <row r="117" spans="1:4" x14ac:dyDescent="0.3">
      <c r="A117" t="s">
        <v>160</v>
      </c>
      <c r="B117" s="8">
        <v>65</v>
      </c>
      <c r="C117" t="s">
        <v>155</v>
      </c>
    </row>
    <row r="118" spans="1:4" x14ac:dyDescent="0.3">
      <c r="B118" s="8">
        <f>5.6783*B117</f>
        <v>369.08949999999999</v>
      </c>
      <c r="C118" t="s">
        <v>156</v>
      </c>
    </row>
    <row r="119" spans="1:4" x14ac:dyDescent="0.3">
      <c r="A119" t="s">
        <v>157</v>
      </c>
      <c r="B119" s="8">
        <f>((Calculation!B38-50)-(Calculation!B37-30))/LN((Calculation!B38-50)/(Calculation!B37-30))</f>
        <v>46.073543757964693</v>
      </c>
    </row>
    <row r="120" spans="1:4" x14ac:dyDescent="0.3">
      <c r="A120" t="s">
        <v>153</v>
      </c>
      <c r="B120" s="8">
        <f>B115/(B119*B118)</f>
        <v>31.736441046165947</v>
      </c>
      <c r="C120" t="s">
        <v>117</v>
      </c>
    </row>
    <row r="121" spans="1:4" x14ac:dyDescent="0.3">
      <c r="B121" s="8">
        <f>B120*10.7639</f>
        <v>341.6078777768256</v>
      </c>
      <c r="C121" t="s">
        <v>158</v>
      </c>
    </row>
    <row r="126" spans="1:4" x14ac:dyDescent="0.3">
      <c r="A126" t="s">
        <v>167</v>
      </c>
      <c r="B126" t="s">
        <v>4</v>
      </c>
      <c r="C126" t="s">
        <v>5</v>
      </c>
    </row>
    <row r="127" spans="1:4" x14ac:dyDescent="0.3">
      <c r="B127" s="8">
        <f>19795.54791*4.18</f>
        <v>82745.3902638</v>
      </c>
      <c r="C127" s="8">
        <f>11982.8986*4.18</f>
        <v>50088.516147999995</v>
      </c>
      <c r="D127" t="s">
        <v>168</v>
      </c>
    </row>
    <row r="128" spans="1:4" x14ac:dyDescent="0.3">
      <c r="A128" t="s">
        <v>170</v>
      </c>
      <c r="B128" s="8">
        <f>B127*Calculation!B9+(1-Calculation!B9)*'Design_cal (3)'!C127</f>
        <v>56804.833030236063</v>
      </c>
      <c r="C128" t="s">
        <v>169</v>
      </c>
    </row>
    <row r="130" spans="1:3" x14ac:dyDescent="0.3">
      <c r="A130" t="s">
        <v>171</v>
      </c>
      <c r="B130" s="8">
        <f>$B$127*B7+C7*$C$127</f>
        <v>79479.702852220013</v>
      </c>
      <c r="C130" t="s">
        <v>169</v>
      </c>
    </row>
    <row r="131" spans="1:3" x14ac:dyDescent="0.3">
      <c r="A131" t="s">
        <v>172</v>
      </c>
      <c r="B131" s="8">
        <f>$B$127*B8+C8*$C$127</f>
        <v>51721.359853789996</v>
      </c>
      <c r="C131" t="s">
        <v>169</v>
      </c>
    </row>
    <row r="133" spans="1:3" x14ac:dyDescent="0.3">
      <c r="A133" t="s">
        <v>173</v>
      </c>
      <c r="B133" s="8">
        <f>B115-B128*B11+($B$12*$B$4/3600)*B130+($B$13*$B$5/3600)*B131</f>
        <v>533619.80376915389</v>
      </c>
      <c r="C133" t="s">
        <v>164</v>
      </c>
    </row>
    <row r="134" spans="1:3" x14ac:dyDescent="0.3">
      <c r="A134" t="s">
        <v>175</v>
      </c>
      <c r="B134" s="8">
        <f>((Calculation!B46-115)-(Calculation!B46+8-115))/LN((Calculation!B46-115)/(Calculation!B46+8-115))</f>
        <v>8.4002739524991199</v>
      </c>
    </row>
    <row r="135" spans="1:3" x14ac:dyDescent="0.3">
      <c r="A135" t="s">
        <v>154</v>
      </c>
      <c r="B135" s="8">
        <f>(285+850)/2</f>
        <v>567.5</v>
      </c>
      <c r="C135" t="s">
        <v>156</v>
      </c>
    </row>
    <row r="136" spans="1:3" x14ac:dyDescent="0.3">
      <c r="A136" t="s">
        <v>222</v>
      </c>
      <c r="B136" s="8">
        <f>B133/(B134*B135)</f>
        <v>111.93673194555704</v>
      </c>
      <c r="C136" t="s">
        <v>117</v>
      </c>
    </row>
    <row r="137" spans="1:3" x14ac:dyDescent="0.3">
      <c r="B137" s="8">
        <f>B136*10.7639</f>
        <v>1204.8757889887813</v>
      </c>
      <c r="C137" t="s">
        <v>158</v>
      </c>
    </row>
    <row r="138" spans="1:3" x14ac:dyDescent="0.3">
      <c r="A138" t="s">
        <v>177</v>
      </c>
    </row>
    <row r="139" spans="1:3" x14ac:dyDescent="0.3">
      <c r="A139" s="8" t="s">
        <v>178</v>
      </c>
      <c r="B139" s="8" t="s">
        <v>179</v>
      </c>
    </row>
    <row r="140" spans="1:3" x14ac:dyDescent="0.3">
      <c r="A140" s="8">
        <v>0</v>
      </c>
      <c r="B140" s="8">
        <v>0</v>
      </c>
    </row>
    <row r="141" spans="1:3" x14ac:dyDescent="0.3">
      <c r="A141" s="8">
        <v>1000</v>
      </c>
      <c r="B141" s="8">
        <f>780*10^3</f>
        <v>780000</v>
      </c>
    </row>
    <row r="142" spans="1:3" x14ac:dyDescent="0.3">
      <c r="A142" s="8">
        <v>1200</v>
      </c>
      <c r="B142" s="8">
        <f>950*10^3</f>
        <v>950000</v>
      </c>
    </row>
    <row r="143" spans="1:3" x14ac:dyDescent="0.3">
      <c r="A143" s="8">
        <v>1400</v>
      </c>
      <c r="B143" s="8">
        <f>1220*10^3</f>
        <v>1220000</v>
      </c>
    </row>
    <row r="144" spans="1:3" x14ac:dyDescent="0.3">
      <c r="A144" s="8">
        <v>1600</v>
      </c>
      <c r="B144" s="8">
        <f>1450*10^3</f>
        <v>1450000</v>
      </c>
    </row>
    <row r="146" spans="1:3" x14ac:dyDescent="0.3">
      <c r="A146" t="s">
        <v>180</v>
      </c>
      <c r="B146" s="8">
        <f>_xlfn.FORECAST.LINEAR(B121,B140:B144,A140:A144)</f>
        <v>262606.96411714226</v>
      </c>
      <c r="C146" t="s">
        <v>181</v>
      </c>
    </row>
    <row r="153" spans="1:3" x14ac:dyDescent="0.3">
      <c r="A153" t="s">
        <v>184</v>
      </c>
    </row>
    <row r="154" spans="1:3" x14ac:dyDescent="0.3">
      <c r="A154" s="8" t="s">
        <v>178</v>
      </c>
      <c r="B154" s="8" t="s">
        <v>179</v>
      </c>
    </row>
    <row r="155" spans="1:3" x14ac:dyDescent="0.3">
      <c r="A155" s="8">
        <v>0</v>
      </c>
      <c r="B155" s="8">
        <v>0</v>
      </c>
    </row>
    <row r="156" spans="1:3" x14ac:dyDescent="0.3">
      <c r="A156" s="8">
        <v>1000</v>
      </c>
      <c r="B156" s="8">
        <f>400*10^3</f>
        <v>400000</v>
      </c>
    </row>
    <row r="157" spans="1:3" x14ac:dyDescent="0.3">
      <c r="A157" s="8">
        <v>1400</v>
      </c>
      <c r="B157" s="8">
        <f>500*10^3</f>
        <v>500000</v>
      </c>
    </row>
    <row r="158" spans="1:3" x14ac:dyDescent="0.3">
      <c r="A158" s="8">
        <v>1800</v>
      </c>
      <c r="B158" s="8">
        <f>620*10^3</f>
        <v>620000</v>
      </c>
    </row>
    <row r="159" spans="1:3" x14ac:dyDescent="0.3">
      <c r="A159" s="8">
        <v>2200</v>
      </c>
      <c r="B159" s="8">
        <f>800*10^3</f>
        <v>800000</v>
      </c>
    </row>
    <row r="160" spans="1:3" x14ac:dyDescent="0.3">
      <c r="A160" s="8">
        <v>2600</v>
      </c>
      <c r="B160" s="8">
        <f>1000*10^3</f>
        <v>1000000</v>
      </c>
    </row>
    <row r="162" spans="1:3" x14ac:dyDescent="0.3">
      <c r="A162" t="s">
        <v>183</v>
      </c>
      <c r="B162" s="8">
        <f>_xlfn.FORECAST.LINEAR(B137,$B$155:$B$160,$A$155:$A$160)</f>
        <v>443794.20757196011</v>
      </c>
      <c r="C162" t="s">
        <v>181</v>
      </c>
    </row>
    <row r="165" spans="1:3" x14ac:dyDescent="0.3">
      <c r="A165" t="s">
        <v>182</v>
      </c>
      <c r="B165" s="8">
        <f>1.2*2*(B162+B146+B103)</f>
        <v>4793558.7084299568</v>
      </c>
      <c r="C165" t="s">
        <v>147</v>
      </c>
    </row>
    <row r="167" spans="1:3" x14ac:dyDescent="0.3">
      <c r="A167" t="s">
        <v>185</v>
      </c>
      <c r="B167" s="8">
        <f>20%</f>
        <v>0.2</v>
      </c>
    </row>
    <row r="168" spans="1:3" x14ac:dyDescent="0.3">
      <c r="A168" t="s">
        <v>186</v>
      </c>
      <c r="B168" s="8">
        <f>B165*B167</f>
        <v>958711.74168599141</v>
      </c>
      <c r="C168" t="s">
        <v>194</v>
      </c>
    </row>
    <row r="170" spans="1:3" x14ac:dyDescent="0.3">
      <c r="A170" s="5" t="s">
        <v>187</v>
      </c>
    </row>
    <row r="172" spans="1:3" x14ac:dyDescent="0.3">
      <c r="A172" t="s">
        <v>188</v>
      </c>
      <c r="B172" s="8">
        <f>B133/(2700*10^3)</f>
        <v>0.1976369643589459</v>
      </c>
      <c r="C172" t="s">
        <v>189</v>
      </c>
    </row>
    <row r="173" spans="1:3" x14ac:dyDescent="0.3">
      <c r="A173" t="s">
        <v>191</v>
      </c>
      <c r="B173" s="8">
        <v>0.2</v>
      </c>
      <c r="C173" t="s">
        <v>192</v>
      </c>
    </row>
    <row r="174" spans="1:3" x14ac:dyDescent="0.3">
      <c r="A174" t="s">
        <v>193</v>
      </c>
      <c r="B174" s="8">
        <f>B173*B172*60*60*8000</f>
        <v>1138388.9147075287</v>
      </c>
      <c r="C174" t="s">
        <v>194</v>
      </c>
    </row>
    <row r="176" spans="1:3" x14ac:dyDescent="0.3">
      <c r="A176" t="s">
        <v>226</v>
      </c>
      <c r="B176" s="8">
        <f>B168+B174</f>
        <v>2097100.6563935201</v>
      </c>
      <c r="C176" t="s">
        <v>194</v>
      </c>
    </row>
    <row r="244" spans="2:23" ht="57.6" x14ac:dyDescent="0.3">
      <c r="B244" s="24" t="s">
        <v>66</v>
      </c>
      <c r="C244" s="24" t="s">
        <v>355</v>
      </c>
      <c r="D244" s="24" t="s">
        <v>356</v>
      </c>
      <c r="E244" s="24" t="s">
        <v>357</v>
      </c>
      <c r="F244" s="24" t="s">
        <v>358</v>
      </c>
      <c r="G244" s="24" t="s">
        <v>359</v>
      </c>
      <c r="H244" s="22" t="s">
        <v>360</v>
      </c>
      <c r="I244" s="22" t="s">
        <v>90</v>
      </c>
      <c r="J244" s="22" t="s">
        <v>100</v>
      </c>
      <c r="K244" s="22" t="s">
        <v>105</v>
      </c>
      <c r="L244" s="22" t="s">
        <v>137</v>
      </c>
      <c r="M244" s="23" t="s">
        <v>162</v>
      </c>
      <c r="N244" s="23" t="s">
        <v>201</v>
      </c>
      <c r="O244" s="23" t="s">
        <v>217</v>
      </c>
      <c r="P244" s="23" t="s">
        <v>218</v>
      </c>
      <c r="Q244" s="23" t="s">
        <v>199</v>
      </c>
      <c r="R244" s="23" t="s">
        <v>200</v>
      </c>
      <c r="S244" s="23" t="s">
        <v>202</v>
      </c>
      <c r="T244" s="23" t="s">
        <v>203</v>
      </c>
      <c r="U244" s="23" t="s">
        <v>206</v>
      </c>
      <c r="V244" s="23" t="s">
        <v>205</v>
      </c>
      <c r="W244" s="23" t="s">
        <v>204</v>
      </c>
    </row>
    <row r="245" spans="2:23" x14ac:dyDescent="0.3">
      <c r="B245" s="25">
        <v>1.05</v>
      </c>
      <c r="C245">
        <v>9</v>
      </c>
      <c r="D245">
        <v>10</v>
      </c>
      <c r="E245">
        <v>20</v>
      </c>
      <c r="F245">
        <v>13</v>
      </c>
      <c r="G245">
        <v>14</v>
      </c>
      <c r="H245">
        <v>28</v>
      </c>
      <c r="I245" s="8">
        <f>(($B$12*(B245*$B$20)*$B$4*$B$14/3600)/($B$12*(B245*$B$20+1)*$B$4*$B$14/3600))*SQRT($B$25/$B$26)</f>
        <v>4.7135536081823325E-2</v>
      </c>
      <c r="J245" s="8">
        <f>EXP(INDEX(TS_array,MATCH($B$42,Tray_space,0),1)*((LN(I245))^3)+INDEX(TS_array,MATCH($B$42,Tray_space,0),2)*((LN(I245))^2)+INDEX(TS_array,MATCH($B$42,Tray_space,0),3)*(LN(I245))+INDEX(TS_array,MATCH($B$42,Tray_space,0),4)-1.188)</f>
        <v>9.7361169786472024E-2</v>
      </c>
      <c r="K245" s="8">
        <f>$B$48*(($B$49/20)^0.2)*J245*SQRT(($B$26-$B$25)/$B$25)</f>
        <v>1.2442642742692533</v>
      </c>
      <c r="L245" s="8">
        <f>10^-3*ROUND(ROUND(((4*($B$12*(B245*$B$20+1)*$B$4*$B$14/3600))/($B$25*PI()*(1-$B$58)*K245))^0.5,2)*1000+HLOOKUP(ROUND(((4*($B$12*(B245*$B$20+1)*$B$4*$B$14/3600))/($B$25*PI()*(1-$B$58)*K245))^0.5,2)*1000,$B$65:$E$66,2),0)</f>
        <v>1.56</v>
      </c>
      <c r="M245">
        <f>ROUND((((H245-ROUND(H245/10,0)-1)*$B$42)+1.5*$B$42+$B$79+ROUND(H245/10,0)*1200+2*$B$42)*10^-3,1)</f>
        <v>20.9</v>
      </c>
      <c r="N245">
        <f>(PI()*(L245)*($B$89*10^-3)*$B$90*$B$91*M245)+(_xlfn.FORECAST.LINEAR(39.3701*L245,$B$95:$B$99,$A$95:$A$99))*H245</f>
        <v>1806514.2119922487</v>
      </c>
      <c r="O245">
        <f t="shared" ref="O245:O264" si="0">$B$115*($B$20*B245+1)/($B$20*$B$21+1)</f>
        <v>478793.54895934404</v>
      </c>
      <c r="P245">
        <f>O245+($B$133-$B$115)</f>
        <v>472726.88226427988</v>
      </c>
      <c r="Q245">
        <f>(O245/($B$119*$B$118))*10.7639</f>
        <v>303.06419950188541</v>
      </c>
      <c r="R245">
        <f>_xlfn.FORECAST.LINEAR(Q245,$B$140:$B$144,$A$140:$A$144)</f>
        <v>228533.55780707911</v>
      </c>
      <c r="S245">
        <f>(P245/($B$135*$B$134))*10.7639</f>
        <v>1067.3838774746494</v>
      </c>
      <c r="T245">
        <f t="shared" ref="T245:T264" si="1">_xlfn.FORECAST.LINEAR(S245,$B$155:$B$160,$A$155:$A$160)</f>
        <v>392762.3259960172</v>
      </c>
      <c r="U245">
        <f>ROUND((2*1.2*(T245+R245+N245)*$B$167)*10^-6,4)</f>
        <v>1.1653</v>
      </c>
      <c r="V245">
        <f t="shared" ref="V245:V264" si="2">ROUND(($B$173*(P245/(2700*10^3))*60*60*8000)*10^-6,4)</f>
        <v>1.0085</v>
      </c>
      <c r="W245">
        <f>(V245+U245)</f>
        <v>2.1738</v>
      </c>
    </row>
    <row r="246" spans="2:23" x14ac:dyDescent="0.3">
      <c r="B246" s="25">
        <v>1.1000000000000001</v>
      </c>
      <c r="C246">
        <v>8</v>
      </c>
      <c r="D246">
        <v>8</v>
      </c>
      <c r="E246">
        <v>17</v>
      </c>
      <c r="F246">
        <v>12</v>
      </c>
      <c r="G246">
        <v>11</v>
      </c>
      <c r="H246">
        <v>24</v>
      </c>
      <c r="I246" s="8">
        <f t="shared" ref="I246:I264" si="3">(($B$12*(B246*$B$20)*$B$4*$B$14/3600)/($B$12*(B246*$B$20+1)*$B$4*$B$14/3600))*SQRT($B$25/$B$26)</f>
        <v>4.7667555606766804E-2</v>
      </c>
      <c r="J246" s="8">
        <f t="shared" ref="J246:J264" si="4">EXP(INDEX(TS_array,MATCH($B$42,Tray_space,0),1)*((LN(I246))^3)+INDEX(TS_array,MATCH($B$42,Tray_space,0),2)*((LN(I246))^2)+INDEX(TS_array,MATCH($B$42,Tray_space,0),3)*(LN(I246))+INDEX(TS_array,MATCH($B$42,Tray_space,0),4)-1.188)</f>
        <v>9.7276312908073551E-2</v>
      </c>
      <c r="K246" s="8">
        <f t="shared" ref="K246:K264" si="5">$B$48*(($B$49/20)^0.2)*J246*SQRT(($B$26-$B$25)/$B$25)</f>
        <v>1.2431798133650882</v>
      </c>
      <c r="L246" s="8">
        <f t="shared" ref="L246:L264" si="6">10^-3*ROUND(ROUND(((4*($B$12*(B246*$B$20+1)*$B$4*$B$14/3600))/($B$25*PI()*(1-$B$58)*K246))^0.5,2)*1000+HLOOKUP(ROUND(((4*($B$12*(B246*$B$20+1)*$B$4*$B$14/3600))/($B$25*PI()*(1-$B$58)*K246))^0.5,2)*1000,$B$65:$E$66,2),0)</f>
        <v>1.59</v>
      </c>
      <c r="M246">
        <f t="shared" ref="M246:M264" si="7">ROUND((((H246-ROUND(H246/10,0)-1)*$B$42)+1.5*$B$42+$B$79+ROUND(H246/10,0)*1200+2*$B$42)*10^-3,1)</f>
        <v>17.899999999999999</v>
      </c>
      <c r="N246">
        <f t="shared" ref="N246:N264" si="8">(PI()*(L246)*($B$89*10^-3)*$B$90*$B$91*M246)+(_xlfn.FORECAST.LINEAR(39.3701*L246,$B$95:$B$99,$A$95:$A$99))*H246</f>
        <v>1602484.1892019201</v>
      </c>
      <c r="O246">
        <f t="shared" si="0"/>
        <v>495994.93921495823</v>
      </c>
      <c r="P246">
        <f t="shared" ref="P246:P264" si="9">O246+($B$133-$B$115)</f>
        <v>489928.27251989406</v>
      </c>
      <c r="Q246">
        <f t="shared" ref="Q246:Q264" si="10">(O246/($B$119*$B$118))*10.7639</f>
        <v>313.95224421232058</v>
      </c>
      <c r="R246">
        <f t="shared" ref="R246:R264" si="11">_xlfn.FORECAST.LINEAR(Q246,$B$140:$B$144,$A$140:$A$144)</f>
        <v>238158.81382687105</v>
      </c>
      <c r="S246">
        <f t="shared" ref="S246:S264" si="12">(P246/($B$135*$B$134))*10.7639</f>
        <v>1106.2234005012403</v>
      </c>
      <c r="T246">
        <f t="shared" si="1"/>
        <v>407178.11175193329</v>
      </c>
      <c r="U246">
        <f t="shared" ref="U246:U264" si="13">ROUND((2*1.2*(T246+R246+N246)*$B$167)*10^-6,4)</f>
        <v>1.079</v>
      </c>
      <c r="V246">
        <f t="shared" si="2"/>
        <v>1.0451999999999999</v>
      </c>
      <c r="W246">
        <f t="shared" ref="W246:W264" si="14">(V246+U246)</f>
        <v>2.1242000000000001</v>
      </c>
    </row>
    <row r="247" spans="2:23" x14ac:dyDescent="0.3">
      <c r="B247" s="25">
        <v>1.1499999999999999</v>
      </c>
      <c r="C247">
        <v>8</v>
      </c>
      <c r="D247">
        <v>7</v>
      </c>
      <c r="E247">
        <v>16</v>
      </c>
      <c r="F247">
        <v>11</v>
      </c>
      <c r="G247">
        <v>10</v>
      </c>
      <c r="H247">
        <v>22</v>
      </c>
      <c r="I247" s="8">
        <f t="shared" si="3"/>
        <v>4.8163910513915394E-2</v>
      </c>
      <c r="J247" s="8">
        <f t="shared" si="4"/>
        <v>9.7196972406760604E-2</v>
      </c>
      <c r="K247" s="8">
        <f t="shared" si="5"/>
        <v>1.242165851109881</v>
      </c>
      <c r="L247" s="8">
        <f t="shared" si="6"/>
        <v>1.61</v>
      </c>
      <c r="M247">
        <f t="shared" si="7"/>
        <v>16.7</v>
      </c>
      <c r="N247">
        <f t="shared" si="8"/>
        <v>1506135.8451018771</v>
      </c>
      <c r="O247">
        <f t="shared" si="0"/>
        <v>513196.32947057224</v>
      </c>
      <c r="P247">
        <f t="shared" si="9"/>
        <v>507129.66277550807</v>
      </c>
      <c r="Q247">
        <f t="shared" si="10"/>
        <v>324.84028892275558</v>
      </c>
      <c r="R247">
        <f t="shared" si="11"/>
        <v>247784.06984666281</v>
      </c>
      <c r="S247">
        <f t="shared" si="12"/>
        <v>1145.0629235278311</v>
      </c>
      <c r="T247">
        <f t="shared" si="1"/>
        <v>421593.89750784932</v>
      </c>
      <c r="U247">
        <f t="shared" si="13"/>
        <v>1.0442</v>
      </c>
      <c r="V247">
        <f t="shared" si="2"/>
        <v>1.0819000000000001</v>
      </c>
      <c r="W247">
        <f t="shared" si="14"/>
        <v>2.1261000000000001</v>
      </c>
    </row>
    <row r="248" spans="2:23" x14ac:dyDescent="0.3">
      <c r="B248" s="25">
        <v>1.2</v>
      </c>
      <c r="C248">
        <v>7</v>
      </c>
      <c r="D248">
        <v>7</v>
      </c>
      <c r="E248">
        <v>15</v>
      </c>
      <c r="F248">
        <v>10</v>
      </c>
      <c r="G248">
        <v>9</v>
      </c>
      <c r="H248">
        <v>20</v>
      </c>
      <c r="I248" s="8">
        <f t="shared" si="3"/>
        <v>4.8628070733396173E-2</v>
      </c>
      <c r="J248" s="8">
        <f t="shared" si="4"/>
        <v>9.7122632276239643E-2</v>
      </c>
      <c r="K248" s="8">
        <f t="shared" si="5"/>
        <v>1.24121579300402</v>
      </c>
      <c r="L248" s="8">
        <f t="shared" si="6"/>
        <v>1.6400000000000001</v>
      </c>
      <c r="M248">
        <f t="shared" si="7"/>
        <v>15.5</v>
      </c>
      <c r="N248">
        <f t="shared" si="8"/>
        <v>1418977.6187376694</v>
      </c>
      <c r="O248">
        <f t="shared" si="0"/>
        <v>530397.71972618648</v>
      </c>
      <c r="P248">
        <f t="shared" si="9"/>
        <v>524331.05303112231</v>
      </c>
      <c r="Q248">
        <f t="shared" si="10"/>
        <v>335.72833363319074</v>
      </c>
      <c r="R248">
        <f t="shared" si="11"/>
        <v>257409.32586645469</v>
      </c>
      <c r="S248">
        <f t="shared" si="12"/>
        <v>1183.9024465544223</v>
      </c>
      <c r="T248">
        <f t="shared" si="1"/>
        <v>436009.68326376547</v>
      </c>
      <c r="U248">
        <f t="shared" si="13"/>
        <v>1.014</v>
      </c>
      <c r="V248">
        <f t="shared" si="2"/>
        <v>1.1186</v>
      </c>
      <c r="W248">
        <f t="shared" si="14"/>
        <v>2.1326000000000001</v>
      </c>
    </row>
    <row r="249" spans="2:23" x14ac:dyDescent="0.3">
      <c r="B249" s="25">
        <v>1.25</v>
      </c>
      <c r="C249">
        <v>7</v>
      </c>
      <c r="D249">
        <v>6</v>
      </c>
      <c r="E249">
        <v>14</v>
      </c>
      <c r="F249">
        <v>10</v>
      </c>
      <c r="G249">
        <v>8</v>
      </c>
      <c r="H249">
        <v>19</v>
      </c>
      <c r="I249" s="8">
        <f t="shared" si="3"/>
        <v>4.9063070200308562E-2</v>
      </c>
      <c r="J249" s="8">
        <f t="shared" si="4"/>
        <v>9.7052838272681435E-2</v>
      </c>
      <c r="K249" s="8">
        <f t="shared" si="5"/>
        <v>1.2403238338649076</v>
      </c>
      <c r="L249" s="8">
        <f t="shared" si="6"/>
        <v>1.6600000000000001</v>
      </c>
      <c r="M249">
        <f t="shared" si="7"/>
        <v>14.9</v>
      </c>
      <c r="N249">
        <f t="shared" si="8"/>
        <v>1379252.8644920345</v>
      </c>
      <c r="O249">
        <f t="shared" si="0"/>
        <v>547599.10998180043</v>
      </c>
      <c r="P249">
        <f t="shared" si="9"/>
        <v>541532.44328673626</v>
      </c>
      <c r="Q249">
        <f t="shared" si="10"/>
        <v>346.61637834362568</v>
      </c>
      <c r="R249">
        <f t="shared" si="11"/>
        <v>267034.58188624645</v>
      </c>
      <c r="S249">
        <f t="shared" si="12"/>
        <v>1222.7419695810129</v>
      </c>
      <c r="T249">
        <f t="shared" si="1"/>
        <v>450425.46901968145</v>
      </c>
      <c r="U249">
        <f t="shared" si="13"/>
        <v>1.0064</v>
      </c>
      <c r="V249">
        <f t="shared" si="2"/>
        <v>1.1553</v>
      </c>
      <c r="W249">
        <f t="shared" si="14"/>
        <v>2.1616999999999997</v>
      </c>
    </row>
    <row r="250" spans="2:23" x14ac:dyDescent="0.3">
      <c r="B250" s="25">
        <v>1.3</v>
      </c>
      <c r="C250">
        <v>7</v>
      </c>
      <c r="D250">
        <v>6</v>
      </c>
      <c r="E250">
        <v>14</v>
      </c>
      <c r="F250">
        <v>10</v>
      </c>
      <c r="G250">
        <v>8</v>
      </c>
      <c r="H250">
        <v>19</v>
      </c>
      <c r="I250" s="8">
        <f t="shared" si="3"/>
        <v>4.9471573247376437E-2</v>
      </c>
      <c r="J250" s="8">
        <f t="shared" si="4"/>
        <v>9.6987189043457309E-2</v>
      </c>
      <c r="K250" s="8">
        <f t="shared" si="5"/>
        <v>1.2394848444532558</v>
      </c>
      <c r="L250" s="8">
        <f t="shared" si="6"/>
        <v>1.69</v>
      </c>
      <c r="M250">
        <f t="shared" si="7"/>
        <v>14.9</v>
      </c>
      <c r="N250">
        <f t="shared" si="8"/>
        <v>1422377.9162599626</v>
      </c>
      <c r="O250">
        <f t="shared" si="0"/>
        <v>564800.50023741473</v>
      </c>
      <c r="P250">
        <f t="shared" si="9"/>
        <v>558733.83354235056</v>
      </c>
      <c r="Q250">
        <f t="shared" si="10"/>
        <v>357.50442305406091</v>
      </c>
      <c r="R250">
        <f t="shared" si="11"/>
        <v>276659.83790603839</v>
      </c>
      <c r="S250">
        <f t="shared" si="12"/>
        <v>1261.5814926076043</v>
      </c>
      <c r="T250">
        <f t="shared" si="1"/>
        <v>464841.25477559771</v>
      </c>
      <c r="U250">
        <f t="shared" si="13"/>
        <v>1.0387</v>
      </c>
      <c r="V250">
        <f t="shared" si="2"/>
        <v>1.1919999999999999</v>
      </c>
      <c r="W250">
        <f t="shared" si="14"/>
        <v>2.2306999999999997</v>
      </c>
    </row>
    <row r="251" spans="2:23" x14ac:dyDescent="0.3">
      <c r="B251" s="25">
        <v>1.35</v>
      </c>
      <c r="C251">
        <v>7</v>
      </c>
      <c r="D251">
        <v>6</v>
      </c>
      <c r="E251">
        <v>13</v>
      </c>
      <c r="F251">
        <v>10</v>
      </c>
      <c r="G251">
        <v>8</v>
      </c>
      <c r="H251">
        <v>19</v>
      </c>
      <c r="I251" s="8">
        <f t="shared" si="3"/>
        <v>4.98559292239691E-2</v>
      </c>
      <c r="J251" s="8">
        <f t="shared" si="4"/>
        <v>9.6925328724294921E-2</v>
      </c>
      <c r="K251" s="8">
        <f t="shared" si="5"/>
        <v>1.238694276865608</v>
      </c>
      <c r="L251" s="8">
        <f t="shared" si="6"/>
        <v>1.71</v>
      </c>
      <c r="M251">
        <f t="shared" si="7"/>
        <v>14.9</v>
      </c>
      <c r="N251">
        <f t="shared" si="8"/>
        <v>1451127.9507719148</v>
      </c>
      <c r="O251">
        <f t="shared" si="0"/>
        <v>582001.89049302868</v>
      </c>
      <c r="P251">
        <f t="shared" si="9"/>
        <v>575935.22379796451</v>
      </c>
      <c r="Q251">
        <f t="shared" si="10"/>
        <v>368.3924677644959</v>
      </c>
      <c r="R251">
        <f t="shared" si="11"/>
        <v>286285.09392583015</v>
      </c>
      <c r="S251">
        <f t="shared" si="12"/>
        <v>1300.4210156341949</v>
      </c>
      <c r="T251">
        <f t="shared" si="1"/>
        <v>479257.04053151363</v>
      </c>
      <c r="U251">
        <f t="shared" si="13"/>
        <v>1.0640000000000001</v>
      </c>
      <c r="V251">
        <f t="shared" si="2"/>
        <v>1.2286999999999999</v>
      </c>
      <c r="W251">
        <f t="shared" si="14"/>
        <v>2.2927</v>
      </c>
    </row>
    <row r="252" spans="2:23" x14ac:dyDescent="0.3">
      <c r="B252" s="25">
        <v>1.4</v>
      </c>
      <c r="C252">
        <v>7</v>
      </c>
      <c r="D252">
        <v>5</v>
      </c>
      <c r="E252">
        <v>13</v>
      </c>
      <c r="F252">
        <v>9</v>
      </c>
      <c r="G252">
        <v>8</v>
      </c>
      <c r="H252">
        <v>18</v>
      </c>
      <c r="I252" s="8">
        <f t="shared" si="3"/>
        <v>5.0218217707399204E-2</v>
      </c>
      <c r="J252" s="8">
        <f t="shared" si="4"/>
        <v>9.6866940732419901E-2</v>
      </c>
      <c r="K252" s="8">
        <f t="shared" si="5"/>
        <v>1.2379480852114224</v>
      </c>
      <c r="L252" s="8">
        <f t="shared" si="6"/>
        <v>1.74</v>
      </c>
      <c r="M252">
        <f t="shared" si="7"/>
        <v>14.3</v>
      </c>
      <c r="N252">
        <f t="shared" si="8"/>
        <v>1418371.2144677686</v>
      </c>
      <c r="O252">
        <f t="shared" si="0"/>
        <v>599203.28074864275</v>
      </c>
      <c r="P252">
        <f t="shared" si="9"/>
        <v>593136.61405357858</v>
      </c>
      <c r="Q252">
        <f t="shared" si="10"/>
        <v>379.28051247493096</v>
      </c>
      <c r="R252">
        <f t="shared" si="11"/>
        <v>295910.34994562197</v>
      </c>
      <c r="S252">
        <f t="shared" si="12"/>
        <v>1339.2605386607859</v>
      </c>
      <c r="T252">
        <f t="shared" si="1"/>
        <v>493672.82628742972</v>
      </c>
      <c r="U252">
        <f t="shared" si="13"/>
        <v>1.0598000000000001</v>
      </c>
      <c r="V252">
        <f t="shared" si="2"/>
        <v>1.2654000000000001</v>
      </c>
      <c r="W252">
        <f t="shared" si="14"/>
        <v>2.3252000000000002</v>
      </c>
    </row>
    <row r="253" spans="2:23" x14ac:dyDescent="0.3">
      <c r="B253" s="25">
        <v>1.45</v>
      </c>
      <c r="C253">
        <v>6</v>
      </c>
      <c r="D253">
        <v>5</v>
      </c>
      <c r="E253">
        <v>12</v>
      </c>
      <c r="F253">
        <v>9</v>
      </c>
      <c r="G253">
        <v>7</v>
      </c>
      <c r="H253">
        <v>17</v>
      </c>
      <c r="I253" s="8">
        <f t="shared" si="3"/>
        <v>5.056028614422118E-2</v>
      </c>
      <c r="J253" s="8">
        <f t="shared" si="4"/>
        <v>9.6811742538781553E-2</v>
      </c>
      <c r="K253" s="8">
        <f t="shared" si="5"/>
        <v>1.2372426588027317</v>
      </c>
      <c r="L253" s="8">
        <f t="shared" si="6"/>
        <v>1.76</v>
      </c>
      <c r="M253">
        <f t="shared" si="7"/>
        <v>13.7</v>
      </c>
      <c r="N253">
        <f t="shared" si="8"/>
        <v>1368276.6611818518</v>
      </c>
      <c r="O253">
        <f t="shared" si="0"/>
        <v>616404.67100425705</v>
      </c>
      <c r="P253">
        <f t="shared" si="9"/>
        <v>610338.00430919288</v>
      </c>
      <c r="Q253">
        <f t="shared" si="10"/>
        <v>390.16855718536607</v>
      </c>
      <c r="R253">
        <f t="shared" si="11"/>
        <v>305535.60596541385</v>
      </c>
      <c r="S253">
        <f t="shared" si="12"/>
        <v>1378.1000616873771</v>
      </c>
      <c r="T253">
        <f t="shared" si="1"/>
        <v>508088.61204334593</v>
      </c>
      <c r="U253">
        <f t="shared" si="13"/>
        <v>1.0472999999999999</v>
      </c>
      <c r="V253">
        <f t="shared" si="2"/>
        <v>1.3021</v>
      </c>
      <c r="W253">
        <f t="shared" si="14"/>
        <v>2.3494000000000002</v>
      </c>
    </row>
    <row r="254" spans="2:23" x14ac:dyDescent="0.3">
      <c r="B254" s="25">
        <v>1.5</v>
      </c>
      <c r="C254">
        <v>6</v>
      </c>
      <c r="D254">
        <v>5</v>
      </c>
      <c r="E254">
        <v>12</v>
      </c>
      <c r="F254">
        <v>9</v>
      </c>
      <c r="G254">
        <v>7</v>
      </c>
      <c r="H254">
        <v>17</v>
      </c>
      <c r="I254" s="8">
        <f t="shared" si="3"/>
        <v>5.0883781360123483E-2</v>
      </c>
      <c r="J254" s="8">
        <f t="shared" si="4"/>
        <v>9.6759481245740811E-2</v>
      </c>
      <c r="K254" s="8">
        <f t="shared" si="5"/>
        <v>1.2365747656375168</v>
      </c>
      <c r="L254" s="8">
        <f t="shared" si="6"/>
        <v>1.78</v>
      </c>
      <c r="M254">
        <f t="shared" si="7"/>
        <v>13.7</v>
      </c>
      <c r="N254">
        <f t="shared" si="8"/>
        <v>1394063.8959680095</v>
      </c>
      <c r="O254">
        <f t="shared" si="0"/>
        <v>633606.06125987112</v>
      </c>
      <c r="P254">
        <f t="shared" si="9"/>
        <v>627539.39456480695</v>
      </c>
      <c r="Q254">
        <f t="shared" si="10"/>
        <v>401.05660189580112</v>
      </c>
      <c r="R254">
        <f t="shared" si="11"/>
        <v>315160.86198520561</v>
      </c>
      <c r="S254">
        <f t="shared" si="12"/>
        <v>1416.9395847139679</v>
      </c>
      <c r="T254">
        <f t="shared" si="1"/>
        <v>522504.39779926196</v>
      </c>
      <c r="U254">
        <f t="shared" si="13"/>
        <v>1.0711999999999999</v>
      </c>
      <c r="V254">
        <f t="shared" si="2"/>
        <v>1.3388</v>
      </c>
      <c r="W254">
        <f t="shared" si="14"/>
        <v>2.41</v>
      </c>
    </row>
    <row r="255" spans="2:23" x14ac:dyDescent="0.3">
      <c r="B255" s="25">
        <v>1.55</v>
      </c>
      <c r="C255">
        <v>6</v>
      </c>
      <c r="D255">
        <v>5</v>
      </c>
      <c r="E255">
        <v>12</v>
      </c>
      <c r="F255">
        <v>9</v>
      </c>
      <c r="G255">
        <v>7</v>
      </c>
      <c r="H255">
        <v>17</v>
      </c>
      <c r="I255" s="8">
        <f t="shared" si="3"/>
        <v>5.1190176072822877E-2</v>
      </c>
      <c r="J255" s="8">
        <f t="shared" si="4"/>
        <v>9.6709929830509689E-2</v>
      </c>
      <c r="K255" s="8">
        <f t="shared" si="5"/>
        <v>1.2359415043913056</v>
      </c>
      <c r="L255" s="8">
        <f t="shared" si="6"/>
        <v>1.81</v>
      </c>
      <c r="M255">
        <f t="shared" si="7"/>
        <v>13.7</v>
      </c>
      <c r="N255">
        <f t="shared" si="8"/>
        <v>1432744.7481472457</v>
      </c>
      <c r="O255">
        <f t="shared" si="0"/>
        <v>650807.45151548518</v>
      </c>
      <c r="P255">
        <f t="shared" si="9"/>
        <v>644740.78482042102</v>
      </c>
      <c r="Q255">
        <f t="shared" si="10"/>
        <v>411.94464660623618</v>
      </c>
      <c r="R255">
        <f t="shared" si="11"/>
        <v>324786.11800499744</v>
      </c>
      <c r="S255">
        <f t="shared" si="12"/>
        <v>1455.7791077405589</v>
      </c>
      <c r="T255">
        <f t="shared" si="1"/>
        <v>536920.183555178</v>
      </c>
      <c r="U255">
        <f t="shared" si="13"/>
        <v>1.1012999999999999</v>
      </c>
      <c r="V255">
        <f t="shared" si="2"/>
        <v>1.3754</v>
      </c>
      <c r="W255">
        <f t="shared" si="14"/>
        <v>2.4767000000000001</v>
      </c>
    </row>
    <row r="256" spans="2:23" x14ac:dyDescent="0.3">
      <c r="B256" s="25">
        <v>1.6</v>
      </c>
      <c r="C256">
        <v>6</v>
      </c>
      <c r="D256">
        <v>5</v>
      </c>
      <c r="E256">
        <v>11</v>
      </c>
      <c r="F256">
        <v>9</v>
      </c>
      <c r="G256">
        <v>7</v>
      </c>
      <c r="H256">
        <v>17</v>
      </c>
      <c r="I256" s="8">
        <f t="shared" si="3"/>
        <v>5.1480791308677561E-2</v>
      </c>
      <c r="J256" s="8">
        <f t="shared" si="4"/>
        <v>9.6662883941365685E-2</v>
      </c>
      <c r="K256" s="8">
        <f t="shared" si="5"/>
        <v>1.2353402634731705</v>
      </c>
      <c r="L256" s="8">
        <f t="shared" si="6"/>
        <v>1.83</v>
      </c>
      <c r="M256">
        <f t="shared" si="7"/>
        <v>13.7</v>
      </c>
      <c r="N256">
        <f t="shared" si="8"/>
        <v>1458531.9829334028</v>
      </c>
      <c r="O256">
        <f t="shared" si="0"/>
        <v>668008.84177109937</v>
      </c>
      <c r="P256">
        <f t="shared" si="9"/>
        <v>661942.1750760352</v>
      </c>
      <c r="Q256">
        <f t="shared" si="10"/>
        <v>422.83269131667134</v>
      </c>
      <c r="R256">
        <f t="shared" si="11"/>
        <v>334411.37402478937</v>
      </c>
      <c r="S256">
        <f t="shared" si="12"/>
        <v>1494.6186307671499</v>
      </c>
      <c r="T256">
        <f t="shared" si="1"/>
        <v>551335.96931109414</v>
      </c>
      <c r="U256">
        <f t="shared" si="13"/>
        <v>1.1253</v>
      </c>
      <c r="V256">
        <f t="shared" si="2"/>
        <v>1.4120999999999999</v>
      </c>
      <c r="W256">
        <f t="shared" si="14"/>
        <v>2.5373999999999999</v>
      </c>
    </row>
    <row r="257" spans="2:23" x14ac:dyDescent="0.3">
      <c r="B257" s="25">
        <v>1.65</v>
      </c>
      <c r="C257">
        <v>6</v>
      </c>
      <c r="D257">
        <v>5</v>
      </c>
      <c r="E257">
        <v>11</v>
      </c>
      <c r="F257">
        <v>9</v>
      </c>
      <c r="G257">
        <v>6</v>
      </c>
      <c r="H257">
        <v>16</v>
      </c>
      <c r="I257" s="8">
        <f t="shared" si="3"/>
        <v>5.1756815442845452E-2</v>
      </c>
      <c r="J257" s="8">
        <f t="shared" si="4"/>
        <v>9.6618159154835029E-2</v>
      </c>
      <c r="K257" s="8">
        <f t="shared" si="5"/>
        <v>1.2347686859728544</v>
      </c>
      <c r="L257" s="8">
        <f t="shared" si="6"/>
        <v>1.85</v>
      </c>
      <c r="M257">
        <f t="shared" si="7"/>
        <v>13.1</v>
      </c>
      <c r="N257">
        <f t="shared" si="8"/>
        <v>1400289.7304015504</v>
      </c>
      <c r="O257">
        <f t="shared" si="0"/>
        <v>685210.23202671343</v>
      </c>
      <c r="P257">
        <f t="shared" si="9"/>
        <v>679143.56533164927</v>
      </c>
      <c r="Q257">
        <f t="shared" si="10"/>
        <v>433.7207360271064</v>
      </c>
      <c r="R257">
        <f t="shared" si="11"/>
        <v>344036.63004458119</v>
      </c>
      <c r="S257">
        <f t="shared" si="12"/>
        <v>1533.4581537937406</v>
      </c>
      <c r="T257">
        <f t="shared" si="1"/>
        <v>565751.75506701018</v>
      </c>
      <c r="U257">
        <f t="shared" si="13"/>
        <v>1.1088</v>
      </c>
      <c r="V257">
        <f t="shared" si="2"/>
        <v>1.4488000000000001</v>
      </c>
      <c r="W257">
        <f t="shared" si="14"/>
        <v>2.5575999999999999</v>
      </c>
    </row>
    <row r="258" spans="2:23" x14ac:dyDescent="0.3">
      <c r="B258" s="25">
        <v>1.7</v>
      </c>
      <c r="C258">
        <v>6</v>
      </c>
      <c r="D258">
        <v>4</v>
      </c>
      <c r="E258">
        <v>11</v>
      </c>
      <c r="F258">
        <v>8</v>
      </c>
      <c r="G258">
        <v>6</v>
      </c>
      <c r="H258">
        <v>15</v>
      </c>
      <c r="I258" s="8">
        <f t="shared" si="3"/>
        <v>5.2019320441790716E-2</v>
      </c>
      <c r="J258" s="8">
        <f t="shared" si="4"/>
        <v>9.6575588618900837E-2</v>
      </c>
      <c r="K258" s="8">
        <f t="shared" si="5"/>
        <v>1.2342246395412473</v>
      </c>
      <c r="L258" s="8">
        <f t="shared" si="6"/>
        <v>1.8800000000000001</v>
      </c>
      <c r="M258">
        <f t="shared" si="7"/>
        <v>12.5</v>
      </c>
      <c r="N258">
        <f t="shared" si="8"/>
        <v>1350496.8956740843</v>
      </c>
      <c r="O258">
        <f t="shared" si="0"/>
        <v>702411.6222823275</v>
      </c>
      <c r="P258">
        <f t="shared" si="9"/>
        <v>696344.95558726334</v>
      </c>
      <c r="Q258">
        <f t="shared" si="10"/>
        <v>444.60878073754145</v>
      </c>
      <c r="R258">
        <f t="shared" si="11"/>
        <v>353661.88606437301</v>
      </c>
      <c r="S258">
        <f t="shared" si="12"/>
        <v>1572.2976768203316</v>
      </c>
      <c r="T258">
        <f t="shared" si="1"/>
        <v>580167.54082292621</v>
      </c>
      <c r="U258">
        <f t="shared" si="13"/>
        <v>1.0965</v>
      </c>
      <c r="V258">
        <f t="shared" si="2"/>
        <v>1.4855</v>
      </c>
      <c r="W258">
        <f t="shared" si="14"/>
        <v>2.5819999999999999</v>
      </c>
    </row>
    <row r="259" spans="2:23" x14ac:dyDescent="0.3">
      <c r="B259" s="25">
        <v>1.75</v>
      </c>
      <c r="C259">
        <v>6</v>
      </c>
      <c r="D259">
        <v>4</v>
      </c>
      <c r="E259">
        <v>11</v>
      </c>
      <c r="F259">
        <v>8</v>
      </c>
      <c r="G259">
        <v>6</v>
      </c>
      <c r="H259">
        <v>15</v>
      </c>
      <c r="I259" s="8">
        <f t="shared" si="3"/>
        <v>5.2269275776257326E-2</v>
      </c>
      <c r="J259" s="8">
        <f t="shared" si="4"/>
        <v>9.6535021020780001E-2</v>
      </c>
      <c r="K259" s="8">
        <f t="shared" si="5"/>
        <v>1.2337061904188162</v>
      </c>
      <c r="L259" s="8">
        <f t="shared" si="6"/>
        <v>1.9000000000000001</v>
      </c>
      <c r="M259">
        <f t="shared" si="7"/>
        <v>12.5</v>
      </c>
      <c r="N259">
        <f t="shared" si="8"/>
        <v>1373321.3307344469</v>
      </c>
      <c r="O259">
        <f t="shared" si="0"/>
        <v>719613.01253794169</v>
      </c>
      <c r="P259">
        <f t="shared" si="9"/>
        <v>713546.34584287752</v>
      </c>
      <c r="Q259">
        <f t="shared" si="10"/>
        <v>455.49682544797656</v>
      </c>
      <c r="R259">
        <f t="shared" si="11"/>
        <v>363287.14208416484</v>
      </c>
      <c r="S259">
        <f t="shared" si="12"/>
        <v>1611.1371998469226</v>
      </c>
      <c r="T259">
        <f t="shared" si="1"/>
        <v>594583.32657884236</v>
      </c>
      <c r="U259">
        <f t="shared" si="13"/>
        <v>1.119</v>
      </c>
      <c r="V259">
        <f t="shared" si="2"/>
        <v>1.5222</v>
      </c>
      <c r="W259">
        <f t="shared" si="14"/>
        <v>2.6412</v>
      </c>
    </row>
    <row r="260" spans="2:23" x14ac:dyDescent="0.3">
      <c r="B260" s="25">
        <v>1.8</v>
      </c>
      <c r="C260">
        <v>6</v>
      </c>
      <c r="D260">
        <v>4</v>
      </c>
      <c r="E260">
        <v>11</v>
      </c>
      <c r="F260">
        <v>8</v>
      </c>
      <c r="G260">
        <v>6</v>
      </c>
      <c r="H260">
        <v>15</v>
      </c>
      <c r="I260" s="8">
        <f t="shared" si="3"/>
        <v>5.2507560385400651E-2</v>
      </c>
      <c r="J260" s="8">
        <f t="shared" si="4"/>
        <v>9.6496318828654642E-2</v>
      </c>
      <c r="K260" s="8">
        <f t="shared" si="5"/>
        <v>1.2332115809651387</v>
      </c>
      <c r="L260" s="8">
        <f t="shared" si="6"/>
        <v>1.92</v>
      </c>
      <c r="M260">
        <f t="shared" si="7"/>
        <v>12.5</v>
      </c>
      <c r="N260">
        <f t="shared" si="8"/>
        <v>1396145.7657948092</v>
      </c>
      <c r="O260">
        <f t="shared" si="0"/>
        <v>736814.40279355575</v>
      </c>
      <c r="P260">
        <f t="shared" si="9"/>
        <v>730747.73609849159</v>
      </c>
      <c r="Q260">
        <f t="shared" si="10"/>
        <v>466.38487015841156</v>
      </c>
      <c r="R260">
        <f t="shared" si="11"/>
        <v>372912.3981039566</v>
      </c>
      <c r="S260">
        <f t="shared" si="12"/>
        <v>1649.9767228735134</v>
      </c>
      <c r="T260">
        <f t="shared" si="1"/>
        <v>608999.11233475839</v>
      </c>
      <c r="U260">
        <f t="shared" si="13"/>
        <v>1.1415</v>
      </c>
      <c r="V260">
        <f t="shared" si="2"/>
        <v>1.5589</v>
      </c>
      <c r="W260">
        <f t="shared" si="14"/>
        <v>2.7004000000000001</v>
      </c>
    </row>
    <row r="261" spans="2:23" x14ac:dyDescent="0.3">
      <c r="B261" s="25">
        <v>1.85</v>
      </c>
      <c r="C261">
        <v>6</v>
      </c>
      <c r="D261">
        <v>4</v>
      </c>
      <c r="E261">
        <v>11</v>
      </c>
      <c r="F261">
        <v>8</v>
      </c>
      <c r="G261">
        <v>6</v>
      </c>
      <c r="H261">
        <v>15</v>
      </c>
      <c r="I261" s="8">
        <f t="shared" si="3"/>
        <v>5.2734973003289748E-2</v>
      </c>
      <c r="J261" s="8">
        <f t="shared" si="4"/>
        <v>9.6459356765501936E-2</v>
      </c>
      <c r="K261" s="8">
        <f t="shared" si="5"/>
        <v>1.2327392101546291</v>
      </c>
      <c r="L261" s="8">
        <f t="shared" si="6"/>
        <v>1.94</v>
      </c>
      <c r="M261">
        <f t="shared" si="7"/>
        <v>12.5</v>
      </c>
      <c r="N261">
        <f t="shared" si="8"/>
        <v>1418970.200855172</v>
      </c>
      <c r="O261">
        <f t="shared" si="0"/>
        <v>754015.79304916982</v>
      </c>
      <c r="P261">
        <f t="shared" si="9"/>
        <v>747949.12635410565</v>
      </c>
      <c r="Q261">
        <f t="shared" si="10"/>
        <v>477.27291486884661</v>
      </c>
      <c r="R261">
        <f t="shared" si="11"/>
        <v>382537.65412374842</v>
      </c>
      <c r="S261">
        <f t="shared" si="12"/>
        <v>1688.8162459001044</v>
      </c>
      <c r="T261">
        <f t="shared" si="1"/>
        <v>623414.89809067443</v>
      </c>
      <c r="U261">
        <f t="shared" si="13"/>
        <v>1.1639999999999999</v>
      </c>
      <c r="V261">
        <f t="shared" si="2"/>
        <v>1.5955999999999999</v>
      </c>
      <c r="W261">
        <f t="shared" si="14"/>
        <v>2.7595999999999998</v>
      </c>
    </row>
    <row r="262" spans="2:23" x14ac:dyDescent="0.3">
      <c r="B262" s="25">
        <v>1.9</v>
      </c>
      <c r="C262">
        <v>6</v>
      </c>
      <c r="D262">
        <v>4</v>
      </c>
      <c r="E262">
        <v>11</v>
      </c>
      <c r="F262">
        <v>8</v>
      </c>
      <c r="G262">
        <v>6</v>
      </c>
      <c r="H262">
        <v>15</v>
      </c>
      <c r="I262" s="8">
        <f t="shared" si="3"/>
        <v>5.2952241103463124E-2</v>
      </c>
      <c r="J262" s="8">
        <f t="shared" si="4"/>
        <v>9.6424020480264661E-2</v>
      </c>
      <c r="K262" s="8">
        <f t="shared" si="5"/>
        <v>1.2322876165942542</v>
      </c>
      <c r="L262" s="8">
        <f t="shared" si="6"/>
        <v>1.96</v>
      </c>
      <c r="M262">
        <f t="shared" si="7"/>
        <v>12.5</v>
      </c>
      <c r="N262">
        <f t="shared" si="8"/>
        <v>1441794.6359155346</v>
      </c>
      <c r="O262">
        <f t="shared" si="0"/>
        <v>771217.183304784</v>
      </c>
      <c r="P262">
        <f t="shared" si="9"/>
        <v>765150.51660971984</v>
      </c>
      <c r="Q262">
        <f t="shared" si="10"/>
        <v>488.16095957928172</v>
      </c>
      <c r="R262">
        <f t="shared" si="11"/>
        <v>392162.9101435403</v>
      </c>
      <c r="S262">
        <f t="shared" si="12"/>
        <v>1727.6557689266954</v>
      </c>
      <c r="T262">
        <f t="shared" si="1"/>
        <v>637830.68384659057</v>
      </c>
      <c r="U262">
        <f t="shared" si="13"/>
        <v>1.1865000000000001</v>
      </c>
      <c r="V262">
        <f t="shared" si="2"/>
        <v>1.6323000000000001</v>
      </c>
      <c r="W262">
        <f t="shared" si="14"/>
        <v>2.8188000000000004</v>
      </c>
    </row>
    <row r="263" spans="2:23" x14ac:dyDescent="0.3">
      <c r="B263" s="25">
        <v>1.95</v>
      </c>
      <c r="C263">
        <v>6</v>
      </c>
      <c r="D263">
        <v>4</v>
      </c>
      <c r="E263">
        <v>11</v>
      </c>
      <c r="F263">
        <v>8</v>
      </c>
      <c r="G263">
        <v>6</v>
      </c>
      <c r="H263">
        <v>15</v>
      </c>
      <c r="I263" s="8">
        <f t="shared" si="3"/>
        <v>5.3160028672592403E-2</v>
      </c>
      <c r="J263" s="8">
        <f t="shared" si="4"/>
        <v>9.6390205387392666E-2</v>
      </c>
      <c r="K263" s="8">
        <f t="shared" si="5"/>
        <v>1.2318554636930104</v>
      </c>
      <c r="L263" s="8">
        <f t="shared" si="6"/>
        <v>1.98</v>
      </c>
      <c r="M263">
        <f t="shared" si="7"/>
        <v>12.5</v>
      </c>
      <c r="N263">
        <f t="shared" si="8"/>
        <v>1464619.0709758971</v>
      </c>
      <c r="O263">
        <f t="shared" si="0"/>
        <v>788418.57356039807</v>
      </c>
      <c r="P263">
        <f t="shared" si="9"/>
        <v>782351.90686533391</v>
      </c>
      <c r="Q263">
        <f t="shared" si="10"/>
        <v>499.04900428971678</v>
      </c>
      <c r="R263">
        <f t="shared" si="11"/>
        <v>401788.16616333212</v>
      </c>
      <c r="S263">
        <f t="shared" si="12"/>
        <v>1766.4952919532864</v>
      </c>
      <c r="T263">
        <f t="shared" si="1"/>
        <v>652246.46960250672</v>
      </c>
      <c r="U263">
        <f t="shared" si="13"/>
        <v>1.2090000000000001</v>
      </c>
      <c r="V263">
        <f t="shared" si="2"/>
        <v>1.669</v>
      </c>
      <c r="W263">
        <f t="shared" si="14"/>
        <v>2.8780000000000001</v>
      </c>
    </row>
    <row r="264" spans="2:23" x14ac:dyDescent="0.3">
      <c r="B264" s="25">
        <v>2</v>
      </c>
      <c r="C264">
        <v>6</v>
      </c>
      <c r="D264">
        <v>4</v>
      </c>
      <c r="E264">
        <v>11</v>
      </c>
      <c r="F264">
        <v>8</v>
      </c>
      <c r="G264">
        <v>6</v>
      </c>
      <c r="H264">
        <v>15</v>
      </c>
      <c r="I264" s="8">
        <f t="shared" si="3"/>
        <v>5.3358942988258794E-2</v>
      </c>
      <c r="J264" s="8">
        <f t="shared" si="4"/>
        <v>9.635781565051299E-2</v>
      </c>
      <c r="K264" s="8">
        <f t="shared" si="5"/>
        <v>1.2314415266733472</v>
      </c>
      <c r="L264" s="8">
        <f t="shared" si="6"/>
        <v>2</v>
      </c>
      <c r="M264">
        <f t="shared" si="7"/>
        <v>12.5</v>
      </c>
      <c r="N264">
        <f t="shared" si="8"/>
        <v>1487443.5060362597</v>
      </c>
      <c r="O264">
        <f t="shared" si="0"/>
        <v>805619.96381601226</v>
      </c>
      <c r="P264">
        <f t="shared" si="9"/>
        <v>799553.29712094809</v>
      </c>
      <c r="Q264">
        <f t="shared" si="10"/>
        <v>509.93704900015194</v>
      </c>
      <c r="R264">
        <f t="shared" si="11"/>
        <v>411413.422183124</v>
      </c>
      <c r="S264">
        <f t="shared" si="12"/>
        <v>1805.3348149798774</v>
      </c>
      <c r="T264">
        <f t="shared" si="1"/>
        <v>666662.25535842276</v>
      </c>
      <c r="U264">
        <f t="shared" si="13"/>
        <v>1.2314000000000001</v>
      </c>
      <c r="V264">
        <f t="shared" si="2"/>
        <v>1.7057</v>
      </c>
      <c r="W264">
        <f t="shared" si="14"/>
        <v>2.9371</v>
      </c>
    </row>
  </sheetData>
  <phoneticPr fontId="1" type="noConversion"/>
  <dataValidations count="1">
    <dataValidation type="list" allowBlank="1" showInputMessage="1" showErrorMessage="1" sqref="B42" xr:uid="{98AFED3A-546F-48B3-BE30-F02A378E69A5}">
      <formula1>Tray_space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E638-B2B2-4506-B68D-E584B94FB5A5}">
  <dimension ref="A1:G177"/>
  <sheetViews>
    <sheetView tabSelected="1" zoomScale="101" zoomScaleNormal="70" workbookViewId="0">
      <selection activeCell="B140" sqref="B140"/>
    </sheetView>
  </sheetViews>
  <sheetFormatPr defaultRowHeight="14.4" x14ac:dyDescent="0.3"/>
  <cols>
    <col min="1" max="1" width="33.21875" customWidth="1"/>
    <col min="3" max="3" width="9.77734375" customWidth="1"/>
    <col min="6" max="6" width="15.21875" customWidth="1"/>
    <col min="7" max="7" width="21.44140625" bestFit="1" customWidth="1"/>
  </cols>
  <sheetData>
    <row r="1" spans="1:7" ht="31.2" x14ac:dyDescent="0.6">
      <c r="A1" s="27" t="s">
        <v>228</v>
      </c>
      <c r="G1" s="33"/>
    </row>
    <row r="3" spans="1:7" ht="15.6" x14ac:dyDescent="0.3">
      <c r="A3" s="30" t="s">
        <v>229</v>
      </c>
    </row>
    <row r="4" spans="1:7" x14ac:dyDescent="0.3">
      <c r="A4" t="s">
        <v>230</v>
      </c>
      <c r="B4" s="8">
        <f>Design_cal!B29</f>
        <v>22.213921500086855</v>
      </c>
      <c r="C4" t="s">
        <v>227</v>
      </c>
    </row>
    <row r="5" spans="1:7" x14ac:dyDescent="0.3">
      <c r="A5" t="s">
        <v>283</v>
      </c>
      <c r="B5" s="8">
        <f>Design_cal!B27</f>
        <v>2.0310555187950707</v>
      </c>
      <c r="C5" t="s">
        <v>88</v>
      </c>
    </row>
    <row r="6" spans="1:7" ht="15.6" x14ac:dyDescent="0.3">
      <c r="A6" s="30" t="s">
        <v>231</v>
      </c>
    </row>
    <row r="7" spans="1:7" x14ac:dyDescent="0.3">
      <c r="A7" t="s">
        <v>362</v>
      </c>
      <c r="B7" s="8">
        <f>Design_cal!B67*10^-3</f>
        <v>1.6</v>
      </c>
      <c r="C7" t="s">
        <v>111</v>
      </c>
    </row>
    <row r="8" spans="1:7" x14ac:dyDescent="0.3">
      <c r="A8" t="s">
        <v>295</v>
      </c>
      <c r="B8" s="8">
        <f>0.1</f>
        <v>0.1</v>
      </c>
      <c r="C8" t="s">
        <v>111</v>
      </c>
    </row>
    <row r="9" spans="1:7" x14ac:dyDescent="0.3">
      <c r="A9" t="s">
        <v>232</v>
      </c>
      <c r="B9" s="8">
        <f>B7*0.76</f>
        <v>1.2160000000000002</v>
      </c>
      <c r="C9" t="s">
        <v>111</v>
      </c>
    </row>
    <row r="10" spans="1:7" x14ac:dyDescent="0.3">
      <c r="A10" t="s">
        <v>233</v>
      </c>
      <c r="B10" s="8">
        <f>B4/B9</f>
        <v>18.268027549413528</v>
      </c>
      <c r="C10" t="s">
        <v>234</v>
      </c>
    </row>
    <row r="11" spans="1:7" x14ac:dyDescent="0.3">
      <c r="A11" s="5" t="s">
        <v>235</v>
      </c>
    </row>
    <row r="13" spans="1:7" ht="18" x14ac:dyDescent="0.35">
      <c r="A13" s="31" t="s">
        <v>236</v>
      </c>
    </row>
    <row r="14" spans="1:7" x14ac:dyDescent="0.3">
      <c r="A14" t="s">
        <v>237</v>
      </c>
      <c r="B14" s="8">
        <f>0.76</f>
        <v>0.76</v>
      </c>
    </row>
    <row r="17" spans="1:3" x14ac:dyDescent="0.3">
      <c r="A17" t="s">
        <v>238</v>
      </c>
      <c r="B17" s="8">
        <f>ROUND((50/PI())*((2*ASIN(B14)-SIN(2*ASIN(B14))))%,2)</f>
        <v>0.12</v>
      </c>
    </row>
    <row r="18" spans="1:3" x14ac:dyDescent="0.3">
      <c r="A18" s="5" t="s">
        <v>239</v>
      </c>
    </row>
    <row r="21" spans="1:3" x14ac:dyDescent="0.3">
      <c r="A21" t="s">
        <v>240</v>
      </c>
      <c r="B21" s="8">
        <f>(50*(1-COS(ASIN(B14)))/100)*B7</f>
        <v>0.28006154210329853</v>
      </c>
      <c r="C21" t="s">
        <v>111</v>
      </c>
    </row>
    <row r="22" spans="1:3" x14ac:dyDescent="0.3">
      <c r="A22" t="s">
        <v>241</v>
      </c>
      <c r="B22" s="8">
        <f>Design_cal!B68</f>
        <v>2.0099999999999998</v>
      </c>
      <c r="C22" t="s">
        <v>117</v>
      </c>
    </row>
    <row r="23" spans="1:3" x14ac:dyDescent="0.3">
      <c r="A23" t="s">
        <v>242</v>
      </c>
      <c r="B23" s="8">
        <f>B17*B22</f>
        <v>0.24119999999999997</v>
      </c>
      <c r="C23" t="s">
        <v>117</v>
      </c>
    </row>
    <row r="24" spans="1:3" x14ac:dyDescent="0.3">
      <c r="A24" t="s">
        <v>243</v>
      </c>
      <c r="B24" s="8">
        <f>B8*B9</f>
        <v>0.12160000000000003</v>
      </c>
      <c r="C24" t="s">
        <v>117</v>
      </c>
    </row>
    <row r="25" spans="1:3" s="5" customFormat="1" x14ac:dyDescent="0.3">
      <c r="A25" s="5" t="s">
        <v>363</v>
      </c>
    </row>
    <row r="26" spans="1:3" x14ac:dyDescent="0.3">
      <c r="A26" t="s">
        <v>244</v>
      </c>
      <c r="B26" s="8">
        <f>0.01*B22</f>
        <v>2.01E-2</v>
      </c>
      <c r="C26" t="s">
        <v>117</v>
      </c>
    </row>
    <row r="30" spans="1:3" x14ac:dyDescent="0.3">
      <c r="A30" t="s">
        <v>246</v>
      </c>
    </row>
    <row r="31" spans="1:3" x14ac:dyDescent="0.3">
      <c r="A31" t="s">
        <v>245</v>
      </c>
      <c r="B31" s="8">
        <f>0.95*(B22-2*B23-2*B24-B26)</f>
        <v>1.2010849999999997</v>
      </c>
      <c r="C31" t="s">
        <v>117</v>
      </c>
    </row>
    <row r="32" spans="1:3" ht="18" x14ac:dyDescent="0.35">
      <c r="A32" s="31" t="s">
        <v>247</v>
      </c>
    </row>
    <row r="33" spans="1:3" x14ac:dyDescent="0.3">
      <c r="A33" s="5" t="str">
        <f>"Since D &gt; 1.2 m, cap nominal size, d_cap = "&amp;B34&amp;" mm"</f>
        <v>Since D &gt; 1.2 m, cap nominal size, d_cap = 100 mm</v>
      </c>
    </row>
    <row r="34" spans="1:3" x14ac:dyDescent="0.3">
      <c r="A34" t="s">
        <v>248</v>
      </c>
      <c r="B34" s="8">
        <f>100</f>
        <v>100</v>
      </c>
      <c r="C34" t="s">
        <v>96</v>
      </c>
    </row>
    <row r="35" spans="1:3" x14ac:dyDescent="0.3">
      <c r="A35" s="5" t="s">
        <v>249</v>
      </c>
    </row>
    <row r="36" spans="1:3" x14ac:dyDescent="0.3">
      <c r="A36" t="s">
        <v>250</v>
      </c>
      <c r="B36" s="8">
        <f>104</f>
        <v>104</v>
      </c>
      <c r="C36" t="s">
        <v>96</v>
      </c>
    </row>
    <row r="37" spans="1:3" x14ac:dyDescent="0.3">
      <c r="A37" t="s">
        <v>251</v>
      </c>
      <c r="B37" s="8">
        <f>B36-2*2.78</f>
        <v>98.44</v>
      </c>
      <c r="C37" t="s">
        <v>96</v>
      </c>
    </row>
    <row r="38" spans="1:3" x14ac:dyDescent="0.3">
      <c r="A38" t="s">
        <v>252</v>
      </c>
      <c r="B38" s="8">
        <f>76</f>
        <v>76</v>
      </c>
      <c r="C38" t="s">
        <v>96</v>
      </c>
    </row>
    <row r="39" spans="1:3" x14ac:dyDescent="0.3">
      <c r="A39" t="s">
        <v>253</v>
      </c>
      <c r="B39" s="8">
        <f>(PI()/4)*(B36/1000)^2</f>
        <v>8.4948665353067991E-3</v>
      </c>
      <c r="C39" t="s">
        <v>117</v>
      </c>
    </row>
    <row r="40" spans="1:3" x14ac:dyDescent="0.3">
      <c r="A40" t="s">
        <v>254</v>
      </c>
      <c r="B40" s="8">
        <f>6</f>
        <v>6</v>
      </c>
      <c r="C40" t="s">
        <v>96</v>
      </c>
    </row>
    <row r="41" spans="1:3" x14ac:dyDescent="0.3">
      <c r="A41" t="s">
        <v>255</v>
      </c>
      <c r="B41" s="8">
        <f>25</f>
        <v>25</v>
      </c>
      <c r="C41" t="s">
        <v>96</v>
      </c>
    </row>
    <row r="42" spans="1:3" x14ac:dyDescent="0.3">
      <c r="A42" t="s">
        <v>256</v>
      </c>
      <c r="B42" s="8">
        <f>26</f>
        <v>26</v>
      </c>
    </row>
    <row r="43" spans="1:3" x14ac:dyDescent="0.3">
      <c r="A43" t="s">
        <v>257</v>
      </c>
      <c r="B43" s="8">
        <f>0.5</f>
        <v>0.5</v>
      </c>
      <c r="C43" t="s">
        <v>96</v>
      </c>
    </row>
    <row r="44" spans="1:3" x14ac:dyDescent="0.3">
      <c r="A44" t="s">
        <v>258</v>
      </c>
    </row>
    <row r="45" spans="1:3" x14ac:dyDescent="0.3">
      <c r="A45" t="s">
        <v>287</v>
      </c>
      <c r="B45" s="8">
        <f>0.74</f>
        <v>0.74</v>
      </c>
    </row>
    <row r="46" spans="1:3" x14ac:dyDescent="0.3">
      <c r="A46" t="s">
        <v>259</v>
      </c>
      <c r="B46" s="8">
        <f>32</f>
        <v>32</v>
      </c>
      <c r="C46" t="s">
        <v>96</v>
      </c>
    </row>
    <row r="49" spans="1:3" x14ac:dyDescent="0.3">
      <c r="A49" s="5" t="s">
        <v>260</v>
      </c>
    </row>
    <row r="50" spans="1:3" x14ac:dyDescent="0.3">
      <c r="A50" t="s">
        <v>261</v>
      </c>
      <c r="B50" s="8">
        <v>1.52</v>
      </c>
    </row>
    <row r="51" spans="1:3" x14ac:dyDescent="0.3">
      <c r="A51" t="s">
        <v>262</v>
      </c>
      <c r="B51" s="8">
        <f>1.69</f>
        <v>1.69</v>
      </c>
    </row>
    <row r="52" spans="1:3" x14ac:dyDescent="0.3">
      <c r="A52" t="s">
        <v>278</v>
      </c>
      <c r="B52" s="8">
        <v>1.25</v>
      </c>
    </row>
    <row r="53" spans="1:3" x14ac:dyDescent="0.3">
      <c r="A53" t="s">
        <v>263</v>
      </c>
      <c r="B53" s="8">
        <v>0.62</v>
      </c>
    </row>
    <row r="55" spans="1:3" x14ac:dyDescent="0.3">
      <c r="A55" t="s">
        <v>264</v>
      </c>
      <c r="B55" s="8">
        <f>1.25*B36</f>
        <v>130</v>
      </c>
    </row>
    <row r="56" spans="1:3" x14ac:dyDescent="0.3">
      <c r="A56" s="5" t="s">
        <v>265</v>
      </c>
    </row>
    <row r="57" spans="1:3" x14ac:dyDescent="0.3">
      <c r="A57" t="s">
        <v>266</v>
      </c>
      <c r="B57" s="8">
        <f>ROUNDUP((2*10^6)/(SQRT(3)*(B55)^2),0)</f>
        <v>69</v>
      </c>
    </row>
    <row r="58" spans="1:3" x14ac:dyDescent="0.3">
      <c r="A58" t="s">
        <v>267</v>
      </c>
      <c r="B58" s="8">
        <f>ROUND(B57*$B$31,0)+1</f>
        <v>84</v>
      </c>
    </row>
    <row r="60" spans="1:3" ht="18" x14ac:dyDescent="0.35">
      <c r="A60" s="31" t="s">
        <v>268</v>
      </c>
    </row>
    <row r="61" spans="1:3" x14ac:dyDescent="0.3">
      <c r="A61" s="35" t="s">
        <v>269</v>
      </c>
    </row>
    <row r="62" spans="1:3" x14ac:dyDescent="0.3">
      <c r="A62" t="s">
        <v>270</v>
      </c>
      <c r="B62" s="8">
        <f>73</f>
        <v>73</v>
      </c>
      <c r="C62" t="s">
        <v>96</v>
      </c>
    </row>
    <row r="63" spans="1:3" x14ac:dyDescent="0.3">
      <c r="A63" t="s">
        <v>271</v>
      </c>
      <c r="B63" s="8">
        <f>B62/Design_cal!B42%</f>
        <v>12.166666666666666</v>
      </c>
      <c r="C63" t="s">
        <v>272</v>
      </c>
    </row>
    <row r="64" spans="1:3" ht="18" x14ac:dyDescent="0.35">
      <c r="A64" s="31" t="s">
        <v>273</v>
      </c>
    </row>
    <row r="65" spans="1:3" x14ac:dyDescent="0.3">
      <c r="A65" t="s">
        <v>274</v>
      </c>
      <c r="B65" s="8">
        <f>750*(Design_cal!B24/(Design_cal!B26*'Tray Hydraulics'!B9))^(2/3)</f>
        <v>22.147295561599293</v>
      </c>
      <c r="C65" t="s">
        <v>96</v>
      </c>
    </row>
    <row r="66" spans="1:3" x14ac:dyDescent="0.3">
      <c r="A66" t="str">
        <f>ROUND(B65,2)&amp;"mm( &gt; 10 mm specified as minimum in text)"</f>
        <v>22.15mm( &gt; 10 mm specified as minimum in text)</v>
      </c>
    </row>
    <row r="68" spans="1:3" ht="18" x14ac:dyDescent="0.35">
      <c r="A68" s="31" t="s">
        <v>275</v>
      </c>
    </row>
    <row r="69" spans="1:3" x14ac:dyDescent="0.3">
      <c r="A69" t="s">
        <v>276</v>
      </c>
      <c r="B69" s="8">
        <f>B53/B51</f>
        <v>0.36686390532544377</v>
      </c>
    </row>
    <row r="70" spans="1:3" x14ac:dyDescent="0.3">
      <c r="A70" t="s">
        <v>285</v>
      </c>
      <c r="B70" s="8">
        <f>B69*B39</f>
        <v>3.1164599123610741E-3</v>
      </c>
      <c r="C70" t="s">
        <v>117</v>
      </c>
    </row>
    <row r="71" spans="1:3" x14ac:dyDescent="0.3">
      <c r="A71" t="s">
        <v>277</v>
      </c>
      <c r="B71" s="8">
        <f>$B$70*B58</f>
        <v>0.26178263263833024</v>
      </c>
      <c r="C71" t="s">
        <v>117</v>
      </c>
    </row>
    <row r="72" spans="1:3" x14ac:dyDescent="0.3">
      <c r="A72" t="s">
        <v>279</v>
      </c>
      <c r="B72" s="8">
        <f>0.6373*(B52^2)-2.0386*B52+2.0554</f>
        <v>0.50293124999999961</v>
      </c>
      <c r="C72" t="s">
        <v>280</v>
      </c>
    </row>
    <row r="75" spans="1:3" x14ac:dyDescent="0.3">
      <c r="A75" t="s">
        <v>281</v>
      </c>
      <c r="B75" s="8">
        <f>Design_cal!B25/Design_cal!B26</f>
        <v>3.9032628186945351E-3</v>
      </c>
    </row>
    <row r="76" spans="1:3" x14ac:dyDescent="0.3">
      <c r="A76" t="s">
        <v>282</v>
      </c>
      <c r="B76" s="8">
        <f>273.4*$B$72*$B$75*($B$5/B71)^2</f>
        <v>32.307016589704311</v>
      </c>
      <c r="C76" t="s">
        <v>96</v>
      </c>
    </row>
    <row r="77" spans="1:3" ht="18" x14ac:dyDescent="0.35">
      <c r="A77" s="31" t="s">
        <v>284</v>
      </c>
    </row>
    <row r="78" spans="1:3" x14ac:dyDescent="0.3">
      <c r="A78" t="s">
        <v>286</v>
      </c>
      <c r="B78" s="8">
        <f>$B$53*B58*$B$39</f>
        <v>0.44241264915877809</v>
      </c>
      <c r="C78" t="s">
        <v>117</v>
      </c>
    </row>
    <row r="79" spans="1:3" x14ac:dyDescent="0.3">
      <c r="A79" t="s">
        <v>288</v>
      </c>
      <c r="B79" s="8">
        <f>0.060478*B45*B78*($B$46*(Design_cal!$B$26-Design_cal!$B$25)/Design_cal!$B$25)^(0.5)+0.1</f>
        <v>1.8892397028816175</v>
      </c>
      <c r="C79" t="s">
        <v>88</v>
      </c>
    </row>
    <row r="80" spans="1:3" x14ac:dyDescent="0.3">
      <c r="A80" t="s">
        <v>289</v>
      </c>
      <c r="B80" s="8">
        <f>$B$5/B79</f>
        <v>1.0750650199109963</v>
      </c>
    </row>
    <row r="81" spans="1:4" x14ac:dyDescent="0.3">
      <c r="A81" s="5" t="s">
        <v>361</v>
      </c>
    </row>
    <row r="82" spans="1:4" x14ac:dyDescent="0.3">
      <c r="A82" t="s">
        <v>290</v>
      </c>
      <c r="B82" s="8">
        <f>B46+B40</f>
        <v>38</v>
      </c>
      <c r="C82" t="s">
        <v>96</v>
      </c>
    </row>
    <row r="83" spans="1:4" x14ac:dyDescent="0.3">
      <c r="A83" t="s">
        <v>291</v>
      </c>
      <c r="B83" s="8">
        <f>(B7+B9)/2</f>
        <v>1.4080000000000001</v>
      </c>
      <c r="C83" t="s">
        <v>111</v>
      </c>
    </row>
    <row r="84" spans="1:4" x14ac:dyDescent="0.3">
      <c r="A84" t="s">
        <v>292</v>
      </c>
      <c r="B84" s="8">
        <f>B4/(3600*B83)</f>
        <v>4.3824813565512257E-3</v>
      </c>
      <c r="C84" t="s">
        <v>293</v>
      </c>
      <c r="D84" t="s">
        <v>294</v>
      </c>
    </row>
    <row r="85" spans="1:4" ht="18" x14ac:dyDescent="0.35">
      <c r="A85" s="31" t="s">
        <v>247</v>
      </c>
    </row>
    <row r="86" spans="1:4" x14ac:dyDescent="0.3">
      <c r="A86" s="3" t="s">
        <v>296</v>
      </c>
      <c r="B86" s="8">
        <f>((B7/2)^2-(B9/2)^2)^0.5</f>
        <v>0.51993845789670146</v>
      </c>
      <c r="C86" t="s">
        <v>111</v>
      </c>
    </row>
    <row r="87" spans="1:4" x14ac:dyDescent="0.3">
      <c r="A87" s="3" t="s">
        <v>297</v>
      </c>
      <c r="B87" s="8">
        <f>2*((B7/2)^2-((B7/2)-B8-B21)^2)^0.5</f>
        <v>1.3618394789098169</v>
      </c>
      <c r="C87" t="s">
        <v>111</v>
      </c>
    </row>
    <row r="88" spans="1:4" ht="28.8" x14ac:dyDescent="0.3">
      <c r="A88" s="3" t="s">
        <v>298</v>
      </c>
      <c r="B88" s="8">
        <f>(B7+B87)/2</f>
        <v>1.4809197394549085</v>
      </c>
      <c r="C88" t="s">
        <v>111</v>
      </c>
    </row>
    <row r="89" spans="1:4" x14ac:dyDescent="0.3">
      <c r="A89" s="3" t="s">
        <v>299</v>
      </c>
      <c r="B89" s="8">
        <f>B88/(B55*10^-3)</f>
        <v>11.391690303499296</v>
      </c>
    </row>
    <row r="90" spans="1:4" x14ac:dyDescent="0.3">
      <c r="A90" s="3" t="str">
        <f>"No. of rows to accommodate "&amp;B58&amp;"  Caps"</f>
        <v>No. of rows to accommodate 84  Caps</v>
      </c>
      <c r="B90" s="8">
        <f>B58/B89</f>
        <v>7.3737959654852014</v>
      </c>
    </row>
    <row r="91" spans="1:4" x14ac:dyDescent="0.3">
      <c r="A91" t="s">
        <v>300</v>
      </c>
      <c r="B91" s="8">
        <f>B55*SIN(60*(PI()/180))</f>
        <v>112.58330249197702</v>
      </c>
      <c r="C91" t="s">
        <v>96</v>
      </c>
    </row>
    <row r="92" spans="1:4" ht="28.8" x14ac:dyDescent="0.3">
      <c r="A92" s="3" t="s">
        <v>301</v>
      </c>
      <c r="B92" s="8">
        <f>2*(B86-B8)/(B91*10^-3)</f>
        <v>7.4600486679919049</v>
      </c>
      <c r="C92" s="8" t="str">
        <f>"&gt;"&amp;ROUND(B90,2)&amp;" (Hence, OK)"</f>
        <v>&gt;7.37 (Hence, OK)</v>
      </c>
      <c r="D92" s="8"/>
    </row>
    <row r="93" spans="1:4" x14ac:dyDescent="0.3">
      <c r="A93" s="5" t="str">
        <f>"Actual layout needs to be done to finalise number of rows but"</f>
        <v>Actual layout needs to be done to finalise number of rows but</v>
      </c>
    </row>
    <row r="94" spans="1:4" x14ac:dyDescent="0.3">
      <c r="A94" s="5" t="str">
        <f>ROUNDDOWN(B90,0)&amp;" rows can be accommodated and further calculations consider "&amp;ROUNDDOWN(B90,0)&amp;" rows"</f>
        <v>7 rows can be accommodated and further calculations consider 7 rows</v>
      </c>
    </row>
    <row r="97" spans="1:3" x14ac:dyDescent="0.3">
      <c r="A97" t="s">
        <v>302</v>
      </c>
      <c r="C97" s="8">
        <f>(B55-B36)/B36</f>
        <v>0.25</v>
      </c>
    </row>
    <row r="98" spans="1:3" x14ac:dyDescent="0.3">
      <c r="A98" t="s">
        <v>303</v>
      </c>
      <c r="B98" s="8">
        <f>25.4</f>
        <v>25.4</v>
      </c>
      <c r="C98" t="s">
        <v>96</v>
      </c>
    </row>
    <row r="99" spans="1:3" x14ac:dyDescent="0.3">
      <c r="A99" t="s">
        <v>304</v>
      </c>
      <c r="B99" s="8">
        <f>B62+B65</f>
        <v>95.147295561599293</v>
      </c>
      <c r="C99" t="s">
        <v>96</v>
      </c>
    </row>
    <row r="101" spans="1:3" x14ac:dyDescent="0.3">
      <c r="A101" s="5" t="s">
        <v>305</v>
      </c>
    </row>
    <row r="102" spans="1:3" x14ac:dyDescent="0.3">
      <c r="A102" t="s">
        <v>266</v>
      </c>
      <c r="B102" s="8">
        <f>ROUNDUP((10^6)/(($B$55)^2),0)</f>
        <v>60</v>
      </c>
    </row>
    <row r="103" spans="1:3" x14ac:dyDescent="0.3">
      <c r="A103" t="s">
        <v>267</v>
      </c>
      <c r="B103" s="8">
        <f>ROUND(B102*$B$31,0)</f>
        <v>72</v>
      </c>
    </row>
    <row r="104" spans="1:3" x14ac:dyDescent="0.3">
      <c r="A104" t="s">
        <v>277</v>
      </c>
      <c r="B104" s="8">
        <f>$B$70*B103</f>
        <v>0.22438511368999733</v>
      </c>
      <c r="C104" t="s">
        <v>117</v>
      </c>
    </row>
    <row r="105" spans="1:3" x14ac:dyDescent="0.3">
      <c r="A105" t="s">
        <v>282</v>
      </c>
      <c r="B105" s="8">
        <f>273.4*$B$72*$B$75*($B$5/B104)^2</f>
        <v>43.973439247097531</v>
      </c>
      <c r="C105" t="s">
        <v>96</v>
      </c>
    </row>
    <row r="106" spans="1:3" x14ac:dyDescent="0.3">
      <c r="A106" t="s">
        <v>287</v>
      </c>
      <c r="B106" s="8">
        <v>0.74</v>
      </c>
    </row>
    <row r="107" spans="1:3" x14ac:dyDescent="0.3">
      <c r="A107" t="s">
        <v>286</v>
      </c>
      <c r="B107" s="8">
        <f>$B$53*B103*$B$39</f>
        <v>0.37921084213609552</v>
      </c>
      <c r="C107" t="s">
        <v>117</v>
      </c>
    </row>
    <row r="108" spans="1:3" x14ac:dyDescent="0.3">
      <c r="A108" t="s">
        <v>288</v>
      </c>
      <c r="B108" s="8">
        <f>0.060478*B106*B107*($B$46*(Design_cal!$B$26-Design_cal!$B$25)/Design_cal!$B$25)^(0.5)</f>
        <v>1.5336340310413863</v>
      </c>
      <c r="C108" t="s">
        <v>88</v>
      </c>
    </row>
    <row r="109" spans="1:3" x14ac:dyDescent="0.3">
      <c r="A109" t="s">
        <v>289</v>
      </c>
      <c r="B109" s="8">
        <f>$B$5/B108</f>
        <v>1.3243417123548826</v>
      </c>
    </row>
    <row r="110" spans="1:3" x14ac:dyDescent="0.3">
      <c r="A110" s="5" t="s">
        <v>306</v>
      </c>
    </row>
    <row r="111" spans="1:3" ht="21" x14ac:dyDescent="0.4">
      <c r="A111" s="32" t="s">
        <v>307</v>
      </c>
    </row>
    <row r="114" spans="1:3" x14ac:dyDescent="0.3">
      <c r="A114" t="s">
        <v>308</v>
      </c>
      <c r="B114" s="8">
        <f>0.8197*(B5/B22)*SQRT(Design_cal!B25)</f>
        <v>1.5305314594725341</v>
      </c>
      <c r="C114" t="s">
        <v>311</v>
      </c>
    </row>
    <row r="115" spans="1:3" x14ac:dyDescent="0.3">
      <c r="A115" t="s">
        <v>309</v>
      </c>
      <c r="B115" s="8">
        <f>4831.17*B84</f>
        <v>21.172512455329585</v>
      </c>
      <c r="C115" t="s">
        <v>310</v>
      </c>
    </row>
    <row r="116" spans="1:3" x14ac:dyDescent="0.3">
      <c r="A116" s="5" t="str">
        <f>"C_v can be found from fig.14.13 using the f and "&amp;A114</f>
        <v>C_v can be found from fig.14.13 using the f and V_o√𝜌_𝑣</v>
      </c>
    </row>
    <row r="117" spans="1:3" x14ac:dyDescent="0.3">
      <c r="A117" t="s">
        <v>312</v>
      </c>
      <c r="B117" s="8">
        <f>1.14</f>
        <v>1.1399999999999999</v>
      </c>
    </row>
    <row r="121" spans="1:3" x14ac:dyDescent="0.3">
      <c r="A121" t="s">
        <v>313</v>
      </c>
      <c r="B121" s="8">
        <f>EXP(0.0899*(LN(B115))^2-0.0238*LN(B115)+2.4146)</f>
        <v>24.040112074433406</v>
      </c>
    </row>
    <row r="124" spans="1:3" ht="18" x14ac:dyDescent="0.35">
      <c r="A124" s="34" t="str">
        <f>"∆ = "&amp;B117&amp;"*"&amp;ROUNDDOWN(B90,0)&amp;"*"&amp;"𝛿"</f>
        <v>∆ = 1.14*7*𝛿</v>
      </c>
    </row>
    <row r="128" spans="1:3" x14ac:dyDescent="0.3">
      <c r="A128" s="5" t="str">
        <f>"Putting "&amp;A121&amp;" and "&amp;A124&amp;" in the above expression and solving for del"</f>
        <v>Putting {(Q_L/l_w)/C_d} and ∆ = 1.14*7*𝛿 in the above expression and solving for del</v>
      </c>
    </row>
    <row r="129" spans="1:4" x14ac:dyDescent="0.3">
      <c r="A129" t="s">
        <v>313</v>
      </c>
      <c r="B129" s="8">
        <f>0.2015*(C97/(1+C97))*(B130^(0.5))*((1.6*B130)+3*(B99+0.5*(B117*ROUNDDOWN(B90,0)*B130)+(0.3*B98/C97)))</f>
        <v>24.040101139031243</v>
      </c>
      <c r="C129" t="s">
        <v>317</v>
      </c>
    </row>
    <row r="130" spans="1:4" x14ac:dyDescent="0.3">
      <c r="A130" t="s">
        <v>315</v>
      </c>
      <c r="B130" s="8">
        <v>2.1571490984795432</v>
      </c>
      <c r="C130" t="s">
        <v>316</v>
      </c>
    </row>
    <row r="131" spans="1:4" x14ac:dyDescent="0.3">
      <c r="A131" t="s">
        <v>314</v>
      </c>
      <c r="B131" s="8">
        <f>B117*ROUNDDOWN(B90,0)*B130</f>
        <v>17.214049805866754</v>
      </c>
      <c r="C131" s="8">
        <f>ROUND(B131,0)</f>
        <v>17</v>
      </c>
      <c r="D131" t="s">
        <v>318</v>
      </c>
    </row>
    <row r="133" spans="1:4" ht="18" x14ac:dyDescent="0.35">
      <c r="A133" s="31" t="s">
        <v>323</v>
      </c>
    </row>
    <row r="134" spans="1:4" x14ac:dyDescent="0.3">
      <c r="A134" t="s">
        <v>319</v>
      </c>
      <c r="B134" s="8">
        <f>13</f>
        <v>13</v>
      </c>
      <c r="C134" t="s">
        <v>96</v>
      </c>
    </row>
    <row r="135" spans="1:4" x14ac:dyDescent="0.3">
      <c r="A135" t="s">
        <v>321</v>
      </c>
      <c r="B135" s="8">
        <f>B134+B65+C131/2</f>
        <v>43.647295561599293</v>
      </c>
      <c r="C135" t="s">
        <v>96</v>
      </c>
    </row>
    <row r="136" spans="1:4" x14ac:dyDescent="0.3">
      <c r="A136" t="s">
        <v>320</v>
      </c>
      <c r="B136" s="8">
        <f>(B5/(B14*B22))*SQRT(Design_cal!B25)</f>
        <v>2.4568222319342348</v>
      </c>
    </row>
    <row r="139" spans="1:4" x14ac:dyDescent="0.3">
      <c r="A139" t="s">
        <v>322</v>
      </c>
      <c r="B139" s="8">
        <f>-0.0255*(B136)^3+0.1744*(B136)^2-0.4282*B136+0.9979</f>
        <v>0.62041521578029091</v>
      </c>
    </row>
    <row r="140" spans="1:4" x14ac:dyDescent="0.3">
      <c r="A140" t="s">
        <v>324</v>
      </c>
      <c r="B140" s="8">
        <f>B139*B135</f>
        <v>27.079446294075758</v>
      </c>
      <c r="C140" t="s">
        <v>96</v>
      </c>
    </row>
    <row r="141" spans="1:4" x14ac:dyDescent="0.3">
      <c r="A141" t="s">
        <v>325</v>
      </c>
      <c r="B141" s="8">
        <f>B140+B105+B82</f>
        <v>109.05288554117328</v>
      </c>
      <c r="C141" t="s">
        <v>96</v>
      </c>
    </row>
    <row r="142" spans="1:4" ht="18" x14ac:dyDescent="0.35">
      <c r="A142" s="31" t="s">
        <v>326</v>
      </c>
    </row>
    <row r="143" spans="1:4" x14ac:dyDescent="0.3">
      <c r="A143" t="s">
        <v>327</v>
      </c>
      <c r="B143" s="8">
        <f>B105+B82</f>
        <v>81.973439247097531</v>
      </c>
      <c r="C143" t="s">
        <v>96</v>
      </c>
    </row>
    <row r="144" spans="1:4" x14ac:dyDescent="0.3">
      <c r="A144" t="s">
        <v>328</v>
      </c>
      <c r="B144" s="8">
        <f>B131/B143</f>
        <v>0.20999545662561986</v>
      </c>
    </row>
    <row r="147" spans="1:3" ht="18" x14ac:dyDescent="0.35">
      <c r="A147" s="31" t="s">
        <v>329</v>
      </c>
    </row>
    <row r="148" spans="1:3" x14ac:dyDescent="0.3">
      <c r="A148" t="s">
        <v>330</v>
      </c>
      <c r="B148" s="8">
        <f>(1-B17)*B22</f>
        <v>1.7687999999999999</v>
      </c>
      <c r="C148" t="s">
        <v>117</v>
      </c>
    </row>
    <row r="149" spans="1:3" x14ac:dyDescent="0.3">
      <c r="A149" t="s">
        <v>105</v>
      </c>
      <c r="B149" s="8">
        <f>B5/B148</f>
        <v>1.1482674800967156</v>
      </c>
      <c r="C149" t="s">
        <v>106</v>
      </c>
    </row>
    <row r="150" spans="1:3" x14ac:dyDescent="0.3">
      <c r="A150" t="s">
        <v>331</v>
      </c>
      <c r="B150" s="8">
        <f>Design_cal!B46*SQRT((Design_cal!B26-Design_cal!B25)/Design_cal!B25)</f>
        <v>1.5515197412550246</v>
      </c>
    </row>
    <row r="151" spans="1:3" x14ac:dyDescent="0.3">
      <c r="A151" t="str">
        <f>"j"&amp;" = "&amp;A149&amp;"/"&amp;A150</f>
        <v>j = U_V,n/U_fV,n</v>
      </c>
      <c r="B151" s="8">
        <f>B149/B150</f>
        <v>0.74009208491790246</v>
      </c>
      <c r="C151" s="8" t="str">
        <f>"≈"&amp;ROUND(B151,3)*100&amp;" %"</f>
        <v>≈74 %</v>
      </c>
    </row>
    <row r="152" spans="1:3" x14ac:dyDescent="0.3">
      <c r="A152" s="5" t="s">
        <v>332</v>
      </c>
    </row>
    <row r="154" spans="1:3" ht="18" x14ac:dyDescent="0.35">
      <c r="A154" s="31" t="s">
        <v>333</v>
      </c>
    </row>
    <row r="155" spans="1:3" x14ac:dyDescent="0.3">
      <c r="A155" t="s">
        <v>334</v>
      </c>
      <c r="B155" s="8">
        <f>25</f>
        <v>25</v>
      </c>
      <c r="C155" t="s">
        <v>96</v>
      </c>
    </row>
    <row r="156" spans="1:3" x14ac:dyDescent="0.3">
      <c r="A156" t="str">
        <f>"A_dc,clearance  = "&amp;A155&amp;" * "&amp;"l_w"</f>
        <v>A_dc,clearance  = h_dc,clearance * l_w</v>
      </c>
      <c r="B156" s="8">
        <f>B155*10^-3*B9</f>
        <v>3.0400000000000007E-2</v>
      </c>
      <c r="C156" t="s">
        <v>117</v>
      </c>
    </row>
    <row r="157" spans="1:3" x14ac:dyDescent="0.3">
      <c r="A157" t="s">
        <v>335</v>
      </c>
      <c r="B157" s="8">
        <f>0.1275*(B4/(100*B156))^2</f>
        <v>6.807904943141085</v>
      </c>
      <c r="C157" t="s">
        <v>96</v>
      </c>
    </row>
    <row r="160" spans="1:3" x14ac:dyDescent="0.3">
      <c r="A160" t="s">
        <v>336</v>
      </c>
      <c r="B160" s="8">
        <f>B99+B157+B141+C131</f>
        <v>228.00808604591367</v>
      </c>
      <c r="C160" t="s">
        <v>96</v>
      </c>
    </row>
    <row r="161" spans="1:3" x14ac:dyDescent="0.3">
      <c r="A161" s="5" t="s">
        <v>337</v>
      </c>
    </row>
    <row r="162" spans="1:3" x14ac:dyDescent="0.3">
      <c r="A162" t="s">
        <v>338</v>
      </c>
      <c r="B162" s="8">
        <f>(B23*B160*10^-3)/(B4/3600)</f>
        <v>8.9126083062197576</v>
      </c>
      <c r="C162" t="s">
        <v>339</v>
      </c>
    </row>
    <row r="163" spans="1:3" x14ac:dyDescent="0.3">
      <c r="A163" t="s">
        <v>340</v>
      </c>
      <c r="B163" s="8">
        <f>(B4/3600)/B23</f>
        <v>2.5582644071410143E-2</v>
      </c>
      <c r="C163" t="s">
        <v>106</v>
      </c>
    </row>
    <row r="164" spans="1:3" x14ac:dyDescent="0.3">
      <c r="A164" s="5" t="str">
        <f>"Therefore, "&amp;A163 &amp;" is sufficiently below choking limit"</f>
        <v>Therefore, Downcomer Velocity is sufficiently below choking limit</v>
      </c>
    </row>
    <row r="165" spans="1:3" x14ac:dyDescent="0.3">
      <c r="A165" s="5" t="s">
        <v>341</v>
      </c>
    </row>
    <row r="166" spans="1:3" x14ac:dyDescent="0.3">
      <c r="A166" s="5" t="s">
        <v>342</v>
      </c>
    </row>
    <row r="168" spans="1:3" ht="18" x14ac:dyDescent="0.35">
      <c r="A168" s="31" t="s">
        <v>343</v>
      </c>
    </row>
    <row r="169" spans="1:3" x14ac:dyDescent="0.3">
      <c r="A169" t="s">
        <v>344</v>
      </c>
      <c r="B169" s="8">
        <f>B22-(B23+B31)</f>
        <v>0.56771500000000019</v>
      </c>
      <c r="C169" t="s">
        <v>117</v>
      </c>
    </row>
    <row r="170" spans="1:3" x14ac:dyDescent="0.3">
      <c r="A170" t="s">
        <v>346</v>
      </c>
      <c r="B170" s="8">
        <f>B169*SUM(Design_cal!B72:B74)</f>
        <v>10.786585000000004</v>
      </c>
      <c r="C170" t="s">
        <v>117</v>
      </c>
    </row>
    <row r="171" spans="1:3" x14ac:dyDescent="0.3">
      <c r="A171" s="5" t="s">
        <v>347</v>
      </c>
    </row>
    <row r="172" spans="1:3" x14ac:dyDescent="0.3">
      <c r="A172" s="5" t="s">
        <v>348</v>
      </c>
    </row>
    <row r="173" spans="1:3" x14ac:dyDescent="0.3">
      <c r="A173" s="5" t="s">
        <v>350</v>
      </c>
    </row>
    <row r="174" spans="1:3" x14ac:dyDescent="0.3">
      <c r="A174" t="s">
        <v>351</v>
      </c>
      <c r="B174" s="8">
        <f>B170*277.75</f>
        <v>2995.973983750001</v>
      </c>
      <c r="C174" t="s">
        <v>349</v>
      </c>
    </row>
    <row r="175" spans="1:3" x14ac:dyDescent="0.3">
      <c r="A175" t="s">
        <v>352</v>
      </c>
      <c r="B175" s="8">
        <f>B174/(SUM(Design_cal!B72:B74))</f>
        <v>157.68284125000005</v>
      </c>
      <c r="C175" t="s">
        <v>349</v>
      </c>
    </row>
    <row r="176" spans="1:3" x14ac:dyDescent="0.3">
      <c r="A176" t="s">
        <v>353</v>
      </c>
      <c r="B176" s="8">
        <f>3</f>
        <v>3</v>
      </c>
      <c r="C176" t="s">
        <v>96</v>
      </c>
    </row>
    <row r="177" spans="1:3" x14ac:dyDescent="0.3">
      <c r="A177" t="s">
        <v>354</v>
      </c>
      <c r="B177" s="8">
        <f>B175/((PI()*(B176^2))/4)</f>
        <v>22.30755877841078</v>
      </c>
      <c r="C177" s="8">
        <f>ROUNDUP(B177,0)</f>
        <v>23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A299-0470-49A1-AE48-F5D55EEC6173}">
  <dimension ref="A1:F25"/>
  <sheetViews>
    <sheetView workbookViewId="0">
      <selection activeCell="F12" sqref="F12"/>
    </sheetView>
  </sheetViews>
  <sheetFormatPr defaultRowHeight="14.4" x14ac:dyDescent="0.3"/>
  <cols>
    <col min="1" max="1" width="24.21875" customWidth="1"/>
    <col min="2" max="2" width="17" bestFit="1" customWidth="1"/>
    <col min="3" max="3" width="20.77734375" bestFit="1" customWidth="1"/>
  </cols>
  <sheetData>
    <row r="1" spans="1:6" x14ac:dyDescent="0.3">
      <c r="A1" t="s">
        <v>374</v>
      </c>
      <c r="B1">
        <f>'Tray Hydraulics'!B7</f>
        <v>1.6</v>
      </c>
    </row>
    <row r="2" spans="1:6" x14ac:dyDescent="0.3">
      <c r="A2" t="s">
        <v>375</v>
      </c>
      <c r="B2">
        <f>'Tray Hydraulics'!B22</f>
        <v>2.0099999999999998</v>
      </c>
    </row>
    <row r="3" spans="1:6" x14ac:dyDescent="0.3">
      <c r="A3" t="s">
        <v>387</v>
      </c>
      <c r="B3">
        <f>'Tray Hydraulics'!B31</f>
        <v>1.2010849999999997</v>
      </c>
    </row>
    <row r="4" spans="1:6" x14ac:dyDescent="0.3">
      <c r="A4" t="s">
        <v>388</v>
      </c>
      <c r="B4">
        <f>'Tray Hydraulics'!B23</f>
        <v>0.24119999999999997</v>
      </c>
    </row>
    <row r="5" spans="1:6" x14ac:dyDescent="0.3">
      <c r="A5" t="s">
        <v>386</v>
      </c>
      <c r="B5">
        <v>1</v>
      </c>
    </row>
    <row r="6" spans="1:6" x14ac:dyDescent="0.3">
      <c r="A6" t="s">
        <v>389</v>
      </c>
      <c r="B6">
        <f>'Tray Hydraulics'!B21</f>
        <v>0.28006154210329853</v>
      </c>
    </row>
    <row r="7" spans="1:6" x14ac:dyDescent="0.3">
      <c r="A7" t="s">
        <v>376</v>
      </c>
      <c r="B7">
        <f>'Tray Hydraulics'!B9</f>
        <v>1.2160000000000002</v>
      </c>
    </row>
    <row r="8" spans="1:6" x14ac:dyDescent="0.3">
      <c r="A8" t="s">
        <v>377</v>
      </c>
      <c r="B8">
        <f>'Tray Hydraulics'!B62</f>
        <v>73</v>
      </c>
    </row>
    <row r="9" spans="1:6" x14ac:dyDescent="0.3">
      <c r="A9" t="s">
        <v>379</v>
      </c>
      <c r="B9" t="s">
        <v>384</v>
      </c>
      <c r="E9" t="s">
        <v>378</v>
      </c>
      <c r="F9" t="s">
        <v>378</v>
      </c>
    </row>
    <row r="10" spans="1:6" x14ac:dyDescent="0.3">
      <c r="A10" t="s">
        <v>385</v>
      </c>
      <c r="B10">
        <f>12</f>
        <v>12</v>
      </c>
      <c r="E10" t="s">
        <v>378</v>
      </c>
      <c r="F10" t="s">
        <v>378</v>
      </c>
    </row>
    <row r="11" spans="1:6" x14ac:dyDescent="0.3">
      <c r="A11" t="s">
        <v>390</v>
      </c>
      <c r="B11">
        <f>Design_cal!B73</f>
        <v>8</v>
      </c>
      <c r="D11" t="s">
        <v>378</v>
      </c>
      <c r="F11" t="s">
        <v>378</v>
      </c>
    </row>
    <row r="12" spans="1:6" x14ac:dyDescent="0.3">
      <c r="A12" t="s">
        <v>380</v>
      </c>
      <c r="B12">
        <f>Design_cal!B42</f>
        <v>600</v>
      </c>
      <c r="E12" t="s">
        <v>378</v>
      </c>
      <c r="F12" t="s">
        <v>378</v>
      </c>
    </row>
    <row r="13" spans="1:6" x14ac:dyDescent="0.3">
      <c r="A13" s="38" t="s">
        <v>391</v>
      </c>
      <c r="B13" t="s">
        <v>366</v>
      </c>
      <c r="C13">
        <f>Design_cal!B23</f>
        <v>6.9349761404896082</v>
      </c>
      <c r="E13" t="s">
        <v>378</v>
      </c>
      <c r="F13" t="s">
        <v>378</v>
      </c>
    </row>
    <row r="14" spans="1:6" x14ac:dyDescent="0.3">
      <c r="A14" s="38"/>
      <c r="B14" t="s">
        <v>381</v>
      </c>
      <c r="C14">
        <f>'Tray Hydraulics'!B5</f>
        <v>2.0310555187950707</v>
      </c>
      <c r="D14" t="s">
        <v>378</v>
      </c>
      <c r="E14" t="s">
        <v>378</v>
      </c>
      <c r="F14" t="s">
        <v>378</v>
      </c>
    </row>
    <row r="15" spans="1:6" x14ac:dyDescent="0.3">
      <c r="A15" s="38"/>
      <c r="B15" t="s">
        <v>394</v>
      </c>
      <c r="C15">
        <f>Design_cal!B25</f>
        <v>3.4144690168803469</v>
      </c>
      <c r="D15" t="s">
        <v>378</v>
      </c>
      <c r="E15" t="s">
        <v>378</v>
      </c>
      <c r="F15" t="s">
        <v>378</v>
      </c>
    </row>
    <row r="16" spans="1:6" x14ac:dyDescent="0.3">
      <c r="A16" s="38" t="s">
        <v>392</v>
      </c>
      <c r="B16" t="s">
        <v>366</v>
      </c>
      <c r="C16">
        <f>Design_cal!B24</f>
        <v>5.3978164642570849</v>
      </c>
      <c r="D16" t="s">
        <v>378</v>
      </c>
      <c r="E16" t="s">
        <v>378</v>
      </c>
      <c r="F16" t="s">
        <v>378</v>
      </c>
    </row>
    <row r="17" spans="1:6" x14ac:dyDescent="0.3">
      <c r="A17" s="38"/>
      <c r="B17" t="s">
        <v>381</v>
      </c>
      <c r="C17">
        <f>'Tray Hydraulics'!B4</f>
        <v>22.213921500086855</v>
      </c>
      <c r="D17" t="s">
        <v>378</v>
      </c>
      <c r="E17" t="s">
        <v>378</v>
      </c>
      <c r="F17" t="s">
        <v>378</v>
      </c>
    </row>
    <row r="18" spans="1:6" x14ac:dyDescent="0.3">
      <c r="A18" s="38"/>
      <c r="B18" t="s">
        <v>393</v>
      </c>
      <c r="C18">
        <f>Design_cal!B26</f>
        <v>874.77302336057721</v>
      </c>
      <c r="D18" t="s">
        <v>378</v>
      </c>
      <c r="E18" t="s">
        <v>378</v>
      </c>
      <c r="F18" t="s">
        <v>378</v>
      </c>
    </row>
    <row r="19" spans="1:6" x14ac:dyDescent="0.3">
      <c r="A19" s="38" t="s">
        <v>395</v>
      </c>
      <c r="B19" t="s">
        <v>397</v>
      </c>
      <c r="C19">
        <f>'Tray Hydraulics'!B84</f>
        <v>4.3824813565512257E-3</v>
      </c>
      <c r="D19" t="s">
        <v>378</v>
      </c>
      <c r="E19" t="s">
        <v>378</v>
      </c>
      <c r="F19" t="s">
        <v>378</v>
      </c>
    </row>
    <row r="20" spans="1:6" x14ac:dyDescent="0.3">
      <c r="A20" s="38"/>
      <c r="B20" t="s">
        <v>382</v>
      </c>
      <c r="C20">
        <f>'Tray Hydraulics'!B62</f>
        <v>73</v>
      </c>
      <c r="D20" t="s">
        <v>378</v>
      </c>
      <c r="E20" t="s">
        <v>378</v>
      </c>
      <c r="F20" t="s">
        <v>378</v>
      </c>
    </row>
    <row r="21" spans="1:6" x14ac:dyDescent="0.3">
      <c r="A21" s="38"/>
      <c r="B21" t="s">
        <v>396</v>
      </c>
      <c r="C21">
        <f>'Tray Hydraulics'!B141</f>
        <v>109.05288554117328</v>
      </c>
      <c r="D21" t="s">
        <v>378</v>
      </c>
      <c r="E21" t="s">
        <v>378</v>
      </c>
      <c r="F21" t="s">
        <v>378</v>
      </c>
    </row>
    <row r="22" spans="1:6" x14ac:dyDescent="0.3">
      <c r="A22" t="s">
        <v>399</v>
      </c>
      <c r="B22">
        <f>'Tray Hydraulics'!B156</f>
        <v>3.0400000000000007E-2</v>
      </c>
      <c r="D22" t="s">
        <v>378</v>
      </c>
      <c r="E22" t="s">
        <v>378</v>
      </c>
      <c r="F22" t="s">
        <v>378</v>
      </c>
    </row>
    <row r="23" spans="1:6" x14ac:dyDescent="0.3">
      <c r="A23" t="s">
        <v>398</v>
      </c>
      <c r="B23">
        <f>'Tray Hydraulics'!B157</f>
        <v>6.807904943141085</v>
      </c>
      <c r="D23" t="s">
        <v>378</v>
      </c>
      <c r="E23" t="s">
        <v>378</v>
      </c>
      <c r="F23" t="s">
        <v>378</v>
      </c>
    </row>
    <row r="24" spans="1:6" x14ac:dyDescent="0.3">
      <c r="A24" t="s">
        <v>383</v>
      </c>
      <c r="B24">
        <f>'Tray Hydraulics'!B160</f>
        <v>228.00808604591367</v>
      </c>
    </row>
    <row r="25" spans="1:6" x14ac:dyDescent="0.3">
      <c r="A25" t="s">
        <v>400</v>
      </c>
      <c r="B25">
        <f>'Tray Hydraulics'!B162</f>
        <v>8.9126083062197576</v>
      </c>
    </row>
  </sheetData>
  <mergeCells count="3">
    <mergeCell ref="A13:A15"/>
    <mergeCell ref="A16:A18"/>
    <mergeCell ref="A19:A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1978-E253-47B8-9DBE-3AB53E1E6B23}">
  <dimension ref="A1:F133"/>
  <sheetViews>
    <sheetView zoomScale="95" zoomScaleNormal="95" workbookViewId="0">
      <selection activeCell="E23" sqref="E23"/>
    </sheetView>
  </sheetViews>
  <sheetFormatPr defaultRowHeight="14.4" x14ac:dyDescent="0.3"/>
  <cols>
    <col min="1" max="1" width="29" customWidth="1"/>
    <col min="2" max="2" width="13" customWidth="1"/>
    <col min="3" max="3" width="15" customWidth="1"/>
    <col min="4" max="4" width="25.109375" customWidth="1"/>
    <col min="5" max="5" width="33.77734375" bestFit="1" customWidth="1"/>
    <col min="6" max="6" width="25.5546875" bestFit="1" customWidth="1"/>
  </cols>
  <sheetData>
    <row r="1" spans="1:3" x14ac:dyDescent="0.3">
      <c r="A1" t="s">
        <v>11</v>
      </c>
      <c r="B1">
        <f>8</f>
        <v>8</v>
      </c>
    </row>
    <row r="2" spans="1:3" x14ac:dyDescent="0.3">
      <c r="A2" t="s">
        <v>12</v>
      </c>
    </row>
    <row r="4" spans="1:3" x14ac:dyDescent="0.3">
      <c r="A4" t="s">
        <v>13</v>
      </c>
      <c r="B4">
        <f>(10+B1)%</f>
        <v>0.18</v>
      </c>
      <c r="C4" t="s">
        <v>14</v>
      </c>
    </row>
    <row r="5" spans="1:3" x14ac:dyDescent="0.3">
      <c r="B5">
        <f>(B4/78)/((B4/78)+((1-B4)/92))</f>
        <v>0.20566318926974661</v>
      </c>
      <c r="C5" t="s">
        <v>15</v>
      </c>
    </row>
    <row r="6" spans="1:3" x14ac:dyDescent="0.3">
      <c r="A6" t="s">
        <v>16</v>
      </c>
      <c r="B6">
        <f>90%</f>
        <v>0.9</v>
      </c>
      <c r="C6" t="s">
        <v>15</v>
      </c>
    </row>
    <row r="7" spans="1:3" x14ac:dyDescent="0.3">
      <c r="A7" t="s">
        <v>26</v>
      </c>
      <c r="B7">
        <f>0.05</f>
        <v>0.05</v>
      </c>
      <c r="C7" t="s">
        <v>15</v>
      </c>
    </row>
    <row r="8" spans="1:3" x14ac:dyDescent="0.3">
      <c r="A8" t="s">
        <v>45</v>
      </c>
      <c r="B8">
        <f>(B5*78+(1-B5)*92)/((B5*78/B24)+((1-B5)*92/C24))</f>
        <v>0.86627958108728265</v>
      </c>
      <c r="C8" t="s">
        <v>47</v>
      </c>
    </row>
    <row r="9" spans="1:3" x14ac:dyDescent="0.3">
      <c r="A9" t="s">
        <v>48</v>
      </c>
      <c r="B9">
        <f>(B6*78+(1-B6)*92)/((B6*78/$B$24)+((1-B6)*92/$C$24))</f>
        <v>0.87692338514041013</v>
      </c>
      <c r="C9" t="s">
        <v>47</v>
      </c>
    </row>
    <row r="10" spans="1:3" x14ac:dyDescent="0.3">
      <c r="A10" t="s">
        <v>49</v>
      </c>
      <c r="B10">
        <f>(B7*78+(1-B7)*92)/((B7*78/$B$24)+((1-B7)*92/$C$24))</f>
        <v>0.86423439784388534</v>
      </c>
      <c r="C10" t="s">
        <v>47</v>
      </c>
    </row>
    <row r="11" spans="1:3" x14ac:dyDescent="0.3">
      <c r="A11" t="s">
        <v>50</v>
      </c>
      <c r="B11">
        <f>AVERAGE(B8:B10)</f>
        <v>0.86914578802385944</v>
      </c>
      <c r="C11" t="s">
        <v>47</v>
      </c>
    </row>
    <row r="12" spans="1:3" x14ac:dyDescent="0.3">
      <c r="A12" t="s">
        <v>17</v>
      </c>
      <c r="B12">
        <f>1/(B4/78+(1-B4)/92)</f>
        <v>89.120715350223534</v>
      </c>
      <c r="C12" t="s">
        <v>18</v>
      </c>
    </row>
    <row r="13" spans="1:3" x14ac:dyDescent="0.3">
      <c r="A13" t="s">
        <v>19</v>
      </c>
      <c r="B13">
        <f>30+0.5*B1</f>
        <v>34</v>
      </c>
      <c r="C13" t="s">
        <v>20</v>
      </c>
    </row>
    <row r="14" spans="1:3" x14ac:dyDescent="0.3">
      <c r="B14">
        <f>B13*1000/B12</f>
        <v>381.50501672240807</v>
      </c>
      <c r="C14" t="s">
        <v>21</v>
      </c>
    </row>
    <row r="15" spans="1:3" x14ac:dyDescent="0.3">
      <c r="A15" t="s">
        <v>25</v>
      </c>
      <c r="B15">
        <f>(B14*(B5-B7))/(B6-B7)</f>
        <v>69.866220735785944</v>
      </c>
      <c r="C15" t="s">
        <v>21</v>
      </c>
    </row>
    <row r="16" spans="1:3" x14ac:dyDescent="0.3">
      <c r="A16" t="s">
        <v>27</v>
      </c>
      <c r="B16">
        <f>B14-B15</f>
        <v>311.63879598662214</v>
      </c>
      <c r="C16" t="s">
        <v>21</v>
      </c>
    </row>
    <row r="18" spans="1:3" x14ac:dyDescent="0.3">
      <c r="A18" t="s">
        <v>0</v>
      </c>
    </row>
    <row r="19" spans="1:3" x14ac:dyDescent="0.3">
      <c r="A19" t="s">
        <v>6</v>
      </c>
    </row>
    <row r="20" spans="1:3" x14ac:dyDescent="0.3">
      <c r="B20" t="s">
        <v>4</v>
      </c>
      <c r="C20" t="s">
        <v>5</v>
      </c>
    </row>
    <row r="21" spans="1:3" x14ac:dyDescent="0.3">
      <c r="A21" t="s">
        <v>1</v>
      </c>
      <c r="B21">
        <v>6.01905</v>
      </c>
      <c r="C21">
        <v>6.0843600000000002</v>
      </c>
    </row>
    <row r="22" spans="1:3" x14ac:dyDescent="0.3">
      <c r="A22" t="s">
        <v>2</v>
      </c>
      <c r="B22">
        <v>1204.6369999999999</v>
      </c>
      <c r="C22">
        <v>1347.62</v>
      </c>
    </row>
    <row r="23" spans="1:3" x14ac:dyDescent="0.3">
      <c r="A23" t="s">
        <v>3</v>
      </c>
      <c r="B23">
        <v>220.089</v>
      </c>
      <c r="C23">
        <v>219.78700000000001</v>
      </c>
    </row>
    <row r="24" spans="1:3" x14ac:dyDescent="0.3">
      <c r="A24" t="s">
        <v>46</v>
      </c>
      <c r="B24">
        <v>0.87870000000000004</v>
      </c>
      <c r="C24">
        <v>0.86360000000000003</v>
      </c>
    </row>
    <row r="25" spans="1:3" x14ac:dyDescent="0.3">
      <c r="A25" t="s">
        <v>22</v>
      </c>
      <c r="B25">
        <f>B6</f>
        <v>0.9</v>
      </c>
      <c r="C25">
        <f>1-B25</f>
        <v>9.9999999999999978E-2</v>
      </c>
    </row>
    <row r="26" spans="1:3" x14ac:dyDescent="0.3">
      <c r="A26" t="s">
        <v>23</v>
      </c>
      <c r="B26">
        <f>B7</f>
        <v>0.05</v>
      </c>
      <c r="C26">
        <f>1-B26</f>
        <v>0.95</v>
      </c>
    </row>
    <row r="27" spans="1:3" x14ac:dyDescent="0.3">
      <c r="A27" t="s">
        <v>28</v>
      </c>
      <c r="B27">
        <f>10^(B$21-B$22/($B32+B$23))</f>
        <v>52.256711269220382</v>
      </c>
      <c r="C27">
        <f>10^(C$21-C$22/($B32+C$23))</f>
        <v>18.525390774568791</v>
      </c>
    </row>
    <row r="28" spans="1:3" x14ac:dyDescent="0.3">
      <c r="A28" t="s">
        <v>29</v>
      </c>
      <c r="B28">
        <f>10^(B$21-B$22/($B39+B$23))</f>
        <v>139.10383765857165</v>
      </c>
      <c r="C28">
        <f>10^(C$21-C$22/($B39+C$23))</f>
        <v>55.514858564031016</v>
      </c>
    </row>
    <row r="29" spans="1:3" x14ac:dyDescent="0.3">
      <c r="A29" t="s">
        <v>30</v>
      </c>
      <c r="B29">
        <f>10^(B$21-B$22/($B40+B$23))</f>
        <v>170.22694759928035</v>
      </c>
      <c r="C29">
        <f>10^(C$21-C$22/($B40+C$23))</f>
        <v>69.613801557411449</v>
      </c>
    </row>
    <row r="30" spans="1:3" x14ac:dyDescent="0.3">
      <c r="A30" t="s">
        <v>152</v>
      </c>
      <c r="B30">
        <f>353.05-273</f>
        <v>80.050000000000011</v>
      </c>
      <c r="C30">
        <f>383.6-273</f>
        <v>110.60000000000002</v>
      </c>
    </row>
    <row r="32" spans="1:3" x14ac:dyDescent="0.3">
      <c r="A32" t="s">
        <v>9</v>
      </c>
      <c r="B32">
        <v>60</v>
      </c>
      <c r="C32" t="s">
        <v>31</v>
      </c>
    </row>
    <row r="39" spans="1:3" x14ac:dyDescent="0.3">
      <c r="A39" t="s">
        <v>8</v>
      </c>
      <c r="B39">
        <v>90.728043558698502</v>
      </c>
      <c r="C39" t="s">
        <v>31</v>
      </c>
    </row>
    <row r="40" spans="1:3" ht="28.8" x14ac:dyDescent="0.3">
      <c r="A40" s="3" t="s">
        <v>207</v>
      </c>
      <c r="B40">
        <v>97.92317076683554</v>
      </c>
      <c r="C40" t="s">
        <v>31</v>
      </c>
    </row>
    <row r="41" spans="1:3" x14ac:dyDescent="0.3">
      <c r="A41" t="s">
        <v>64</v>
      </c>
    </row>
    <row r="42" spans="1:3" x14ac:dyDescent="0.3">
      <c r="A42" t="s">
        <v>208</v>
      </c>
      <c r="B42">
        <f>101.325 + 0.3*98.0665</f>
        <v>130.74495000000002</v>
      </c>
      <c r="C42" t="s">
        <v>65</v>
      </c>
    </row>
    <row r="43" spans="1:3" x14ac:dyDescent="0.3">
      <c r="A43" t="s">
        <v>10</v>
      </c>
      <c r="B43">
        <f>B27*$B$25+C27*$C$25</f>
        <v>48.883579219755227</v>
      </c>
    </row>
    <row r="44" spans="1:3" x14ac:dyDescent="0.3">
      <c r="A44" s="3" t="s">
        <v>209</v>
      </c>
      <c r="B44">
        <f>B28*$B$25+C28*$C$25</f>
        <v>130.74493974911758</v>
      </c>
      <c r="C44" t="s">
        <v>65</v>
      </c>
    </row>
    <row r="46" spans="1:3" x14ac:dyDescent="0.3">
      <c r="A46" t="s">
        <v>44</v>
      </c>
      <c r="B46">
        <f>B44+101.325*0.3/1.0332</f>
        <v>160.16567145643467</v>
      </c>
      <c r="C46">
        <f>B29*$B$25+C29*$C$25</f>
        <v>160.16563299509346</v>
      </c>
    </row>
    <row r="48" spans="1:3" x14ac:dyDescent="0.3">
      <c r="A48" t="s">
        <v>7</v>
      </c>
      <c r="B48">
        <f>10^(B$21-B$22/($B50+B$23))</f>
        <v>357.30375825791117</v>
      </c>
      <c r="C48">
        <f>10^(C$21-C$22/($B50+C$23))</f>
        <v>159.80160673141449</v>
      </c>
    </row>
    <row r="50" spans="1:4" x14ac:dyDescent="0.3">
      <c r="A50" t="s">
        <v>24</v>
      </c>
      <c r="B50">
        <v>127.46803544054316</v>
      </c>
      <c r="C50" t="s">
        <v>31</v>
      </c>
    </row>
    <row r="51" spans="1:4" x14ac:dyDescent="0.3">
      <c r="A51" s="3" t="s">
        <v>174</v>
      </c>
      <c r="B51">
        <f>B46+18*B11*(60/10000)*101.325</f>
        <v>169.67682072935855</v>
      </c>
      <c r="C51">
        <f>B26*B48+C26*C48</f>
        <v>169.6767143077393</v>
      </c>
    </row>
    <row r="53" spans="1:4" x14ac:dyDescent="0.3">
      <c r="A53" s="1" t="s">
        <v>34</v>
      </c>
      <c r="B53" s="1"/>
      <c r="C53" s="1" t="s">
        <v>35</v>
      </c>
      <c r="D53" s="1"/>
    </row>
    <row r="54" spans="1:4" x14ac:dyDescent="0.3">
      <c r="C54" t="s">
        <v>4</v>
      </c>
      <c r="D54" t="s">
        <v>5</v>
      </c>
    </row>
    <row r="55" spans="1:4" x14ac:dyDescent="0.3">
      <c r="A55" t="s">
        <v>32</v>
      </c>
      <c r="B55">
        <f>B40</f>
        <v>97.92317076683554</v>
      </c>
      <c r="C55">
        <f>B29</f>
        <v>170.22694759928035</v>
      </c>
      <c r="D55">
        <f>C29</f>
        <v>69.613801557411449</v>
      </c>
    </row>
    <row r="56" spans="1:4" x14ac:dyDescent="0.3">
      <c r="A56" t="s">
        <v>33</v>
      </c>
      <c r="B56">
        <f>B50</f>
        <v>127.46803544054316</v>
      </c>
      <c r="C56">
        <f>B48</f>
        <v>357.30375825791117</v>
      </c>
      <c r="D56">
        <f>C48</f>
        <v>159.80160673141449</v>
      </c>
    </row>
    <row r="58" spans="1:4" x14ac:dyDescent="0.3">
      <c r="A58" t="s">
        <v>36</v>
      </c>
      <c r="B58">
        <f>C55/D55</f>
        <v>2.4453045774104418</v>
      </c>
    </row>
    <row r="59" spans="1:4" x14ac:dyDescent="0.3">
      <c r="A59" t="s">
        <v>37</v>
      </c>
      <c r="B59">
        <f>C56/D56</f>
        <v>2.2359209370056403</v>
      </c>
    </row>
    <row r="61" spans="1:4" x14ac:dyDescent="0.3">
      <c r="A61" t="s">
        <v>38</v>
      </c>
      <c r="B61">
        <f>SQRT(B58*B59)</f>
        <v>2.3382702371598834</v>
      </c>
    </row>
    <row r="77" spans="1:2" x14ac:dyDescent="0.3">
      <c r="A77" t="s">
        <v>43</v>
      </c>
      <c r="B77">
        <f>LN((B25/C25)*(C26/B26))/LN(B61)</f>
        <v>6.0532073239830195</v>
      </c>
    </row>
    <row r="78" spans="1:2" x14ac:dyDescent="0.3">
      <c r="A78" t="s">
        <v>41</v>
      </c>
      <c r="B78">
        <f>(1/(B61-1))*((B6/B5)-(B61*(1-B6)/(1-B5)))</f>
        <v>3.049996360390506</v>
      </c>
    </row>
    <row r="80" spans="1:2" x14ac:dyDescent="0.3">
      <c r="A80" t="s">
        <v>39</v>
      </c>
      <c r="B80">
        <f>B78*1.41</f>
        <v>4.3004948681506132</v>
      </c>
    </row>
    <row r="81" spans="1:2" x14ac:dyDescent="0.3">
      <c r="A81" t="s">
        <v>42</v>
      </c>
      <c r="B81">
        <f>0.7591-0.7532*((B80-B78)/(B80+1))^(0.5124)</f>
        <v>0.39975136551795221</v>
      </c>
    </row>
    <row r="82" spans="1:2" x14ac:dyDescent="0.3">
      <c r="A82" t="s">
        <v>51</v>
      </c>
      <c r="B82">
        <f>B77/(1-B81)</f>
        <v>10.084499949269036</v>
      </c>
    </row>
    <row r="84" spans="1:2" x14ac:dyDescent="0.3">
      <c r="A84" t="s">
        <v>52</v>
      </c>
    </row>
    <row r="86" spans="1:2" x14ac:dyDescent="0.3">
      <c r="A86" t="s">
        <v>53</v>
      </c>
      <c r="B86">
        <f>LN(($B$25/$C$25)*((1-$B$5)/$B$5))/LN(($B$5/(1-$B$5)*($C$26/$B$26)))</f>
        <v>2.2273138171847675</v>
      </c>
    </row>
    <row r="88" spans="1:2" x14ac:dyDescent="0.3">
      <c r="A88" t="s">
        <v>54</v>
      </c>
    </row>
    <row r="90" spans="1:2" x14ac:dyDescent="0.3">
      <c r="A90" t="s">
        <v>55</v>
      </c>
      <c r="B90">
        <f>70%</f>
        <v>0.7</v>
      </c>
    </row>
    <row r="92" spans="1:2" x14ac:dyDescent="0.3">
      <c r="A92" t="s">
        <v>56</v>
      </c>
      <c r="B92">
        <f>ROUNDUP(B82*(B86/(1+B86))/B90,0)</f>
        <v>10</v>
      </c>
    </row>
    <row r="93" spans="1:2" x14ac:dyDescent="0.3">
      <c r="A93" t="s">
        <v>57</v>
      </c>
      <c r="B93">
        <f>ROUNDUP(B82*(1-(B86/(1+B86)))/B90,0)</f>
        <v>5</v>
      </c>
    </row>
    <row r="95" spans="1:2" x14ac:dyDescent="0.3">
      <c r="A95" t="s">
        <v>58</v>
      </c>
    </row>
    <row r="97" spans="1:6" ht="43.2" x14ac:dyDescent="0.3">
      <c r="A97" s="3" t="s">
        <v>59</v>
      </c>
      <c r="B97" s="3" t="s">
        <v>62</v>
      </c>
      <c r="C97" s="3" t="s">
        <v>63</v>
      </c>
      <c r="D97" s="3" t="s">
        <v>60</v>
      </c>
      <c r="E97" s="3" t="s">
        <v>119</v>
      </c>
      <c r="F97" s="3" t="s">
        <v>61</v>
      </c>
    </row>
    <row r="98" spans="1:6" x14ac:dyDescent="0.3">
      <c r="A98">
        <f>1.2</f>
        <v>1.2</v>
      </c>
      <c r="B98">
        <f t="shared" ref="B98:B133" si="0">A98*$B$78</f>
        <v>3.6599956324686072</v>
      </c>
      <c r="C98">
        <f t="shared" ref="C98:C133" si="1">$B$77/(1-(0.7591-0.7532*((B98-$B$78)/(B98+1))^(0.5124)))</f>
        <v>11.94810370119782</v>
      </c>
      <c r="D98">
        <f t="shared" ref="D98:D133" si="2">ROUNDUP(C98*($B$86/(1+$B$86))/$B$90,0)</f>
        <v>12</v>
      </c>
      <c r="E98">
        <f t="shared" ref="E98:E133" si="3">ROUNDUP(D98*(1-($B$86/(1+$B$86)))/$B$90,0)</f>
        <v>6</v>
      </c>
      <c r="F98">
        <f>D98+E98+1</f>
        <v>19</v>
      </c>
    </row>
    <row r="99" spans="1:6" x14ac:dyDescent="0.3">
      <c r="A99">
        <f>A98+0.01</f>
        <v>1.21</v>
      </c>
      <c r="B99">
        <f t="shared" si="0"/>
        <v>3.6904955960725121</v>
      </c>
      <c r="C99">
        <f t="shared" si="1"/>
        <v>11.812459244258255</v>
      </c>
      <c r="D99">
        <f t="shared" si="2"/>
        <v>12</v>
      </c>
      <c r="E99">
        <f t="shared" si="3"/>
        <v>6</v>
      </c>
      <c r="F99">
        <f t="shared" ref="F99:F133" si="4">D99+E99+1</f>
        <v>19</v>
      </c>
    </row>
    <row r="100" spans="1:6" x14ac:dyDescent="0.3">
      <c r="A100">
        <f t="shared" ref="A100:A133" si="5">A99+0.01</f>
        <v>1.22</v>
      </c>
      <c r="B100">
        <f t="shared" si="0"/>
        <v>3.7209955596764175</v>
      </c>
      <c r="C100">
        <f t="shared" si="1"/>
        <v>11.684126012699554</v>
      </c>
      <c r="D100">
        <f t="shared" si="2"/>
        <v>12</v>
      </c>
      <c r="E100">
        <f t="shared" si="3"/>
        <v>6</v>
      </c>
      <c r="F100">
        <f t="shared" si="4"/>
        <v>19</v>
      </c>
    </row>
    <row r="101" spans="1:6" x14ac:dyDescent="0.3">
      <c r="A101">
        <f t="shared" si="5"/>
        <v>1.23</v>
      </c>
      <c r="B101">
        <f t="shared" si="0"/>
        <v>3.7514955232803224</v>
      </c>
      <c r="C101">
        <f t="shared" si="1"/>
        <v>11.562458276253746</v>
      </c>
      <c r="D101">
        <f t="shared" si="2"/>
        <v>12</v>
      </c>
      <c r="E101">
        <f t="shared" si="3"/>
        <v>6</v>
      </c>
      <c r="F101">
        <f t="shared" si="4"/>
        <v>19</v>
      </c>
    </row>
    <row r="102" spans="1:6" x14ac:dyDescent="0.3">
      <c r="A102">
        <f t="shared" si="5"/>
        <v>1.24</v>
      </c>
      <c r="B102">
        <f t="shared" si="0"/>
        <v>3.7819954868842274</v>
      </c>
      <c r="C102">
        <f t="shared" si="1"/>
        <v>11.446889787965967</v>
      </c>
      <c r="D102">
        <f t="shared" si="2"/>
        <v>12</v>
      </c>
      <c r="E102">
        <f t="shared" si="3"/>
        <v>6</v>
      </c>
      <c r="F102">
        <f t="shared" si="4"/>
        <v>19</v>
      </c>
    </row>
    <row r="103" spans="1:6" x14ac:dyDescent="0.3">
      <c r="A103">
        <f t="shared" si="5"/>
        <v>1.25</v>
      </c>
      <c r="B103">
        <f t="shared" si="0"/>
        <v>3.8124954504881323</v>
      </c>
      <c r="C103">
        <f t="shared" si="1"/>
        <v>11.336921337646404</v>
      </c>
      <c r="D103">
        <f t="shared" si="2"/>
        <v>12</v>
      </c>
      <c r="E103">
        <f t="shared" si="3"/>
        <v>6</v>
      </c>
      <c r="F103">
        <f t="shared" si="4"/>
        <v>19</v>
      </c>
    </row>
    <row r="104" spans="1:6" x14ac:dyDescent="0.3">
      <c r="A104">
        <f t="shared" si="5"/>
        <v>1.26</v>
      </c>
      <c r="B104">
        <f t="shared" si="0"/>
        <v>3.8429954140920377</v>
      </c>
      <c r="C104">
        <f t="shared" si="1"/>
        <v>11.232110648564548</v>
      </c>
      <c r="D104">
        <f t="shared" si="2"/>
        <v>12</v>
      </c>
      <c r="E104">
        <f t="shared" si="3"/>
        <v>6</v>
      </c>
      <c r="F104">
        <f t="shared" si="4"/>
        <v>19</v>
      </c>
    </row>
    <row r="105" spans="1:6" x14ac:dyDescent="0.3">
      <c r="A105">
        <f t="shared" si="5"/>
        <v>1.27</v>
      </c>
      <c r="B105">
        <f t="shared" si="0"/>
        <v>3.8734953776959427</v>
      </c>
      <c r="C105">
        <f t="shared" si="1"/>
        <v>11.132064106582929</v>
      </c>
      <c r="D105">
        <f t="shared" si="2"/>
        <v>11</v>
      </c>
      <c r="E105">
        <f t="shared" si="3"/>
        <v>5</v>
      </c>
      <c r="F105">
        <f t="shared" si="4"/>
        <v>17</v>
      </c>
    </row>
    <row r="106" spans="1:6" x14ac:dyDescent="0.3">
      <c r="A106">
        <f t="shared" si="5"/>
        <v>1.28</v>
      </c>
      <c r="B106">
        <f t="shared" si="0"/>
        <v>3.9039953412998476</v>
      </c>
      <c r="C106">
        <f t="shared" si="1"/>
        <v>11.036429936494732</v>
      </c>
      <c r="D106">
        <f t="shared" si="2"/>
        <v>11</v>
      </c>
      <c r="E106">
        <f t="shared" si="3"/>
        <v>5</v>
      </c>
      <c r="F106">
        <f t="shared" si="4"/>
        <v>17</v>
      </c>
    </row>
    <row r="107" spans="1:6" x14ac:dyDescent="0.3">
      <c r="A107">
        <f t="shared" si="5"/>
        <v>1.29</v>
      </c>
      <c r="B107">
        <f t="shared" si="0"/>
        <v>3.934495304903753</v>
      </c>
      <c r="C107">
        <f t="shared" si="1"/>
        <v>10.944892531758093</v>
      </c>
      <c r="D107">
        <f t="shared" si="2"/>
        <v>11</v>
      </c>
      <c r="E107">
        <f t="shared" si="3"/>
        <v>5</v>
      </c>
      <c r="F107">
        <f t="shared" si="4"/>
        <v>17</v>
      </c>
    </row>
    <row r="108" spans="1:6" x14ac:dyDescent="0.3">
      <c r="A108">
        <f t="shared" si="5"/>
        <v>1.3</v>
      </c>
      <c r="B108">
        <f t="shared" si="0"/>
        <v>3.9649952685076579</v>
      </c>
      <c r="C108">
        <f t="shared" si="1"/>
        <v>10.857167711223878</v>
      </c>
      <c r="D108">
        <f t="shared" si="2"/>
        <v>11</v>
      </c>
      <c r="E108">
        <f t="shared" si="3"/>
        <v>5</v>
      </c>
      <c r="F108">
        <f t="shared" si="4"/>
        <v>17</v>
      </c>
    </row>
    <row r="109" spans="1:6" x14ac:dyDescent="0.3">
      <c r="A109">
        <f t="shared" si="5"/>
        <v>1.31</v>
      </c>
      <c r="B109">
        <f t="shared" si="0"/>
        <v>3.9954952321115629</v>
      </c>
      <c r="C109">
        <f t="shared" si="1"/>
        <v>10.772998726720079</v>
      </c>
      <c r="D109">
        <f t="shared" si="2"/>
        <v>11</v>
      </c>
      <c r="E109">
        <f t="shared" si="3"/>
        <v>5</v>
      </c>
      <c r="F109">
        <f t="shared" si="4"/>
        <v>17</v>
      </c>
    </row>
    <row r="110" spans="1:6" x14ac:dyDescent="0.3">
      <c r="A110">
        <f t="shared" si="5"/>
        <v>1.32</v>
      </c>
      <c r="B110">
        <f t="shared" si="0"/>
        <v>4.0259951957154678</v>
      </c>
      <c r="C110">
        <f t="shared" si="1"/>
        <v>10.692152883242677</v>
      </c>
      <c r="D110">
        <f t="shared" si="2"/>
        <v>11</v>
      </c>
      <c r="E110">
        <f t="shared" si="3"/>
        <v>5</v>
      </c>
      <c r="F110">
        <f t="shared" si="4"/>
        <v>17</v>
      </c>
    </row>
    <row r="111" spans="1:6" x14ac:dyDescent="0.3">
      <c r="A111">
        <f t="shared" si="5"/>
        <v>1.33</v>
      </c>
      <c r="B111">
        <f t="shared" si="0"/>
        <v>4.0564951593193737</v>
      </c>
      <c r="C111">
        <f t="shared" si="1"/>
        <v>10.614418662341885</v>
      </c>
      <c r="D111">
        <f t="shared" si="2"/>
        <v>11</v>
      </c>
      <c r="E111">
        <f t="shared" si="3"/>
        <v>5</v>
      </c>
      <c r="F111">
        <f t="shared" si="4"/>
        <v>17</v>
      </c>
    </row>
    <row r="112" spans="1:6" x14ac:dyDescent="0.3">
      <c r="A112">
        <f t="shared" si="5"/>
        <v>1.34</v>
      </c>
      <c r="B112">
        <f t="shared" si="0"/>
        <v>4.0869951229232786</v>
      </c>
      <c r="C112">
        <f t="shared" si="1"/>
        <v>10.539603261447446</v>
      </c>
      <c r="D112">
        <f t="shared" si="2"/>
        <v>11</v>
      </c>
      <c r="E112">
        <f t="shared" si="3"/>
        <v>5</v>
      </c>
      <c r="F112">
        <f t="shared" si="4"/>
        <v>17</v>
      </c>
    </row>
    <row r="113" spans="1:6" x14ac:dyDescent="0.3">
      <c r="A113">
        <f t="shared" si="5"/>
        <v>1.35</v>
      </c>
      <c r="B113">
        <f t="shared" si="0"/>
        <v>4.1174950865271835</v>
      </c>
      <c r="C113">
        <f t="shared" si="1"/>
        <v>10.467530479043342</v>
      </c>
      <c r="D113">
        <f t="shared" si="2"/>
        <v>11</v>
      </c>
      <c r="E113">
        <f t="shared" si="3"/>
        <v>5</v>
      </c>
      <c r="F113">
        <f t="shared" si="4"/>
        <v>17</v>
      </c>
    </row>
    <row r="114" spans="1:6" x14ac:dyDescent="0.3">
      <c r="A114">
        <f t="shared" si="5"/>
        <v>1.36</v>
      </c>
      <c r="B114">
        <f t="shared" si="0"/>
        <v>4.1479950501310885</v>
      </c>
      <c r="C114">
        <f t="shared" si="1"/>
        <v>10.398038889010792</v>
      </c>
      <c r="D114">
        <f t="shared" si="2"/>
        <v>11</v>
      </c>
      <c r="E114">
        <f t="shared" si="3"/>
        <v>5</v>
      </c>
      <c r="F114">
        <f t="shared" si="4"/>
        <v>17</v>
      </c>
    </row>
    <row r="115" spans="1:6" x14ac:dyDescent="0.3">
      <c r="A115">
        <f t="shared" si="5"/>
        <v>1.37</v>
      </c>
      <c r="B115">
        <f t="shared" si="0"/>
        <v>4.1784950137349934</v>
      </c>
      <c r="C115">
        <f t="shared" si="1"/>
        <v>10.330980258010927</v>
      </c>
      <c r="D115">
        <f t="shared" si="2"/>
        <v>11</v>
      </c>
      <c r="E115">
        <f t="shared" si="3"/>
        <v>5</v>
      </c>
      <c r="F115">
        <f t="shared" si="4"/>
        <v>17</v>
      </c>
    </row>
    <row r="116" spans="1:6" x14ac:dyDescent="0.3">
      <c r="A116">
        <f t="shared" si="5"/>
        <v>1.3800000000000001</v>
      </c>
      <c r="B116">
        <f t="shared" si="0"/>
        <v>4.2089949773388984</v>
      </c>
      <c r="C116">
        <f t="shared" si="1"/>
        <v>10.266218168142336</v>
      </c>
      <c r="D116">
        <f t="shared" si="2"/>
        <v>11</v>
      </c>
      <c r="E116">
        <f t="shared" si="3"/>
        <v>5</v>
      </c>
      <c r="F116">
        <f t="shared" si="4"/>
        <v>17</v>
      </c>
    </row>
    <row r="117" spans="1:6" x14ac:dyDescent="0.3">
      <c r="A117">
        <f t="shared" si="5"/>
        <v>1.3900000000000001</v>
      </c>
      <c r="B117">
        <f t="shared" si="0"/>
        <v>4.2394949409428033</v>
      </c>
      <c r="C117">
        <f t="shared" si="1"/>
        <v>10.203626813781783</v>
      </c>
      <c r="D117">
        <f t="shared" si="2"/>
        <v>11</v>
      </c>
      <c r="E117">
        <f t="shared" si="3"/>
        <v>5</v>
      </c>
      <c r="F117">
        <f t="shared" si="4"/>
        <v>17</v>
      </c>
    </row>
    <row r="118" spans="1:6" x14ac:dyDescent="0.3">
      <c r="A118">
        <f>A117+0.01</f>
        <v>1.4000000000000001</v>
      </c>
      <c r="B118">
        <f t="shared" si="0"/>
        <v>4.2699949045467092</v>
      </c>
      <c r="C118">
        <f t="shared" si="1"/>
        <v>10.14308994687465</v>
      </c>
      <c r="D118">
        <f t="shared" si="2"/>
        <v>11</v>
      </c>
      <c r="E118">
        <f t="shared" si="3"/>
        <v>5</v>
      </c>
      <c r="F118">
        <f t="shared" si="4"/>
        <v>17</v>
      </c>
    </row>
    <row r="119" spans="1:6" x14ac:dyDescent="0.3">
      <c r="A119">
        <f t="shared" si="5"/>
        <v>1.4100000000000001</v>
      </c>
      <c r="B119">
        <f t="shared" si="0"/>
        <v>4.3004948681506141</v>
      </c>
      <c r="C119">
        <f t="shared" si="1"/>
        <v>10.084499949269034</v>
      </c>
      <c r="D119">
        <f t="shared" si="2"/>
        <v>10</v>
      </c>
      <c r="E119">
        <f t="shared" si="3"/>
        <v>5</v>
      </c>
      <c r="F119">
        <f t="shared" si="4"/>
        <v>16</v>
      </c>
    </row>
    <row r="120" spans="1:6" x14ac:dyDescent="0.3">
      <c r="A120">
        <f t="shared" si="5"/>
        <v>1.4200000000000002</v>
      </c>
      <c r="B120">
        <f t="shared" si="0"/>
        <v>4.330994831754519</v>
      </c>
      <c r="C120">
        <f t="shared" si="1"/>
        <v>10.027757014202733</v>
      </c>
      <c r="D120">
        <f t="shared" si="2"/>
        <v>10</v>
      </c>
      <c r="E120">
        <f t="shared" si="3"/>
        <v>5</v>
      </c>
      <c r="F120">
        <f t="shared" si="4"/>
        <v>16</v>
      </c>
    </row>
    <row r="121" spans="1:6" x14ac:dyDescent="0.3">
      <c r="A121">
        <f t="shared" si="5"/>
        <v>1.4300000000000002</v>
      </c>
      <c r="B121">
        <f t="shared" si="0"/>
        <v>4.361494795358424</v>
      </c>
      <c r="C121">
        <f t="shared" si="1"/>
        <v>9.9727684219225825</v>
      </c>
      <c r="D121">
        <f t="shared" si="2"/>
        <v>10</v>
      </c>
      <c r="E121">
        <f t="shared" si="3"/>
        <v>5</v>
      </c>
      <c r="F121">
        <f t="shared" si="4"/>
        <v>16</v>
      </c>
    </row>
    <row r="122" spans="1:6" x14ac:dyDescent="0.3">
      <c r="A122">
        <f t="shared" si="5"/>
        <v>1.4400000000000002</v>
      </c>
      <c r="B122">
        <f t="shared" si="0"/>
        <v>4.3919947589623289</v>
      </c>
      <c r="C122">
        <f t="shared" si="1"/>
        <v>9.9194478967713842</v>
      </c>
      <c r="D122">
        <f t="shared" si="2"/>
        <v>10</v>
      </c>
      <c r="E122">
        <f t="shared" si="3"/>
        <v>5</v>
      </c>
      <c r="F122">
        <f t="shared" si="4"/>
        <v>16</v>
      </c>
    </row>
    <row r="123" spans="1:6" x14ac:dyDescent="0.3">
      <c r="A123">
        <f t="shared" si="5"/>
        <v>1.4500000000000002</v>
      </c>
      <c r="B123">
        <f t="shared" si="0"/>
        <v>4.4224947225662339</v>
      </c>
      <c r="C123">
        <f t="shared" si="1"/>
        <v>9.8677150350204368</v>
      </c>
      <c r="D123">
        <f t="shared" si="2"/>
        <v>10</v>
      </c>
      <c r="E123">
        <f t="shared" si="3"/>
        <v>5</v>
      </c>
      <c r="F123">
        <f t="shared" si="4"/>
        <v>16</v>
      </c>
    </row>
    <row r="124" spans="1:6" x14ac:dyDescent="0.3">
      <c r="A124">
        <f t="shared" si="5"/>
        <v>1.4600000000000002</v>
      </c>
      <c r="B124">
        <f t="shared" si="0"/>
        <v>4.4529946861701397</v>
      </c>
      <c r="C124">
        <f t="shared" si="1"/>
        <v>9.8174947943349959</v>
      </c>
      <c r="D124">
        <f t="shared" si="2"/>
        <v>10</v>
      </c>
      <c r="E124">
        <f t="shared" si="3"/>
        <v>5</v>
      </c>
      <c r="F124">
        <f t="shared" si="4"/>
        <v>16</v>
      </c>
    </row>
    <row r="125" spans="1:6" x14ac:dyDescent="0.3">
      <c r="A125">
        <f t="shared" si="5"/>
        <v>1.4700000000000002</v>
      </c>
      <c r="B125">
        <f t="shared" si="0"/>
        <v>4.4834946497740447</v>
      </c>
      <c r="C125">
        <f t="shared" si="1"/>
        <v>9.768717037099325</v>
      </c>
      <c r="D125">
        <f t="shared" si="2"/>
        <v>10</v>
      </c>
      <c r="E125">
        <f t="shared" si="3"/>
        <v>5</v>
      </c>
      <c r="F125">
        <f t="shared" si="4"/>
        <v>16</v>
      </c>
    </row>
    <row r="126" spans="1:6" x14ac:dyDescent="0.3">
      <c r="A126">
        <f t="shared" si="5"/>
        <v>1.4800000000000002</v>
      </c>
      <c r="B126">
        <f t="shared" si="0"/>
        <v>4.5139946133779496</v>
      </c>
      <c r="C126">
        <f t="shared" si="1"/>
        <v>9.7213161209467156</v>
      </c>
      <c r="D126">
        <f t="shared" si="2"/>
        <v>10</v>
      </c>
      <c r="E126">
        <f t="shared" si="3"/>
        <v>5</v>
      </c>
      <c r="F126">
        <f t="shared" si="4"/>
        <v>16</v>
      </c>
    </row>
    <row r="127" spans="1:6" x14ac:dyDescent="0.3">
      <c r="A127">
        <f t="shared" si="5"/>
        <v>1.4900000000000002</v>
      </c>
      <c r="B127">
        <f t="shared" si="0"/>
        <v>4.5444945769818546</v>
      </c>
      <c r="C127">
        <f t="shared" si="1"/>
        <v>9.6752305307786699</v>
      </c>
      <c r="D127">
        <f t="shared" si="2"/>
        <v>10</v>
      </c>
      <c r="E127">
        <f t="shared" si="3"/>
        <v>5</v>
      </c>
      <c r="F127">
        <f t="shared" si="4"/>
        <v>16</v>
      </c>
    </row>
    <row r="128" spans="1:6" x14ac:dyDescent="0.3">
      <c r="A128">
        <f t="shared" si="5"/>
        <v>1.5000000000000002</v>
      </c>
      <c r="B128">
        <f t="shared" si="0"/>
        <v>4.5749945405857595</v>
      </c>
      <c r="C128">
        <f t="shared" si="1"/>
        <v>9.6304025473475594</v>
      </c>
      <c r="D128">
        <f t="shared" si="2"/>
        <v>10</v>
      </c>
      <c r="E128">
        <f t="shared" si="3"/>
        <v>5</v>
      </c>
      <c r="F128">
        <f t="shared" si="4"/>
        <v>16</v>
      </c>
    </row>
    <row r="129" spans="1:6" x14ac:dyDescent="0.3">
      <c r="A129">
        <f t="shared" si="5"/>
        <v>1.5100000000000002</v>
      </c>
      <c r="B129">
        <f t="shared" si="0"/>
        <v>4.6054945041896644</v>
      </c>
      <c r="C129">
        <f t="shared" si="1"/>
        <v>9.5867779481452366</v>
      </c>
      <c r="D129">
        <f t="shared" si="2"/>
        <v>10</v>
      </c>
      <c r="E129">
        <f t="shared" si="3"/>
        <v>5</v>
      </c>
      <c r="F129">
        <f t="shared" si="4"/>
        <v>16</v>
      </c>
    </row>
    <row r="130" spans="1:6" x14ac:dyDescent="0.3">
      <c r="A130">
        <f t="shared" si="5"/>
        <v>1.5200000000000002</v>
      </c>
      <c r="B130">
        <f t="shared" si="0"/>
        <v>4.6359944677935703</v>
      </c>
      <c r="C130">
        <f t="shared" si="1"/>
        <v>9.5443057369062299</v>
      </c>
      <c r="D130">
        <f t="shared" si="2"/>
        <v>10</v>
      </c>
      <c r="E130">
        <f t="shared" si="3"/>
        <v>5</v>
      </c>
      <c r="F130">
        <f t="shared" si="4"/>
        <v>16</v>
      </c>
    </row>
    <row r="131" spans="1:6" x14ac:dyDescent="0.3">
      <c r="A131">
        <f t="shared" si="5"/>
        <v>1.5300000000000002</v>
      </c>
      <c r="B131">
        <f t="shared" si="0"/>
        <v>4.6664944313974752</v>
      </c>
      <c r="C131">
        <f t="shared" si="1"/>
        <v>9.5029378985164321</v>
      </c>
      <c r="D131">
        <f t="shared" si="2"/>
        <v>10</v>
      </c>
      <c r="E131">
        <f t="shared" si="3"/>
        <v>5</v>
      </c>
      <c r="F131">
        <f t="shared" si="4"/>
        <v>16</v>
      </c>
    </row>
    <row r="132" spans="1:6" x14ac:dyDescent="0.3">
      <c r="A132">
        <f t="shared" si="5"/>
        <v>1.5400000000000003</v>
      </c>
      <c r="B132">
        <f t="shared" si="0"/>
        <v>4.6969943950013802</v>
      </c>
      <c r="C132">
        <f t="shared" si="1"/>
        <v>9.4626291765293136</v>
      </c>
      <c r="D132">
        <f t="shared" si="2"/>
        <v>10</v>
      </c>
      <c r="E132">
        <f t="shared" si="3"/>
        <v>5</v>
      </c>
      <c r="F132">
        <f t="shared" si="4"/>
        <v>16</v>
      </c>
    </row>
    <row r="133" spans="1:6" x14ac:dyDescent="0.3">
      <c r="A133">
        <f t="shared" si="5"/>
        <v>1.5500000000000003</v>
      </c>
      <c r="B133">
        <f t="shared" si="0"/>
        <v>4.7274943586052851</v>
      </c>
      <c r="C133">
        <f t="shared" si="1"/>
        <v>9.4233368708441638</v>
      </c>
      <c r="D133">
        <f t="shared" si="2"/>
        <v>10</v>
      </c>
      <c r="E133">
        <f t="shared" si="3"/>
        <v>5</v>
      </c>
      <c r="F133">
        <f t="shared" si="4"/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9FBE-2DF2-4499-831B-54F5D349C43D}">
  <dimension ref="A1:R496"/>
  <sheetViews>
    <sheetView topLeftCell="A58" zoomScale="111" workbookViewId="0">
      <selection activeCell="D183" sqref="D183"/>
    </sheetView>
  </sheetViews>
  <sheetFormatPr defaultRowHeight="14.4" x14ac:dyDescent="0.3"/>
  <cols>
    <col min="1" max="1" width="40.33203125" customWidth="1"/>
    <col min="2" max="2" width="11.33203125" customWidth="1"/>
    <col min="3" max="4" width="9.6640625" bestFit="1" customWidth="1"/>
    <col min="8" max="8" width="12.109375" bestFit="1" customWidth="1"/>
    <col min="9" max="9" width="12.109375" customWidth="1"/>
    <col min="10" max="10" width="15.77734375" bestFit="1" customWidth="1"/>
    <col min="11" max="11" width="17.109375" customWidth="1"/>
    <col min="13" max="13" width="17.21875" bestFit="1" customWidth="1"/>
    <col min="14" max="14" width="12" bestFit="1" customWidth="1"/>
    <col min="16" max="16" width="15.77734375" bestFit="1" customWidth="1"/>
    <col min="17" max="17" width="13.88671875" bestFit="1" customWidth="1"/>
    <col min="18" max="18" width="12" bestFit="1" customWidth="1"/>
  </cols>
  <sheetData>
    <row r="1" spans="1:3" ht="21" x14ac:dyDescent="0.4">
      <c r="A1" s="4" t="s">
        <v>67</v>
      </c>
    </row>
    <row r="2" spans="1:3" x14ac:dyDescent="0.3">
      <c r="A2" t="s">
        <v>69</v>
      </c>
    </row>
    <row r="3" spans="1:3" x14ac:dyDescent="0.3">
      <c r="A3" t="s">
        <v>70</v>
      </c>
      <c r="B3">
        <f>Calculation!B16</f>
        <v>89.120715350223534</v>
      </c>
      <c r="C3" t="s">
        <v>18</v>
      </c>
    </row>
    <row r="4" spans="1:3" x14ac:dyDescent="0.3">
      <c r="A4" t="s">
        <v>77</v>
      </c>
      <c r="B4">
        <f>1/(B7/78+(1-B7)/92)</f>
        <v>79.205298013245027</v>
      </c>
      <c r="C4" t="s">
        <v>18</v>
      </c>
    </row>
    <row r="5" spans="1:3" x14ac:dyDescent="0.3">
      <c r="A5" t="s">
        <v>78</v>
      </c>
      <c r="B5">
        <f>1/(B8/78+(1-B8)/92)</f>
        <v>91.18170266836087</v>
      </c>
    </row>
    <row r="6" spans="1:3" x14ac:dyDescent="0.3">
      <c r="A6" s="5" t="s">
        <v>68</v>
      </c>
    </row>
    <row r="7" spans="1:3" x14ac:dyDescent="0.3">
      <c r="A7" t="s">
        <v>22</v>
      </c>
      <c r="B7">
        <f>0.9</f>
        <v>0.9</v>
      </c>
      <c r="C7">
        <f>1-B7</f>
        <v>9.9999999999999978E-2</v>
      </c>
    </row>
    <row r="8" spans="1:3" x14ac:dyDescent="0.3">
      <c r="A8" t="s">
        <v>23</v>
      </c>
      <c r="B8">
        <f>0.05</f>
        <v>0.05</v>
      </c>
      <c r="C8">
        <f>1-B8</f>
        <v>0.95</v>
      </c>
    </row>
    <row r="10" spans="1:3" x14ac:dyDescent="0.3">
      <c r="A10" t="s">
        <v>72</v>
      </c>
      <c r="B10">
        <f>Calculation!B18</f>
        <v>381.50501672240807</v>
      </c>
      <c r="C10" t="s">
        <v>21</v>
      </c>
    </row>
    <row r="11" spans="1:3" x14ac:dyDescent="0.3">
      <c r="B11">
        <f>B10*B3/3600</f>
        <v>9.4444444444444446</v>
      </c>
      <c r="C11" t="s">
        <v>71</v>
      </c>
    </row>
    <row r="12" spans="1:3" x14ac:dyDescent="0.3">
      <c r="A12" t="s">
        <v>25</v>
      </c>
      <c r="B12">
        <f>Calculation!B19</f>
        <v>69.866220735785944</v>
      </c>
      <c r="C12" t="s">
        <v>21</v>
      </c>
    </row>
    <row r="13" spans="1:3" x14ac:dyDescent="0.3">
      <c r="A13" t="s">
        <v>27</v>
      </c>
      <c r="B13">
        <f>Calculation!B20</f>
        <v>311.63879598662214</v>
      </c>
      <c r="C13" t="s">
        <v>21</v>
      </c>
    </row>
    <row r="14" spans="1:3" x14ac:dyDescent="0.3">
      <c r="A14" s="16" t="s">
        <v>83</v>
      </c>
      <c r="B14" s="17">
        <v>1</v>
      </c>
    </row>
    <row r="16" spans="1:3" x14ac:dyDescent="0.3">
      <c r="A16" t="s">
        <v>73</v>
      </c>
      <c r="B16">
        <f>B12*B7*78+B12*C7*92</f>
        <v>5547.3779264214036</v>
      </c>
      <c r="C16" t="s">
        <v>74</v>
      </c>
    </row>
    <row r="17" spans="1:3" x14ac:dyDescent="0.3">
      <c r="B17">
        <f>B16/3600</f>
        <v>1.5409383128948344</v>
      </c>
      <c r="C17" t="s">
        <v>71</v>
      </c>
    </row>
    <row r="18" spans="1:3" x14ac:dyDescent="0.3">
      <c r="A18" t="s">
        <v>75</v>
      </c>
      <c r="B18">
        <f>B13*B8*78+B13*C8*92</f>
        <v>28452.622073578601</v>
      </c>
      <c r="C18" t="s">
        <v>74</v>
      </c>
    </row>
    <row r="19" spans="1:3" x14ac:dyDescent="0.3">
      <c r="B19">
        <f>B18/3600</f>
        <v>7.9035061315496113</v>
      </c>
      <c r="C19" t="s">
        <v>71</v>
      </c>
    </row>
    <row r="20" spans="1:3" x14ac:dyDescent="0.3">
      <c r="A20" t="s">
        <v>41</v>
      </c>
      <c r="B20">
        <f>Calculation!B84</f>
        <v>2.9262935116185491</v>
      </c>
      <c r="C20" t="s">
        <v>190</v>
      </c>
    </row>
    <row r="21" spans="1:3" x14ac:dyDescent="0.3">
      <c r="A21" t="s">
        <v>82</v>
      </c>
      <c r="B21">
        <f>1.42</f>
        <v>1.42</v>
      </c>
    </row>
    <row r="22" spans="1:3" x14ac:dyDescent="0.3">
      <c r="A22" s="5" t="s">
        <v>76</v>
      </c>
    </row>
    <row r="23" spans="1:3" x14ac:dyDescent="0.3">
      <c r="A23" t="s">
        <v>79</v>
      </c>
      <c r="B23">
        <f>B12*(B21*B20+1)*B4*B14/3600</f>
        <v>7.924575825603406</v>
      </c>
      <c r="C23" t="s">
        <v>71</v>
      </c>
    </row>
    <row r="24" spans="1:3" x14ac:dyDescent="0.3">
      <c r="A24" t="s">
        <v>80</v>
      </c>
      <c r="B24">
        <f>B12*(B21*B20)*B4*B14/3600</f>
        <v>6.3874161493708836</v>
      </c>
      <c r="C24" t="s">
        <v>71</v>
      </c>
    </row>
    <row r="25" spans="1:3" x14ac:dyDescent="0.3">
      <c r="A25" t="s">
        <v>81</v>
      </c>
      <c r="B25">
        <f>(B4*273*Calculation!C42)/(22.4*(273+Calculation!B38)*101.325)</f>
        <v>3.4144690168803469</v>
      </c>
      <c r="C25" t="s">
        <v>84</v>
      </c>
    </row>
    <row r="26" spans="1:3" x14ac:dyDescent="0.3">
      <c r="A26" t="s">
        <v>85</v>
      </c>
      <c r="B26">
        <f>(B12*B4)/(((B12*B7*78)/(Calculation!B28*1000))+(('Design_cal (2)'!C7*'Design_cal (2)'!B12*92)/(Calculation!C28*1000)))</f>
        <v>874.77302336057721</v>
      </c>
      <c r="C26" t="s">
        <v>84</v>
      </c>
    </row>
    <row r="27" spans="1:3" x14ac:dyDescent="0.3">
      <c r="A27" t="s">
        <v>86</v>
      </c>
      <c r="B27">
        <f>B23/B25</f>
        <v>2.3208808709132027</v>
      </c>
      <c r="C27" t="s">
        <v>88</v>
      </c>
    </row>
    <row r="28" spans="1:3" x14ac:dyDescent="0.3">
      <c r="A28" t="s">
        <v>87</v>
      </c>
      <c r="B28">
        <f>B24/B26</f>
        <v>7.3017982708618824E-3</v>
      </c>
      <c r="C28" t="s">
        <v>88</v>
      </c>
    </row>
    <row r="30" spans="1:3" x14ac:dyDescent="0.3">
      <c r="A30" s="5" t="s">
        <v>89</v>
      </c>
    </row>
    <row r="31" spans="1:3" x14ac:dyDescent="0.3">
      <c r="A31" t="s">
        <v>90</v>
      </c>
      <c r="B31">
        <f>(B24/B23)*SQRT(B25/B26)</f>
        <v>5.0357375077677055E-2</v>
      </c>
    </row>
    <row r="32" spans="1:3" x14ac:dyDescent="0.3">
      <c r="A32" t="s">
        <v>98</v>
      </c>
      <c r="B32">
        <f>LN(B31)</f>
        <v>-2.9886101943241585</v>
      </c>
    </row>
    <row r="35" spans="1:5" x14ac:dyDescent="0.3">
      <c r="A35" t="s">
        <v>95</v>
      </c>
      <c r="B35" t="s">
        <v>91</v>
      </c>
      <c r="C35" t="s">
        <v>92</v>
      </c>
      <c r="D35" t="s">
        <v>93</v>
      </c>
      <c r="E35" t="s">
        <v>94</v>
      </c>
    </row>
    <row r="36" spans="1:5" x14ac:dyDescent="0.3">
      <c r="A36">
        <v>300</v>
      </c>
      <c r="B36">
        <v>-1.5699999999999999E-2</v>
      </c>
      <c r="C36">
        <v>-0.18629999999999999</v>
      </c>
      <c r="D36">
        <v>-0.77129999999999999</v>
      </c>
      <c r="E36">
        <v>-2.7707999999999999</v>
      </c>
    </row>
    <row r="37" spans="1:5" x14ac:dyDescent="0.3">
      <c r="A37">
        <v>450</v>
      </c>
      <c r="B37">
        <v>-1.78E-2</v>
      </c>
      <c r="C37">
        <v>-0.20269999999999999</v>
      </c>
      <c r="D37">
        <v>-0.81610000000000005</v>
      </c>
      <c r="E37">
        <v>-2.5493000000000001</v>
      </c>
    </row>
    <row r="38" spans="1:5" x14ac:dyDescent="0.3">
      <c r="A38">
        <v>600</v>
      </c>
      <c r="B38">
        <v>-1.72E-2</v>
      </c>
      <c r="C38">
        <v>-0.20710000000000001</v>
      </c>
      <c r="D38">
        <v>-0.8609</v>
      </c>
      <c r="E38">
        <v>-2.3289</v>
      </c>
    </row>
    <row r="39" spans="1:5" x14ac:dyDescent="0.3">
      <c r="A39">
        <v>900</v>
      </c>
      <c r="B39">
        <v>-1.8200000000000001E-2</v>
      </c>
      <c r="C39">
        <v>-0.21560000000000001</v>
      </c>
      <c r="D39">
        <v>-0.89510000000000001</v>
      </c>
      <c r="E39">
        <v>-2.1038000000000001</v>
      </c>
    </row>
    <row r="41" spans="1:5" x14ac:dyDescent="0.3">
      <c r="A41" t="s">
        <v>97</v>
      </c>
      <c r="B41">
        <v>450</v>
      </c>
      <c r="C41" t="s">
        <v>96</v>
      </c>
    </row>
    <row r="44" spans="1:5" x14ac:dyDescent="0.3">
      <c r="A44" t="s">
        <v>99</v>
      </c>
      <c r="B44">
        <f>INDEX(TS_array,MATCH(B41,Tray_space,0),1)*(B32^3)+INDEX(TS_array,MATCH(B41,Tray_space,0),2)*(B32^2)+INDEX(TS_array,MATCH(B41,Tray_space,0),3)*B32+INDEX(TS_array,MATCH(B41,Tray_space,0),4)-1.188</f>
        <v>-2.6336224190838209</v>
      </c>
    </row>
    <row r="45" spans="1:5" x14ac:dyDescent="0.3">
      <c r="A45" t="s">
        <v>100</v>
      </c>
      <c r="B45">
        <f>EXP(B44)</f>
        <v>7.181783617502624E-2</v>
      </c>
    </row>
    <row r="46" spans="1:5" x14ac:dyDescent="0.3">
      <c r="A46" s="5" t="s">
        <v>102</v>
      </c>
    </row>
    <row r="47" spans="1:5" x14ac:dyDescent="0.3">
      <c r="A47" t="s">
        <v>101</v>
      </c>
      <c r="B47" s="14">
        <v>0.8</v>
      </c>
    </row>
    <row r="48" spans="1:5" x14ac:dyDescent="0.3">
      <c r="A48" t="s">
        <v>103</v>
      </c>
      <c r="B48">
        <v>20</v>
      </c>
      <c r="C48" t="s">
        <v>104</v>
      </c>
    </row>
    <row r="54" spans="1:5" x14ac:dyDescent="0.3">
      <c r="A54" t="s">
        <v>105</v>
      </c>
      <c r="B54">
        <f>B47*((B48/20)^0.2)*B45*SQRT((B26-B25)/B25)</f>
        <v>0.91782348141346437</v>
      </c>
      <c r="C54" t="s">
        <v>106</v>
      </c>
    </row>
    <row r="55" spans="1:5" x14ac:dyDescent="0.3">
      <c r="A55" s="12" t="s">
        <v>109</v>
      </c>
    </row>
    <row r="56" spans="1:5" x14ac:dyDescent="0.3">
      <c r="A56" t="s">
        <v>107</v>
      </c>
      <c r="B56">
        <f>12%</f>
        <v>0.12</v>
      </c>
      <c r="C56" t="s">
        <v>108</v>
      </c>
    </row>
    <row r="61" spans="1:5" x14ac:dyDescent="0.3">
      <c r="A61" t="s">
        <v>110</v>
      </c>
      <c r="B61">
        <f>ROUND(((4*B23)/(B25*PI()*(1-B56)*B54))^0.5,2)</f>
        <v>1.91</v>
      </c>
      <c r="C61" t="s">
        <v>111</v>
      </c>
    </row>
    <row r="62" spans="1:5" x14ac:dyDescent="0.3">
      <c r="B62">
        <f>B61*1000</f>
        <v>1910</v>
      </c>
      <c r="C62" t="s">
        <v>96</v>
      </c>
    </row>
    <row r="63" spans="1:5" x14ac:dyDescent="0.3">
      <c r="A63" s="7" t="s">
        <v>112</v>
      </c>
      <c r="B63" s="8"/>
      <c r="C63" s="8"/>
      <c r="D63" s="8"/>
      <c r="E63" s="8"/>
    </row>
    <row r="64" spans="1:5" x14ac:dyDescent="0.3">
      <c r="A64" s="9" t="s">
        <v>113</v>
      </c>
      <c r="B64" s="9">
        <v>450</v>
      </c>
      <c r="C64" s="10">
        <v>1000</v>
      </c>
      <c r="D64" s="10">
        <v>3000</v>
      </c>
      <c r="E64" s="9">
        <v>5000</v>
      </c>
    </row>
    <row r="65" spans="1:5" x14ac:dyDescent="0.3">
      <c r="A65" s="9" t="s">
        <v>114</v>
      </c>
      <c r="B65" s="9">
        <v>50</v>
      </c>
      <c r="C65" s="9">
        <v>100</v>
      </c>
      <c r="D65" s="9">
        <v>200</v>
      </c>
      <c r="E65" s="9">
        <v>300</v>
      </c>
    </row>
    <row r="66" spans="1:5" x14ac:dyDescent="0.3">
      <c r="A66" t="s">
        <v>115</v>
      </c>
      <c r="B66">
        <f>ROUND(B62+HLOOKUP(B62,B64:E65,2),0)</f>
        <v>2010</v>
      </c>
      <c r="C66" t="s">
        <v>96</v>
      </c>
      <c r="D66">
        <f>39.3701*B66*10^-3</f>
        <v>79.133900999999994</v>
      </c>
      <c r="E66" t="s">
        <v>159</v>
      </c>
    </row>
    <row r="67" spans="1:5" x14ac:dyDescent="0.3">
      <c r="A67" t="s">
        <v>116</v>
      </c>
      <c r="B67">
        <f>ROUND(PI()*(B66/1000)^2/4,2)</f>
        <v>3.17</v>
      </c>
      <c r="C67" t="s">
        <v>117</v>
      </c>
    </row>
    <row r="69" spans="1:5" x14ac:dyDescent="0.3">
      <c r="A69" s="5" t="s">
        <v>118</v>
      </c>
    </row>
    <row r="71" spans="1:5" x14ac:dyDescent="0.3">
      <c r="A71" t="s">
        <v>120</v>
      </c>
      <c r="B71">
        <v>11</v>
      </c>
    </row>
    <row r="72" spans="1:5" x14ac:dyDescent="0.3">
      <c r="A72" t="s">
        <v>121</v>
      </c>
      <c r="B72">
        <v>5</v>
      </c>
    </row>
    <row r="73" spans="1:5" x14ac:dyDescent="0.3">
      <c r="A73" t="s">
        <v>122</v>
      </c>
      <c r="B73">
        <v>1</v>
      </c>
    </row>
    <row r="75" spans="1:5" x14ac:dyDescent="0.3">
      <c r="A75" t="s">
        <v>123</v>
      </c>
      <c r="B75">
        <f>(B71+B72-2)*B41</f>
        <v>6300</v>
      </c>
      <c r="C75" t="s">
        <v>96</v>
      </c>
    </row>
    <row r="76" spans="1:5" x14ac:dyDescent="0.3">
      <c r="A76" t="s">
        <v>124</v>
      </c>
      <c r="B76">
        <f>1.5*B41</f>
        <v>675</v>
      </c>
      <c r="C76" t="s">
        <v>96</v>
      </c>
    </row>
    <row r="77" spans="1:5" x14ac:dyDescent="0.3">
      <c r="A77" s="12" t="s">
        <v>125</v>
      </c>
    </row>
    <row r="78" spans="1:5" x14ac:dyDescent="0.3">
      <c r="A78" t="s">
        <v>126</v>
      </c>
      <c r="B78">
        <f>B41+150</f>
        <v>600</v>
      </c>
      <c r="C78" t="s">
        <v>96</v>
      </c>
    </row>
    <row r="79" spans="1:5" x14ac:dyDescent="0.3">
      <c r="A79" s="11" t="s">
        <v>127</v>
      </c>
    </row>
    <row r="80" spans="1:5" x14ac:dyDescent="0.3">
      <c r="A80" t="s">
        <v>136</v>
      </c>
      <c r="B80">
        <f>1200*2</f>
        <v>2400</v>
      </c>
      <c r="C80" t="s">
        <v>96</v>
      </c>
    </row>
    <row r="81" spans="1:3" x14ac:dyDescent="0.3">
      <c r="A81" s="12" t="s">
        <v>128</v>
      </c>
    </row>
    <row r="82" spans="1:3" x14ac:dyDescent="0.3">
      <c r="A82" t="s">
        <v>129</v>
      </c>
      <c r="B82">
        <f>2*B41</f>
        <v>900</v>
      </c>
      <c r="C82" t="s">
        <v>96</v>
      </c>
    </row>
    <row r="83" spans="1:3" x14ac:dyDescent="0.3">
      <c r="A83" t="s">
        <v>130</v>
      </c>
      <c r="B83">
        <f>ROUND((B75+B76+B78+B80+B82)/1000,1)*1000</f>
        <v>10900</v>
      </c>
      <c r="C83" t="s">
        <v>96</v>
      </c>
    </row>
    <row r="84" spans="1:3" x14ac:dyDescent="0.3">
      <c r="B84">
        <f>(B83)*10^-3</f>
        <v>10.9</v>
      </c>
      <c r="C84" t="s">
        <v>111</v>
      </c>
    </row>
    <row r="86" spans="1:3" x14ac:dyDescent="0.3">
      <c r="A86" t="s">
        <v>140</v>
      </c>
      <c r="B86">
        <f>(1.1*Calculation!B47*('Design_cal (2)'!B66*10^-3))/(2*0.8*(1088.7*101.325)+Calculation!C47)*1000</f>
        <v>1.7502432220467345</v>
      </c>
      <c r="C86" t="s">
        <v>96</v>
      </c>
    </row>
    <row r="87" spans="1:3" x14ac:dyDescent="0.3">
      <c r="A87" t="s">
        <v>141</v>
      </c>
    </row>
    <row r="88" spans="1:3" x14ac:dyDescent="0.3">
      <c r="A88" t="s">
        <v>142</v>
      </c>
      <c r="B88">
        <f>5</f>
        <v>5</v>
      </c>
      <c r="C88" t="s">
        <v>96</v>
      </c>
    </row>
    <row r="89" spans="1:3" x14ac:dyDescent="0.3">
      <c r="A89" t="s">
        <v>143</v>
      </c>
      <c r="B89">
        <v>70</v>
      </c>
      <c r="C89" t="s">
        <v>144</v>
      </c>
    </row>
    <row r="90" spans="1:3" x14ac:dyDescent="0.3">
      <c r="A90" t="s">
        <v>145</v>
      </c>
      <c r="B90">
        <f>7.84*10^3</f>
        <v>7840</v>
      </c>
      <c r="C90" t="s">
        <v>84</v>
      </c>
    </row>
    <row r="91" spans="1:3" x14ac:dyDescent="0.3">
      <c r="A91" t="s">
        <v>146</v>
      </c>
      <c r="B91">
        <f>PI()*(B66*10^-3)*($B$88*10^-3)*$B$89*$B$90*B84</f>
        <v>188867.19705993665</v>
      </c>
      <c r="C91" t="s">
        <v>147</v>
      </c>
    </row>
    <row r="93" spans="1:3" x14ac:dyDescent="0.3">
      <c r="A93" t="s">
        <v>195</v>
      </c>
      <c r="B93" t="s">
        <v>196</v>
      </c>
    </row>
    <row r="94" spans="1:3" x14ac:dyDescent="0.3">
      <c r="A94">
        <v>60</v>
      </c>
      <c r="B94">
        <f>55*10^3</f>
        <v>55000</v>
      </c>
    </row>
    <row r="95" spans="1:3" x14ac:dyDescent="0.3">
      <c r="A95">
        <v>70</v>
      </c>
      <c r="B95">
        <f>65*10^3</f>
        <v>65000</v>
      </c>
    </row>
    <row r="96" spans="1:3" x14ac:dyDescent="0.3">
      <c r="A96">
        <v>80</v>
      </c>
      <c r="B96">
        <f>85*10^3</f>
        <v>85000</v>
      </c>
    </row>
    <row r="97" spans="1:3" x14ac:dyDescent="0.3">
      <c r="A97">
        <v>90</v>
      </c>
      <c r="B97">
        <f>110*10^3</f>
        <v>110000</v>
      </c>
    </row>
    <row r="98" spans="1:3" x14ac:dyDescent="0.3">
      <c r="A98">
        <v>100</v>
      </c>
      <c r="B98">
        <f>120*10^3</f>
        <v>120000</v>
      </c>
    </row>
    <row r="100" spans="1:3" x14ac:dyDescent="0.3">
      <c r="A100" t="s">
        <v>148</v>
      </c>
      <c r="B100">
        <f>_xlfn.FORECAST.LINEAR(D66,$B$94:$B$98,$A$94:$A$98)*(B71+B72+B73)</f>
        <v>1453233.5547499997</v>
      </c>
      <c r="C100" t="s">
        <v>147</v>
      </c>
    </row>
    <row r="101" spans="1:3" x14ac:dyDescent="0.3">
      <c r="A101" t="s">
        <v>149</v>
      </c>
      <c r="B101">
        <f>B100+B91</f>
        <v>1642100.7518099362</v>
      </c>
      <c r="C101" t="s">
        <v>147</v>
      </c>
    </row>
    <row r="103" spans="1:3" x14ac:dyDescent="0.3">
      <c r="A103" s="5" t="s">
        <v>131</v>
      </c>
    </row>
    <row r="104" spans="1:3" x14ac:dyDescent="0.3">
      <c r="B104" t="s">
        <v>4</v>
      </c>
      <c r="C104" t="s">
        <v>5</v>
      </c>
    </row>
    <row r="105" spans="1:3" ht="15" thickBot="1" x14ac:dyDescent="0.35">
      <c r="A105" t="s">
        <v>132</v>
      </c>
      <c r="B105">
        <v>134.80000000000001</v>
      </c>
      <c r="C105">
        <v>155.96</v>
      </c>
    </row>
    <row r="106" spans="1:3" ht="15" thickBot="1" x14ac:dyDescent="0.35">
      <c r="A106" t="s">
        <v>133</v>
      </c>
      <c r="B106" s="6">
        <v>82.44</v>
      </c>
      <c r="C106" s="13">
        <v>103.7</v>
      </c>
    </row>
    <row r="107" spans="1:3" x14ac:dyDescent="0.3">
      <c r="A107" t="s">
        <v>134</v>
      </c>
      <c r="B107" s="13">
        <v>30.77</v>
      </c>
      <c r="C107" s="13">
        <v>38.06</v>
      </c>
    </row>
    <row r="109" spans="1:3" x14ac:dyDescent="0.3">
      <c r="A109" t="s">
        <v>138</v>
      </c>
      <c r="B109">
        <f>B105*$B$7+$C$7*C105</f>
        <v>136.916</v>
      </c>
      <c r="C109" t="s">
        <v>135</v>
      </c>
    </row>
    <row r="110" spans="1:3" x14ac:dyDescent="0.3">
      <c r="A110" t="s">
        <v>139</v>
      </c>
      <c r="B110">
        <f>B106*$B$7+$C$7*C106</f>
        <v>84.566000000000003</v>
      </c>
      <c r="C110" t="s">
        <v>135</v>
      </c>
    </row>
    <row r="111" spans="1:3" x14ac:dyDescent="0.3">
      <c r="A111" t="s">
        <v>150</v>
      </c>
      <c r="B111">
        <f>B107*B7+C107*C7</f>
        <v>31.499000000000002</v>
      </c>
      <c r="C111" t="s">
        <v>151</v>
      </c>
    </row>
    <row r="112" spans="1:3" x14ac:dyDescent="0.3">
      <c r="A112" t="s">
        <v>163</v>
      </c>
      <c r="B112">
        <f>(((B21*$B$20+1)*$B$12)*(($B$110*(Calculation!B37-Calculation!B38)))-B111)</f>
        <v>-262452.33363995946</v>
      </c>
      <c r="C112" t="s">
        <v>164</v>
      </c>
    </row>
    <row r="113" spans="1:4" x14ac:dyDescent="0.3">
      <c r="A113" t="s">
        <v>165</v>
      </c>
      <c r="B113">
        <f>((B21*$B$20)*$B$12)*$B$109*(Calculation!B37-Calculation!B38)</f>
        <v>-342456.89375598839</v>
      </c>
      <c r="C113" t="s">
        <v>164</v>
      </c>
    </row>
    <row r="114" spans="1:4" x14ac:dyDescent="0.3">
      <c r="A114" t="s">
        <v>166</v>
      </c>
      <c r="B114">
        <f>-(B112+B113)</f>
        <v>604909.22739594779</v>
      </c>
      <c r="C114" t="s">
        <v>164</v>
      </c>
    </row>
    <row r="116" spans="1:4" x14ac:dyDescent="0.3">
      <c r="A116" t="s">
        <v>160</v>
      </c>
      <c r="B116">
        <v>65</v>
      </c>
      <c r="C116" t="s">
        <v>155</v>
      </c>
    </row>
    <row r="117" spans="1:4" x14ac:dyDescent="0.3">
      <c r="B117">
        <f>5.6783*B116</f>
        <v>369.08949999999999</v>
      </c>
      <c r="C117" t="s">
        <v>156</v>
      </c>
    </row>
    <row r="118" spans="1:4" x14ac:dyDescent="0.3">
      <c r="A118" t="s">
        <v>157</v>
      </c>
      <c r="B118">
        <f>((Calculation!B38-50)-(Calculation!B37-30))/LN((Calculation!B38-50)/(Calculation!B37-30))</f>
        <v>46.073543757964693</v>
      </c>
    </row>
    <row r="119" spans="1:4" x14ac:dyDescent="0.3">
      <c r="A119" t="s">
        <v>153</v>
      </c>
      <c r="B119">
        <f>B114/(B118*B117)</f>
        <v>35.571886797570038</v>
      </c>
      <c r="C119" t="s">
        <v>117</v>
      </c>
    </row>
    <row r="120" spans="1:4" x14ac:dyDescent="0.3">
      <c r="B120">
        <f>B119*10.7639</f>
        <v>382.89223230036413</v>
      </c>
      <c r="C120" t="s">
        <v>158</v>
      </c>
    </row>
    <row r="125" spans="1:4" x14ac:dyDescent="0.3">
      <c r="A125" t="s">
        <v>167</v>
      </c>
      <c r="B125" t="s">
        <v>4</v>
      </c>
      <c r="C125" t="s">
        <v>5</v>
      </c>
    </row>
    <row r="126" spans="1:4" x14ac:dyDescent="0.3">
      <c r="B126">
        <f>19795.54791*4.18</f>
        <v>82745.3902638</v>
      </c>
      <c r="C126">
        <f>11982.8986*4.18</f>
        <v>50088.516147999995</v>
      </c>
      <c r="D126" t="s">
        <v>168</v>
      </c>
    </row>
    <row r="127" spans="1:4" x14ac:dyDescent="0.3">
      <c r="A127" t="s">
        <v>170</v>
      </c>
      <c r="B127">
        <f>B126*Calculation!B9+(1-Calculation!B9)*'Design_cal (2)'!C126</f>
        <v>56804.833030236063</v>
      </c>
      <c r="C127" t="s">
        <v>169</v>
      </c>
    </row>
    <row r="129" spans="1:3" x14ac:dyDescent="0.3">
      <c r="A129" t="s">
        <v>171</v>
      </c>
      <c r="B129">
        <f>$B$126*B7+C7*$C$126</f>
        <v>79479.702852220013</v>
      </c>
      <c r="C129" t="s">
        <v>169</v>
      </c>
    </row>
    <row r="130" spans="1:3" x14ac:dyDescent="0.3">
      <c r="A130" t="s">
        <v>172</v>
      </c>
      <c r="B130">
        <f>$B$126*B8+C8*$C$126</f>
        <v>51721.359853789996</v>
      </c>
      <c r="C130" t="s">
        <v>169</v>
      </c>
    </row>
    <row r="132" spans="1:3" x14ac:dyDescent="0.3">
      <c r="A132" t="s">
        <v>173</v>
      </c>
      <c r="B132">
        <f>B114-B127*B11+($B$12*$B$4/3600)*B129+($B$13*$B$5/3600)*B130</f>
        <v>598842.56070088362</v>
      </c>
      <c r="C132" t="s">
        <v>164</v>
      </c>
    </row>
    <row r="133" spans="1:3" x14ac:dyDescent="0.3">
      <c r="A133" t="s">
        <v>175</v>
      </c>
      <c r="B133">
        <f>((Calculation!B46-115)-(Calculation!B46+8-115))/LN((Calculation!B46-115)/(Calculation!B46+8-115))</f>
        <v>8.4002739524991199</v>
      </c>
    </row>
    <row r="134" spans="1:3" x14ac:dyDescent="0.3">
      <c r="A134" t="s">
        <v>154</v>
      </c>
      <c r="B134">
        <f>(285+850)/2</f>
        <v>567.5</v>
      </c>
      <c r="C134" t="s">
        <v>156</v>
      </c>
    </row>
    <row r="135" spans="1:3" x14ac:dyDescent="0.3">
      <c r="A135" t="s">
        <v>176</v>
      </c>
      <c r="B135">
        <f>B132/(B133*B134)</f>
        <v>125.61842480599597</v>
      </c>
      <c r="C135" t="s">
        <v>117</v>
      </c>
    </row>
    <row r="136" spans="1:3" x14ac:dyDescent="0.3">
      <c r="B136">
        <f>B135*10.7639</f>
        <v>1352.14416276926</v>
      </c>
      <c r="C136" t="s">
        <v>158</v>
      </c>
    </row>
    <row r="137" spans="1:3" x14ac:dyDescent="0.3">
      <c r="A137" t="s">
        <v>177</v>
      </c>
    </row>
    <row r="138" spans="1:3" x14ac:dyDescent="0.3">
      <c r="A138" t="s">
        <v>178</v>
      </c>
      <c r="B138" t="s">
        <v>179</v>
      </c>
    </row>
    <row r="139" spans="1:3" x14ac:dyDescent="0.3">
      <c r="A139">
        <v>0</v>
      </c>
      <c r="B139">
        <v>0</v>
      </c>
    </row>
    <row r="140" spans="1:3" x14ac:dyDescent="0.3">
      <c r="A140">
        <v>1000</v>
      </c>
      <c r="B140">
        <f>780*10^3</f>
        <v>780000</v>
      </c>
    </row>
    <row r="141" spans="1:3" x14ac:dyDescent="0.3">
      <c r="A141">
        <v>1200</v>
      </c>
      <c r="B141">
        <f>950*10^3</f>
        <v>950000</v>
      </c>
    </row>
    <row r="142" spans="1:3" x14ac:dyDescent="0.3">
      <c r="A142">
        <v>1400</v>
      </c>
      <c r="B142">
        <f>1220*10^3</f>
        <v>1220000</v>
      </c>
    </row>
    <row r="143" spans="1:3" x14ac:dyDescent="0.3">
      <c r="A143">
        <v>1600</v>
      </c>
      <c r="B143">
        <f>1450*10^3</f>
        <v>1450000</v>
      </c>
    </row>
    <row r="145" spans="1:3" x14ac:dyDescent="0.3">
      <c r="A145" t="s">
        <v>180</v>
      </c>
      <c r="B145">
        <f>_xlfn.FORECAST.LINEAR(B120,B139:B143,A139:A143)</f>
        <v>299103.18473975488</v>
      </c>
      <c r="C145" t="s">
        <v>181</v>
      </c>
    </row>
    <row r="147" spans="1:3" x14ac:dyDescent="0.3">
      <c r="A147" t="s">
        <v>184</v>
      </c>
    </row>
    <row r="148" spans="1:3" x14ac:dyDescent="0.3">
      <c r="A148" t="s">
        <v>178</v>
      </c>
      <c r="B148" t="s">
        <v>179</v>
      </c>
    </row>
    <row r="149" spans="1:3" x14ac:dyDescent="0.3">
      <c r="A149">
        <v>0</v>
      </c>
      <c r="B149">
        <v>0</v>
      </c>
    </row>
    <row r="150" spans="1:3" x14ac:dyDescent="0.3">
      <c r="A150">
        <v>1000</v>
      </c>
      <c r="B150">
        <f>400*10^3</f>
        <v>400000</v>
      </c>
    </row>
    <row r="151" spans="1:3" x14ac:dyDescent="0.3">
      <c r="A151">
        <v>1400</v>
      </c>
      <c r="B151">
        <f>500*10^3</f>
        <v>500000</v>
      </c>
    </row>
    <row r="152" spans="1:3" x14ac:dyDescent="0.3">
      <c r="A152">
        <v>1800</v>
      </c>
      <c r="B152">
        <f>620*10^3</f>
        <v>620000</v>
      </c>
    </row>
    <row r="153" spans="1:3" x14ac:dyDescent="0.3">
      <c r="A153">
        <v>2200</v>
      </c>
      <c r="B153">
        <f>800*10^3</f>
        <v>800000</v>
      </c>
    </row>
    <row r="154" spans="1:3" x14ac:dyDescent="0.3">
      <c r="A154">
        <v>2600</v>
      </c>
      <c r="B154">
        <f>1000*10^3</f>
        <v>1000000</v>
      </c>
    </row>
    <row r="156" spans="1:3" x14ac:dyDescent="0.3">
      <c r="A156" t="s">
        <v>183</v>
      </c>
      <c r="B156">
        <f>_xlfn.FORECAST.LINEAR(B136,$B$149:$B$154,$A$149:$A$154)</f>
        <v>498454.7481658308</v>
      </c>
      <c r="C156" t="s">
        <v>181</v>
      </c>
    </row>
    <row r="159" spans="1:3" x14ac:dyDescent="0.3">
      <c r="A159" t="s">
        <v>182</v>
      </c>
      <c r="B159">
        <f>1.2*2*(B156+B145+B101)</f>
        <v>5855180.8433172526</v>
      </c>
      <c r="C159" t="s">
        <v>147</v>
      </c>
    </row>
    <row r="161" spans="1:3" x14ac:dyDescent="0.3">
      <c r="A161" t="s">
        <v>185</v>
      </c>
      <c r="B161" s="14">
        <f>20%</f>
        <v>0.2</v>
      </c>
    </row>
    <row r="162" spans="1:3" x14ac:dyDescent="0.3">
      <c r="A162" t="s">
        <v>186</v>
      </c>
      <c r="B162">
        <f>B159*B161</f>
        <v>1171036.1686634505</v>
      </c>
      <c r="C162" t="s">
        <v>147</v>
      </c>
    </row>
    <row r="164" spans="1:3" x14ac:dyDescent="0.3">
      <c r="A164" t="s">
        <v>187</v>
      </c>
    </row>
    <row r="166" spans="1:3" x14ac:dyDescent="0.3">
      <c r="A166" t="s">
        <v>188</v>
      </c>
      <c r="B166">
        <f>B132/(2700*10^3)</f>
        <v>0.22179354100032728</v>
      </c>
      <c r="C166" t="s">
        <v>189</v>
      </c>
    </row>
    <row r="167" spans="1:3" x14ac:dyDescent="0.3">
      <c r="A167" t="s">
        <v>191</v>
      </c>
      <c r="B167">
        <v>0.2</v>
      </c>
      <c r="C167" t="s">
        <v>192</v>
      </c>
    </row>
    <row r="168" spans="1:3" x14ac:dyDescent="0.3">
      <c r="A168" t="s">
        <v>193</v>
      </c>
      <c r="B168">
        <f>B167*B166*60*60*8000</f>
        <v>1277530.7961618854</v>
      </c>
      <c r="C168" t="s">
        <v>194</v>
      </c>
    </row>
    <row r="206" spans="2:18" x14ac:dyDescent="0.3">
      <c r="B206" s="8" t="s">
        <v>66</v>
      </c>
      <c r="C206" s="8" t="s">
        <v>161</v>
      </c>
      <c r="D206" s="8" t="s">
        <v>90</v>
      </c>
      <c r="E206" s="8" t="s">
        <v>100</v>
      </c>
      <c r="F206" s="8" t="s">
        <v>105</v>
      </c>
      <c r="G206" s="8" t="s">
        <v>137</v>
      </c>
      <c r="H206" s="15" t="s">
        <v>162</v>
      </c>
      <c r="I206" s="15" t="s">
        <v>201</v>
      </c>
      <c r="J206" s="15" t="s">
        <v>198</v>
      </c>
      <c r="K206" s="15" t="s">
        <v>197</v>
      </c>
      <c r="L206" s="15" t="s">
        <v>199</v>
      </c>
      <c r="M206" s="15" t="s">
        <v>200</v>
      </c>
      <c r="N206" s="15" t="s">
        <v>202</v>
      </c>
      <c r="O206" s="15" t="s">
        <v>203</v>
      </c>
      <c r="P206" s="15" t="s">
        <v>206</v>
      </c>
      <c r="Q206" s="15" t="s">
        <v>205</v>
      </c>
      <c r="R206" s="15" t="s">
        <v>204</v>
      </c>
    </row>
    <row r="207" spans="2:18" x14ac:dyDescent="0.3">
      <c r="B207" s="8">
        <v>1.05</v>
      </c>
      <c r="C207">
        <v>30</v>
      </c>
      <c r="D207" s="8">
        <f>(($B$12*(B207*$B$20)*$B$4*$B$14/3600)/($B$12*(B207*$B$20+1)*$B$4*$B$14/3600))*SQRT($B$25/$B$26)</f>
        <v>4.7135536081823325E-2</v>
      </c>
      <c r="E207" s="8">
        <f t="shared" ref="E207:E270" si="0">EXP(INDEX(TS_array,MATCH($B$41,Tray_space,0),1)*((LN(D207))^3)+INDEX(TS_array,MATCH($B$41,Tray_space,0),2)*((LN(D207))^2)+INDEX(TS_array,MATCH($B$41,Tray_space,0),3)*(LN(D207))+INDEX(TS_array,MATCH($B$41,Tray_space,0),4)-1.188)</f>
        <v>7.2192525300032798E-2</v>
      </c>
      <c r="F207" s="8">
        <f>$B$47*(($B$48/20)^0.2)*E207*SQRT(($B$26-$B$25)/$B$25)</f>
        <v>0.92261196426782344</v>
      </c>
      <c r="G207" s="8">
        <f>10^-3*ROUND(ROUND(((4*($B$12*(B207*$B$20+1)*$B$4*$B$14/3600))/($B$25*PI()*(1-$B$56)*F207))^0.5,2)*1000+HLOOKUP(ROUND(((4*($B$12*(B207*$B$20+1)*$B$4*$B$14/3600))/($B$25*PI()*(1-$B$56)*F207))^0.5,2)*1000,$B$64:$E$65,2),0)</f>
        <v>1.8</v>
      </c>
      <c r="H207">
        <f>ROUND((((C207-ROUND(C207/10,0)-1)*$B$41)+1.5*$B$41+$B$78+ROUND(C207/10,0)*1200+2*$B$41)*10^-3,1)</f>
        <v>17.5</v>
      </c>
      <c r="I207">
        <f>(PI()*(G207)*($B$88*10^-3)*$B$89*$B$90*H207)+(_xlfn.FORECAST.LINEAR(39.3701*G207,$B$94:$B$98,$A$94:$A$98))*C207</f>
        <v>2402021.1526056877</v>
      </c>
      <c r="J207">
        <f>$B$114*($B$20*B207+1)/($B$20*$B$21+1)</f>
        <v>477865.63206835021</v>
      </c>
      <c r="K207">
        <f>J207+($B$132-$B$114)</f>
        <v>471798.96537328605</v>
      </c>
      <c r="L207">
        <f>(J207/($B$118*$B$117))*10.7639</f>
        <v>302.47685159299118</v>
      </c>
      <c r="M207">
        <f>_xlfn.FORECAST.LINEAR(L207,$B$139:$B$143,$A$139:$A$143)</f>
        <v>228014.33014535048</v>
      </c>
      <c r="N207">
        <f>(K207/($B$134*$B$133))*10.7639</f>
        <v>1065.2887067402517</v>
      </c>
      <c r="O207">
        <f>_xlfn.FORECAST.LINEAR(N207,$B$149:$B$154,$A$149:$A$154)</f>
        <v>391984.67657925002</v>
      </c>
      <c r="P207">
        <f>ROUND((2*1.2*(O207+M207+I207)*$B$161)*10^-6,4)</f>
        <v>1.4505999999999999</v>
      </c>
      <c r="Q207">
        <f>ROUND(($B$167*(K207/(2700*10^3))*60*60*8000)*10^-6,4)</f>
        <v>1.0065</v>
      </c>
      <c r="R207">
        <f>(Q207+P207)</f>
        <v>2.4570999999999996</v>
      </c>
    </row>
    <row r="208" spans="2:18" x14ac:dyDescent="0.3">
      <c r="B208" s="8">
        <v>1.0529999999999999</v>
      </c>
      <c r="C208">
        <v>29</v>
      </c>
      <c r="D208" s="8">
        <f t="shared" ref="D208:D271" si="1">(($B$12*(B208*$B$20)*$B$4*$B$14/3600)/($B$12*(B208*$B$20+1)*$B$4*$B$14/3600))*SQRT($B$25/$B$26)</f>
        <v>4.7168532942449069E-2</v>
      </c>
      <c r="E208" s="8">
        <f t="shared" si="0"/>
        <v>7.2188684065954842E-2</v>
      </c>
      <c r="F208" s="8">
        <f t="shared" ref="F208:F271" si="2">$B$47*(($B$48/20)^0.2)*E208*SQRT(($B$26-$B$25)/$B$25)</f>
        <v>0.92256287374905932</v>
      </c>
      <c r="G208" s="8">
        <f t="shared" ref="G208:G271" si="3">10^-3*ROUND(ROUND(((4*($B$12*(B208*$B$20+1)*$B$4*$B$14/3600))/($B$25*PI()*(1-$B$56)*F208))^0.5,2)*1000+HLOOKUP(ROUND(((4*($B$12*(B208*$B$20+1)*$B$4*$B$14/3600))/($B$25*PI()*(1-$B$56)*F208))^0.5,2)*1000,$B$64:$E$65,2),0)</f>
        <v>1.8</v>
      </c>
      <c r="H208">
        <f t="shared" ref="H208:H271" si="4">ROUND((((C208-ROUND(C208/10,0)-1)*$B$41)+1.5*$B$41+$B$78+ROUND(C208/10,0)*1200+2*$B$41)*10^-3,1)</f>
        <v>17</v>
      </c>
      <c r="I208">
        <f t="shared" ref="I208:I271" si="5">(PI()*(G208)*($B$88*10^-3)*$B$89*$B$90*H208)+(_xlfn.FORECAST.LINEAR(39.3701*G208,$B$94:$B$98,$A$94:$A$98))*C208</f>
        <v>2323246.8603883819</v>
      </c>
      <c r="J208">
        <f t="shared" ref="J208:J271" si="6">$B$114*($B$20*B208+1)/($B$20*$B$21+1)</f>
        <v>478895.71527370921</v>
      </c>
      <c r="K208">
        <f t="shared" ref="K208:K271" si="7">J208+($B$132-$B$114)</f>
        <v>472829.04857864504</v>
      </c>
      <c r="L208">
        <f t="shared" ref="L208:L271" si="8">(J208/($B$118*$B$117))*10.7639</f>
        <v>303.1288681933213</v>
      </c>
      <c r="M208">
        <f t="shared" ref="M208:M271" si="9">_xlfn.FORECAST.LINEAR(L208,$B$139:$B$143,$A$139:$A$143)</f>
        <v>228590.72626368352</v>
      </c>
      <c r="N208">
        <f t="shared" ref="N208:N271" si="10">(K208/($B$134*$B$133))*10.7639</f>
        <v>1067.6145617891357</v>
      </c>
      <c r="O208">
        <f t="shared" ref="O208:O271" si="11">_xlfn.FORECAST.LINEAR(N208,$B$149:$B$154,$A$149:$A$154)</f>
        <v>392847.9474299521</v>
      </c>
      <c r="P208">
        <f t="shared" ref="P208:P271" si="12">ROUND((2*1.2*(O208+M208+I208)*$B$161)*10^-6,4)</f>
        <v>1.4134</v>
      </c>
      <c r="Q208">
        <f t="shared" ref="Q208:Q271" si="13">ROUND(($B$167*(K208/(2700*10^3))*60*60*8000)*10^-6,4)</f>
        <v>1.0086999999999999</v>
      </c>
      <c r="R208">
        <f t="shared" ref="R208:R271" si="14">(Q208+P208)</f>
        <v>2.4220999999999999</v>
      </c>
    </row>
    <row r="209" spans="2:18" x14ac:dyDescent="0.3">
      <c r="B209" s="8">
        <v>1.0569999999999999</v>
      </c>
      <c r="C209">
        <v>28</v>
      </c>
      <c r="D209" s="8">
        <f t="shared" si="1"/>
        <v>4.721230857768953E-2</v>
      </c>
      <c r="E209" s="8">
        <f t="shared" si="0"/>
        <v>7.2183588194736387E-2</v>
      </c>
      <c r="F209" s="8">
        <f t="shared" si="2"/>
        <v>0.92249774911551907</v>
      </c>
      <c r="G209" s="8">
        <f t="shared" si="3"/>
        <v>1.8</v>
      </c>
      <c r="H209">
        <f t="shared" si="4"/>
        <v>16.600000000000001</v>
      </c>
      <c r="I209">
        <f t="shared" si="5"/>
        <v>2246024.2636145377</v>
      </c>
      <c r="J209">
        <f t="shared" si="6"/>
        <v>480269.15954752109</v>
      </c>
      <c r="K209">
        <f t="shared" si="7"/>
        <v>474202.49285245693</v>
      </c>
      <c r="L209">
        <f t="shared" si="8"/>
        <v>303.99822366042804</v>
      </c>
      <c r="M209">
        <f t="shared" si="9"/>
        <v>229359.25442146085</v>
      </c>
      <c r="N209">
        <f t="shared" si="10"/>
        <v>1070.7157018543141</v>
      </c>
      <c r="O209">
        <f t="shared" si="11"/>
        <v>393998.97523088811</v>
      </c>
      <c r="P209">
        <f t="shared" si="12"/>
        <v>1.3773</v>
      </c>
      <c r="Q209">
        <f t="shared" si="13"/>
        <v>1.0116000000000001</v>
      </c>
      <c r="R209">
        <f t="shared" si="14"/>
        <v>2.3889</v>
      </c>
    </row>
    <row r="210" spans="2:18" x14ac:dyDescent="0.3">
      <c r="B210" s="8">
        <v>1.06</v>
      </c>
      <c r="C210">
        <v>27</v>
      </c>
      <c r="D210" s="8">
        <f t="shared" si="1"/>
        <v>4.7244976347999318E-2</v>
      </c>
      <c r="E210" s="8">
        <f t="shared" si="0"/>
        <v>7.2179785482665626E-2</v>
      </c>
      <c r="F210" s="8">
        <f t="shared" si="2"/>
        <v>0.92244915090346635</v>
      </c>
      <c r="G210" s="8">
        <f t="shared" si="3"/>
        <v>1.8</v>
      </c>
      <c r="H210">
        <f t="shared" si="4"/>
        <v>16.100000000000001</v>
      </c>
      <c r="I210">
        <f t="shared" si="5"/>
        <v>2167249.9713972327</v>
      </c>
      <c r="J210">
        <f t="shared" si="6"/>
        <v>481299.24275288003</v>
      </c>
      <c r="K210">
        <f t="shared" si="7"/>
        <v>475232.57605781587</v>
      </c>
      <c r="L210">
        <f t="shared" si="8"/>
        <v>304.65024026075815</v>
      </c>
      <c r="M210">
        <f t="shared" si="9"/>
        <v>229935.65053979395</v>
      </c>
      <c r="N210">
        <f t="shared" si="10"/>
        <v>1073.0415569031982</v>
      </c>
      <c r="O210">
        <f t="shared" si="11"/>
        <v>394862.24608159019</v>
      </c>
      <c r="P210">
        <f t="shared" si="12"/>
        <v>1.3402000000000001</v>
      </c>
      <c r="Q210">
        <f t="shared" si="13"/>
        <v>1.0138</v>
      </c>
      <c r="R210">
        <f t="shared" si="14"/>
        <v>2.3540000000000001</v>
      </c>
    </row>
    <row r="211" spans="2:18" x14ac:dyDescent="0.3">
      <c r="B211" s="8">
        <v>1.0629999999999999</v>
      </c>
      <c r="C211">
        <v>27</v>
      </c>
      <c r="D211" s="8">
        <f t="shared" si="1"/>
        <v>4.7277504584925023E-2</v>
      </c>
      <c r="E211" s="8">
        <f t="shared" si="0"/>
        <v>7.2175999102025393E-2</v>
      </c>
      <c r="F211" s="8">
        <f t="shared" si="2"/>
        <v>0.92240076140517091</v>
      </c>
      <c r="G211" s="8">
        <f t="shared" si="3"/>
        <v>1.8</v>
      </c>
      <c r="H211">
        <f t="shared" si="4"/>
        <v>16.100000000000001</v>
      </c>
      <c r="I211">
        <f t="shared" si="5"/>
        <v>2167249.9713972327</v>
      </c>
      <c r="J211">
        <f t="shared" si="6"/>
        <v>482329.32595823886</v>
      </c>
      <c r="K211">
        <f t="shared" si="7"/>
        <v>476262.65926317469</v>
      </c>
      <c r="L211">
        <f t="shared" si="8"/>
        <v>305.3022568610881</v>
      </c>
      <c r="M211">
        <f t="shared" si="9"/>
        <v>230512.04665812687</v>
      </c>
      <c r="N211">
        <f t="shared" si="10"/>
        <v>1075.3674119520817</v>
      </c>
      <c r="O211">
        <f t="shared" si="11"/>
        <v>395725.51693229208</v>
      </c>
      <c r="P211">
        <f t="shared" si="12"/>
        <v>1.3409</v>
      </c>
      <c r="Q211">
        <f t="shared" si="13"/>
        <v>1.016</v>
      </c>
      <c r="R211">
        <f t="shared" si="14"/>
        <v>2.3569</v>
      </c>
    </row>
    <row r="212" spans="2:18" x14ac:dyDescent="0.3">
      <c r="B212" s="8">
        <v>1.0660000000000001</v>
      </c>
      <c r="C212">
        <v>27</v>
      </c>
      <c r="D212" s="8">
        <f t="shared" si="1"/>
        <v>4.7309894180541913E-2</v>
      </c>
      <c r="E212" s="8">
        <f t="shared" si="0"/>
        <v>7.2172228947354686E-2</v>
      </c>
      <c r="F212" s="8">
        <f t="shared" si="2"/>
        <v>0.92235257927285341</v>
      </c>
      <c r="G212" s="8">
        <f t="shared" si="3"/>
        <v>1.81</v>
      </c>
      <c r="H212">
        <f t="shared" si="4"/>
        <v>16.100000000000001</v>
      </c>
      <c r="I212">
        <f t="shared" si="5"/>
        <v>2187240.2490161066</v>
      </c>
      <c r="J212">
        <f t="shared" si="6"/>
        <v>483359.40916359774</v>
      </c>
      <c r="K212">
        <f t="shared" si="7"/>
        <v>477292.74246853357</v>
      </c>
      <c r="L212">
        <f t="shared" si="8"/>
        <v>305.95427346141815</v>
      </c>
      <c r="M212">
        <f t="shared" si="9"/>
        <v>231088.44277645985</v>
      </c>
      <c r="N212">
        <f t="shared" si="10"/>
        <v>1077.6932670009655</v>
      </c>
      <c r="O212">
        <f t="shared" si="11"/>
        <v>396588.7877829941</v>
      </c>
      <c r="P212">
        <f t="shared" si="12"/>
        <v>1.3512</v>
      </c>
      <c r="Q212">
        <f t="shared" si="13"/>
        <v>1.0182</v>
      </c>
      <c r="R212">
        <f t="shared" si="14"/>
        <v>2.3693999999999997</v>
      </c>
    </row>
    <row r="213" spans="2:18" x14ac:dyDescent="0.3">
      <c r="B213" s="8">
        <v>1.07</v>
      </c>
      <c r="C213">
        <v>27</v>
      </c>
      <c r="D213" s="8">
        <f t="shared" si="1"/>
        <v>4.7352866171433132E-2</v>
      </c>
      <c r="E213" s="8">
        <f t="shared" si="0"/>
        <v>7.21672271342884E-2</v>
      </c>
      <c r="F213" s="8">
        <f t="shared" si="2"/>
        <v>0.92228865669141158</v>
      </c>
      <c r="G213" s="8">
        <f t="shared" si="3"/>
        <v>1.81</v>
      </c>
      <c r="H213">
        <f t="shared" si="4"/>
        <v>16.100000000000001</v>
      </c>
      <c r="I213">
        <f t="shared" si="5"/>
        <v>2187240.2490161066</v>
      </c>
      <c r="J213">
        <f t="shared" si="6"/>
        <v>484732.85343740956</v>
      </c>
      <c r="K213">
        <f t="shared" si="7"/>
        <v>478666.1867423454</v>
      </c>
      <c r="L213">
        <f t="shared" si="8"/>
        <v>306.8236289285249</v>
      </c>
      <c r="M213">
        <f t="shared" si="9"/>
        <v>231856.97093423724</v>
      </c>
      <c r="N213">
        <f t="shared" si="10"/>
        <v>1080.794407066144</v>
      </c>
      <c r="O213">
        <f t="shared" si="11"/>
        <v>397739.81558393012</v>
      </c>
      <c r="P213">
        <f t="shared" si="12"/>
        <v>1.3521000000000001</v>
      </c>
      <c r="Q213">
        <f t="shared" si="13"/>
        <v>1.0212000000000001</v>
      </c>
      <c r="R213">
        <f t="shared" si="14"/>
        <v>2.3733000000000004</v>
      </c>
    </row>
    <row r="214" spans="2:18" x14ac:dyDescent="0.3">
      <c r="B214" s="8">
        <v>1.073</v>
      </c>
      <c r="C214">
        <v>27</v>
      </c>
      <c r="D214" s="8">
        <f t="shared" si="1"/>
        <v>4.7384935697369998E-2</v>
      </c>
      <c r="E214" s="8">
        <f t="shared" si="0"/>
        <v>7.2163494435200148E-2</v>
      </c>
      <c r="F214" s="8">
        <f t="shared" si="2"/>
        <v>0.92224095323702315</v>
      </c>
      <c r="G214" s="8">
        <f t="shared" si="3"/>
        <v>1.81</v>
      </c>
      <c r="H214">
        <f t="shared" si="4"/>
        <v>16.100000000000001</v>
      </c>
      <c r="I214">
        <f t="shared" si="5"/>
        <v>2187240.2490161066</v>
      </c>
      <c r="J214">
        <f t="shared" si="6"/>
        <v>485762.9366427685</v>
      </c>
      <c r="K214">
        <f t="shared" si="7"/>
        <v>479696.26994770434</v>
      </c>
      <c r="L214">
        <f t="shared" si="8"/>
        <v>307.47564552885495</v>
      </c>
      <c r="M214">
        <f t="shared" si="9"/>
        <v>232433.36705257022</v>
      </c>
      <c r="N214">
        <f t="shared" si="10"/>
        <v>1083.1202621150278</v>
      </c>
      <c r="O214">
        <f t="shared" si="11"/>
        <v>398603.08643463207</v>
      </c>
      <c r="P214">
        <f t="shared" si="12"/>
        <v>1.3528</v>
      </c>
      <c r="Q214">
        <f t="shared" si="13"/>
        <v>1.0234000000000001</v>
      </c>
      <c r="R214">
        <f t="shared" si="14"/>
        <v>2.3761999999999999</v>
      </c>
    </row>
    <row r="215" spans="2:18" x14ac:dyDescent="0.3">
      <c r="B215" s="8">
        <v>1.0760000000000001</v>
      </c>
      <c r="C215">
        <v>27</v>
      </c>
      <c r="D215" s="8">
        <f t="shared" si="1"/>
        <v>4.7416869501228996E-2</v>
      </c>
      <c r="E215" s="8">
        <f t="shared" si="0"/>
        <v>7.2159777617087237E-2</v>
      </c>
      <c r="F215" s="8">
        <f t="shared" si="2"/>
        <v>0.92219345273962783</v>
      </c>
      <c r="G215" s="8">
        <f t="shared" si="3"/>
        <v>1.81</v>
      </c>
      <c r="H215">
        <f t="shared" si="4"/>
        <v>16.100000000000001</v>
      </c>
      <c r="I215">
        <f t="shared" si="5"/>
        <v>2187240.2490161066</v>
      </c>
      <c r="J215">
        <f t="shared" si="6"/>
        <v>486793.0198481275</v>
      </c>
      <c r="K215">
        <f t="shared" si="7"/>
        <v>480726.35315306333</v>
      </c>
      <c r="L215">
        <f t="shared" si="8"/>
        <v>308.12766212918507</v>
      </c>
      <c r="M215">
        <f t="shared" si="9"/>
        <v>233009.76317090332</v>
      </c>
      <c r="N215">
        <f t="shared" si="10"/>
        <v>1085.446117163912</v>
      </c>
      <c r="O215">
        <f t="shared" si="11"/>
        <v>399466.3572853342</v>
      </c>
      <c r="P215">
        <f t="shared" si="12"/>
        <v>1.3534999999999999</v>
      </c>
      <c r="Q215">
        <f t="shared" si="13"/>
        <v>1.0255000000000001</v>
      </c>
      <c r="R215">
        <f t="shared" si="14"/>
        <v>2.379</v>
      </c>
    </row>
    <row r="216" spans="2:18" x14ac:dyDescent="0.3">
      <c r="B216" s="8">
        <v>1.08</v>
      </c>
      <c r="C216">
        <v>27</v>
      </c>
      <c r="D216" s="8">
        <f t="shared" si="1"/>
        <v>4.7459238268117071E-2</v>
      </c>
      <c r="E216" s="8">
        <f t="shared" si="0"/>
        <v>7.2154846387909755E-2</v>
      </c>
      <c r="F216" s="8">
        <f t="shared" si="2"/>
        <v>0.92213043221196545</v>
      </c>
      <c r="G216" s="8">
        <f t="shared" si="3"/>
        <v>1.81</v>
      </c>
      <c r="H216">
        <f t="shared" si="4"/>
        <v>16.100000000000001</v>
      </c>
      <c r="I216">
        <f t="shared" si="5"/>
        <v>2187240.2490161066</v>
      </c>
      <c r="J216">
        <f t="shared" si="6"/>
        <v>488166.46412193938</v>
      </c>
      <c r="K216">
        <f t="shared" si="7"/>
        <v>482099.79742687522</v>
      </c>
      <c r="L216">
        <f t="shared" si="8"/>
        <v>308.99701759629181</v>
      </c>
      <c r="M216">
        <f t="shared" si="9"/>
        <v>233778.29132868064</v>
      </c>
      <c r="N216">
        <f t="shared" si="10"/>
        <v>1088.5472572290905</v>
      </c>
      <c r="O216">
        <f t="shared" si="11"/>
        <v>400617.38508627022</v>
      </c>
      <c r="P216">
        <f t="shared" si="12"/>
        <v>1.3544</v>
      </c>
      <c r="Q216">
        <f t="shared" si="13"/>
        <v>1.0285</v>
      </c>
      <c r="R216">
        <f t="shared" si="14"/>
        <v>2.3829000000000002</v>
      </c>
    </row>
    <row r="217" spans="2:18" x14ac:dyDescent="0.3">
      <c r="B217" s="8">
        <v>1.083</v>
      </c>
      <c r="C217">
        <v>27</v>
      </c>
      <c r="D217" s="8">
        <f t="shared" si="1"/>
        <v>4.7490858718159154E-2</v>
      </c>
      <c r="E217" s="8">
        <f t="shared" si="0"/>
        <v>7.2151166231903485E-2</v>
      </c>
      <c r="F217" s="8">
        <f t="shared" si="2"/>
        <v>0.92208340025197166</v>
      </c>
      <c r="G217" s="8">
        <f t="shared" si="3"/>
        <v>1.82</v>
      </c>
      <c r="H217">
        <f t="shared" si="4"/>
        <v>16.100000000000001</v>
      </c>
      <c r="I217">
        <f t="shared" si="5"/>
        <v>2207230.5266349795</v>
      </c>
      <c r="J217">
        <f t="shared" si="6"/>
        <v>489196.54732729815</v>
      </c>
      <c r="K217">
        <f t="shared" si="7"/>
        <v>483129.88063223398</v>
      </c>
      <c r="L217">
        <f t="shared" si="8"/>
        <v>309.64903419662176</v>
      </c>
      <c r="M217">
        <f t="shared" si="9"/>
        <v>234354.68744701357</v>
      </c>
      <c r="N217">
        <f t="shared" si="10"/>
        <v>1090.8731122779741</v>
      </c>
      <c r="O217">
        <f t="shared" si="11"/>
        <v>401480.65593697212</v>
      </c>
      <c r="P217">
        <f t="shared" si="12"/>
        <v>1.3647</v>
      </c>
      <c r="Q217">
        <f t="shared" si="13"/>
        <v>1.0306999999999999</v>
      </c>
      <c r="R217">
        <f t="shared" si="14"/>
        <v>2.3954</v>
      </c>
    </row>
    <row r="218" spans="2:18" x14ac:dyDescent="0.3">
      <c r="B218" s="8">
        <v>1.0860000000000001</v>
      </c>
      <c r="C218">
        <v>26</v>
      </c>
      <c r="D218" s="8">
        <f t="shared" si="1"/>
        <v>4.7522346283969716E-2</v>
      </c>
      <c r="E218" s="8">
        <f t="shared" si="0"/>
        <v>7.2147501621667054E-2</v>
      </c>
      <c r="F218" s="8">
        <f t="shared" si="2"/>
        <v>0.92203656696508418</v>
      </c>
      <c r="G218" s="8">
        <f t="shared" si="3"/>
        <v>1.82</v>
      </c>
      <c r="H218">
        <f t="shared" si="4"/>
        <v>15.7</v>
      </c>
      <c r="I218">
        <f t="shared" si="5"/>
        <v>2128561.0121192038</v>
      </c>
      <c r="J218">
        <f t="shared" si="6"/>
        <v>490226.63053265709</v>
      </c>
      <c r="K218">
        <f t="shared" si="7"/>
        <v>484159.96383759292</v>
      </c>
      <c r="L218">
        <f t="shared" si="8"/>
        <v>310.30105079695187</v>
      </c>
      <c r="M218">
        <f t="shared" si="9"/>
        <v>234931.08356534661</v>
      </c>
      <c r="N218">
        <f t="shared" si="10"/>
        <v>1093.1989673268581</v>
      </c>
      <c r="O218">
        <f t="shared" si="11"/>
        <v>402343.92678767419</v>
      </c>
      <c r="P218">
        <f t="shared" si="12"/>
        <v>1.3275999999999999</v>
      </c>
      <c r="Q218">
        <f t="shared" si="13"/>
        <v>1.0328999999999999</v>
      </c>
      <c r="R218">
        <f t="shared" si="14"/>
        <v>2.3605</v>
      </c>
    </row>
    <row r="219" spans="2:18" x14ac:dyDescent="0.3">
      <c r="B219" s="8">
        <v>1.089</v>
      </c>
      <c r="C219">
        <v>25</v>
      </c>
      <c r="D219" s="8">
        <f t="shared" si="1"/>
        <v>4.7553701801456807E-2</v>
      </c>
      <c r="E219" s="8">
        <f t="shared" si="0"/>
        <v>7.2143852458495222E-2</v>
      </c>
      <c r="F219" s="8">
        <f t="shared" si="2"/>
        <v>0.92198993108986149</v>
      </c>
      <c r="G219" s="8">
        <f t="shared" si="3"/>
        <v>1.82</v>
      </c>
      <c r="H219">
        <f t="shared" si="4"/>
        <v>15.2</v>
      </c>
      <c r="I219">
        <f t="shared" si="5"/>
        <v>2048322.5610994839</v>
      </c>
      <c r="J219">
        <f t="shared" si="6"/>
        <v>491256.71373801597</v>
      </c>
      <c r="K219">
        <f t="shared" si="7"/>
        <v>485190.0470429518</v>
      </c>
      <c r="L219">
        <f t="shared" si="8"/>
        <v>310.95306739728187</v>
      </c>
      <c r="M219">
        <f t="shared" si="9"/>
        <v>235507.47968367959</v>
      </c>
      <c r="N219">
        <f t="shared" si="10"/>
        <v>1095.5248223757419</v>
      </c>
      <c r="O219">
        <f t="shared" si="11"/>
        <v>403207.19763837621</v>
      </c>
      <c r="P219">
        <f t="shared" si="12"/>
        <v>1.2898000000000001</v>
      </c>
      <c r="Q219">
        <f t="shared" si="13"/>
        <v>1.0350999999999999</v>
      </c>
      <c r="R219">
        <f t="shared" si="14"/>
        <v>2.3249</v>
      </c>
    </row>
    <row r="220" spans="2:18" x14ac:dyDescent="0.3">
      <c r="B220" s="8">
        <v>1.093</v>
      </c>
      <c r="C220">
        <v>25</v>
      </c>
      <c r="D220" s="8">
        <f t="shared" si="1"/>
        <v>4.7595305181291396E-2</v>
      </c>
      <c r="E220" s="8">
        <f t="shared" si="0"/>
        <v>7.2139010767336711E-2</v>
      </c>
      <c r="F220" s="8">
        <f t="shared" si="2"/>
        <v>0.92192805484752804</v>
      </c>
      <c r="G220" s="8">
        <f t="shared" si="3"/>
        <v>1.82</v>
      </c>
      <c r="H220">
        <f t="shared" si="4"/>
        <v>15.2</v>
      </c>
      <c r="I220">
        <f t="shared" si="5"/>
        <v>2048322.5610994839</v>
      </c>
      <c r="J220">
        <f t="shared" si="6"/>
        <v>492630.15801182785</v>
      </c>
      <c r="K220">
        <f t="shared" si="7"/>
        <v>486563.49131676368</v>
      </c>
      <c r="L220">
        <f t="shared" si="8"/>
        <v>311.82242286438861</v>
      </c>
      <c r="M220">
        <f t="shared" si="9"/>
        <v>236276.00784145697</v>
      </c>
      <c r="N220">
        <f t="shared" si="10"/>
        <v>1098.6259624409204</v>
      </c>
      <c r="O220">
        <f t="shared" si="11"/>
        <v>404358.22543931223</v>
      </c>
      <c r="P220">
        <f t="shared" si="12"/>
        <v>1.2907</v>
      </c>
      <c r="Q220">
        <f t="shared" si="13"/>
        <v>1.038</v>
      </c>
      <c r="R220">
        <f t="shared" si="14"/>
        <v>2.3287</v>
      </c>
    </row>
    <row r="221" spans="2:18" x14ac:dyDescent="0.3">
      <c r="B221" s="8">
        <v>1.0960000000000001</v>
      </c>
      <c r="C221">
        <v>25</v>
      </c>
      <c r="D221" s="8">
        <f t="shared" si="1"/>
        <v>4.7626355797613366E-2</v>
      </c>
      <c r="E221" s="8">
        <f t="shared" si="0"/>
        <v>7.2135397268164342E-2</v>
      </c>
      <c r="F221" s="8">
        <f t="shared" si="2"/>
        <v>0.92188187475401506</v>
      </c>
      <c r="G221" s="8">
        <f t="shared" si="3"/>
        <v>1.82</v>
      </c>
      <c r="H221">
        <f t="shared" si="4"/>
        <v>15.2</v>
      </c>
      <c r="I221">
        <f t="shared" si="5"/>
        <v>2048322.5610994839</v>
      </c>
      <c r="J221">
        <f t="shared" si="6"/>
        <v>493660.24121718679</v>
      </c>
      <c r="K221">
        <f t="shared" si="7"/>
        <v>487593.57452212262</v>
      </c>
      <c r="L221">
        <f t="shared" si="8"/>
        <v>312.47443946471873</v>
      </c>
      <c r="M221">
        <f t="shared" si="9"/>
        <v>236852.40395979001</v>
      </c>
      <c r="N221">
        <f t="shared" si="10"/>
        <v>1100.9518174898042</v>
      </c>
      <c r="O221">
        <f t="shared" si="11"/>
        <v>405221.49629001418</v>
      </c>
      <c r="P221">
        <f t="shared" si="12"/>
        <v>1.2914000000000001</v>
      </c>
      <c r="Q221">
        <f t="shared" si="13"/>
        <v>1.0402</v>
      </c>
      <c r="R221">
        <f t="shared" si="14"/>
        <v>2.3315999999999999</v>
      </c>
    </row>
    <row r="222" spans="2:18" x14ac:dyDescent="0.3">
      <c r="B222" s="8">
        <v>1.099</v>
      </c>
      <c r="C222">
        <v>25</v>
      </c>
      <c r="D222" s="8">
        <f t="shared" si="1"/>
        <v>4.7657277101851366E-2</v>
      </c>
      <c r="E222" s="8">
        <f t="shared" si="0"/>
        <v>7.2131798893056709E-2</v>
      </c>
      <c r="F222" s="8">
        <f t="shared" si="2"/>
        <v>0.92183588794426663</v>
      </c>
      <c r="G222" s="8">
        <f t="shared" si="3"/>
        <v>1.83</v>
      </c>
      <c r="H222">
        <f t="shared" si="4"/>
        <v>15.2</v>
      </c>
      <c r="I222">
        <f t="shared" si="5"/>
        <v>2066857.3004461841</v>
      </c>
      <c r="J222">
        <f t="shared" si="6"/>
        <v>494690.32442254567</v>
      </c>
      <c r="K222">
        <f t="shared" si="7"/>
        <v>488623.65772748151</v>
      </c>
      <c r="L222">
        <f t="shared" si="8"/>
        <v>313.12645606504873</v>
      </c>
      <c r="M222">
        <f t="shared" si="9"/>
        <v>237428.80007812299</v>
      </c>
      <c r="N222">
        <f t="shared" si="10"/>
        <v>1103.277672538688</v>
      </c>
      <c r="O222">
        <f t="shared" si="11"/>
        <v>406084.7671407162</v>
      </c>
      <c r="P222">
        <f t="shared" si="12"/>
        <v>1.3009999999999999</v>
      </c>
      <c r="Q222">
        <f t="shared" si="13"/>
        <v>1.0424</v>
      </c>
      <c r="R222">
        <f t="shared" si="14"/>
        <v>2.3433999999999999</v>
      </c>
    </row>
    <row r="223" spans="2:18" x14ac:dyDescent="0.3">
      <c r="B223" s="8">
        <v>1.1020000000000001</v>
      </c>
      <c r="C223">
        <v>25</v>
      </c>
      <c r="D223" s="8">
        <f t="shared" si="1"/>
        <v>4.7688069900118292E-2</v>
      </c>
      <c r="E223" s="8">
        <f t="shared" si="0"/>
        <v>7.2128215546885199E-2</v>
      </c>
      <c r="F223" s="8">
        <f t="shared" si="2"/>
        <v>0.92179009320255056</v>
      </c>
      <c r="G223" s="8">
        <f t="shared" si="3"/>
        <v>1.83</v>
      </c>
      <c r="H223">
        <f t="shared" si="4"/>
        <v>15.2</v>
      </c>
      <c r="I223">
        <f t="shared" si="5"/>
        <v>2066857.3004461841</v>
      </c>
      <c r="J223">
        <f t="shared" si="6"/>
        <v>495720.4076279045</v>
      </c>
      <c r="K223">
        <f t="shared" si="7"/>
        <v>489653.74093284033</v>
      </c>
      <c r="L223">
        <f t="shared" si="8"/>
        <v>313.77847266537879</v>
      </c>
      <c r="M223">
        <f t="shared" si="9"/>
        <v>238005.19619645597</v>
      </c>
      <c r="N223">
        <f t="shared" si="10"/>
        <v>1105.6035275875718</v>
      </c>
      <c r="O223">
        <f t="shared" si="11"/>
        <v>406948.03799141815</v>
      </c>
      <c r="P223">
        <f t="shared" si="12"/>
        <v>1.3017000000000001</v>
      </c>
      <c r="Q223">
        <f t="shared" si="13"/>
        <v>1.0446</v>
      </c>
      <c r="R223">
        <f t="shared" si="14"/>
        <v>2.3463000000000003</v>
      </c>
    </row>
    <row r="224" spans="2:18" x14ac:dyDescent="0.3">
      <c r="B224" s="8">
        <v>1.1060000000000001</v>
      </c>
      <c r="C224">
        <v>25</v>
      </c>
      <c r="D224" s="8">
        <f t="shared" si="1"/>
        <v>4.7728928447067429E-2</v>
      </c>
      <c r="E224" s="8">
        <f t="shared" si="0"/>
        <v>7.212346096741569E-2</v>
      </c>
      <c r="F224" s="8">
        <f t="shared" si="2"/>
        <v>0.92172933023733494</v>
      </c>
      <c r="G224" s="8">
        <f t="shared" si="3"/>
        <v>1.83</v>
      </c>
      <c r="H224">
        <f t="shared" si="4"/>
        <v>15.2</v>
      </c>
      <c r="I224">
        <f t="shared" si="5"/>
        <v>2066857.3004461841</v>
      </c>
      <c r="J224">
        <f t="shared" si="6"/>
        <v>497093.85190171644</v>
      </c>
      <c r="K224">
        <f t="shared" si="7"/>
        <v>491027.18520665227</v>
      </c>
      <c r="L224">
        <f t="shared" si="8"/>
        <v>314.64782813248553</v>
      </c>
      <c r="M224">
        <f t="shared" si="9"/>
        <v>238773.72435423336</v>
      </c>
      <c r="N224">
        <f t="shared" si="10"/>
        <v>1108.7046676527502</v>
      </c>
      <c r="O224">
        <f t="shared" si="11"/>
        <v>408099.06579235417</v>
      </c>
      <c r="P224">
        <f t="shared" si="12"/>
        <v>1.3026</v>
      </c>
      <c r="Q224">
        <f t="shared" si="13"/>
        <v>1.0475000000000001</v>
      </c>
      <c r="R224">
        <f t="shared" si="14"/>
        <v>2.3501000000000003</v>
      </c>
    </row>
    <row r="225" spans="2:18" x14ac:dyDescent="0.3">
      <c r="B225" s="8">
        <v>1.109</v>
      </c>
      <c r="C225">
        <v>25</v>
      </c>
      <c r="D225" s="8">
        <f t="shared" si="1"/>
        <v>4.7759424495522243E-2</v>
      </c>
      <c r="E225" s="8">
        <f t="shared" si="0"/>
        <v>7.2119912323306043E-2</v>
      </c>
      <c r="F225" s="8">
        <f t="shared" si="2"/>
        <v>0.92168397898387922</v>
      </c>
      <c r="G225" s="8">
        <f t="shared" si="3"/>
        <v>1.83</v>
      </c>
      <c r="H225">
        <f t="shared" si="4"/>
        <v>15.2</v>
      </c>
      <c r="I225">
        <f t="shared" si="5"/>
        <v>2066857.3004461841</v>
      </c>
      <c r="J225">
        <f t="shared" si="6"/>
        <v>498123.93510707538</v>
      </c>
      <c r="K225">
        <f t="shared" si="7"/>
        <v>492057.26841201121</v>
      </c>
      <c r="L225">
        <f t="shared" si="8"/>
        <v>315.29984473281564</v>
      </c>
      <c r="M225">
        <f t="shared" si="9"/>
        <v>239350.1204725664</v>
      </c>
      <c r="N225">
        <f t="shared" si="10"/>
        <v>1111.0305227016343</v>
      </c>
      <c r="O225">
        <f t="shared" si="11"/>
        <v>408962.33664305625</v>
      </c>
      <c r="P225">
        <f t="shared" si="12"/>
        <v>1.3032999999999999</v>
      </c>
      <c r="Q225">
        <f t="shared" si="13"/>
        <v>1.0497000000000001</v>
      </c>
      <c r="R225">
        <f t="shared" si="14"/>
        <v>2.3529999999999998</v>
      </c>
    </row>
    <row r="226" spans="2:18" x14ac:dyDescent="0.3">
      <c r="B226" s="8">
        <v>1.1120000000000001</v>
      </c>
      <c r="C226">
        <v>24</v>
      </c>
      <c r="D226" s="8">
        <f t="shared" si="1"/>
        <v>4.7789794677145621E-2</v>
      </c>
      <c r="E226" s="8">
        <f t="shared" si="0"/>
        <v>7.2116378396781478E-2</v>
      </c>
      <c r="F226" s="8">
        <f t="shared" si="2"/>
        <v>0.92163881581942619</v>
      </c>
      <c r="G226" s="8">
        <f t="shared" si="3"/>
        <v>1.83</v>
      </c>
      <c r="H226">
        <f t="shared" si="4"/>
        <v>14</v>
      </c>
      <c r="I226">
        <f t="shared" si="5"/>
        <v>1974843.8707859593</v>
      </c>
      <c r="J226">
        <f t="shared" si="6"/>
        <v>499154.01831243426</v>
      </c>
      <c r="K226">
        <f t="shared" si="7"/>
        <v>493087.35161737009</v>
      </c>
      <c r="L226">
        <f t="shared" si="8"/>
        <v>315.95186133314564</v>
      </c>
      <c r="M226">
        <f t="shared" si="9"/>
        <v>239926.51659089938</v>
      </c>
      <c r="N226">
        <f t="shared" si="10"/>
        <v>1113.3563777505183</v>
      </c>
      <c r="O226">
        <f t="shared" si="11"/>
        <v>409825.60749375832</v>
      </c>
      <c r="P226">
        <f t="shared" si="12"/>
        <v>1.2598</v>
      </c>
      <c r="Q226">
        <f t="shared" si="13"/>
        <v>1.0519000000000001</v>
      </c>
      <c r="R226">
        <f t="shared" si="14"/>
        <v>2.3117000000000001</v>
      </c>
    </row>
    <row r="227" spans="2:18" x14ac:dyDescent="0.3">
      <c r="B227" s="8">
        <v>1.1160000000000001</v>
      </c>
      <c r="C227">
        <v>24</v>
      </c>
      <c r="D227" s="8">
        <f t="shared" si="1"/>
        <v>4.7830093802930462E-2</v>
      </c>
      <c r="E227" s="8">
        <f t="shared" si="0"/>
        <v>7.211168923036157E-2</v>
      </c>
      <c r="F227" s="8">
        <f t="shared" si="2"/>
        <v>0.9215788888252745</v>
      </c>
      <c r="G227" s="8">
        <f t="shared" si="3"/>
        <v>1.84</v>
      </c>
      <c r="H227">
        <f t="shared" si="4"/>
        <v>14</v>
      </c>
      <c r="I227">
        <f t="shared" si="5"/>
        <v>1992586.1870197619</v>
      </c>
      <c r="J227">
        <f t="shared" si="6"/>
        <v>500527.46258624614</v>
      </c>
      <c r="K227">
        <f t="shared" si="7"/>
        <v>494460.79589118197</v>
      </c>
      <c r="L227">
        <f t="shared" si="8"/>
        <v>316.82121680025239</v>
      </c>
      <c r="M227">
        <f t="shared" si="9"/>
        <v>240695.04474867671</v>
      </c>
      <c r="N227">
        <f t="shared" si="10"/>
        <v>1116.4575178156967</v>
      </c>
      <c r="O227">
        <f t="shared" si="11"/>
        <v>410976.63529469434</v>
      </c>
      <c r="P227">
        <f t="shared" si="12"/>
        <v>1.2692000000000001</v>
      </c>
      <c r="Q227">
        <f t="shared" si="13"/>
        <v>1.0548</v>
      </c>
      <c r="R227">
        <f t="shared" si="14"/>
        <v>2.3239999999999998</v>
      </c>
    </row>
    <row r="228" spans="2:18" x14ac:dyDescent="0.3">
      <c r="B228" s="8">
        <v>1.119</v>
      </c>
      <c r="C228">
        <v>24</v>
      </c>
      <c r="D228" s="8">
        <f t="shared" si="1"/>
        <v>4.786017330837123E-2</v>
      </c>
      <c r="E228" s="8">
        <f t="shared" si="0"/>
        <v>7.210818928952413E-2</v>
      </c>
      <c r="F228" s="8">
        <f t="shared" si="2"/>
        <v>0.9215341599938971</v>
      </c>
      <c r="G228" s="8">
        <f t="shared" si="3"/>
        <v>1.84</v>
      </c>
      <c r="H228">
        <f t="shared" si="4"/>
        <v>14</v>
      </c>
      <c r="I228">
        <f t="shared" si="5"/>
        <v>1992586.1870197619</v>
      </c>
      <c r="J228">
        <f t="shared" si="6"/>
        <v>501557.54579160502</v>
      </c>
      <c r="K228">
        <f t="shared" si="7"/>
        <v>495490.87909654086</v>
      </c>
      <c r="L228">
        <f t="shared" si="8"/>
        <v>317.47323340058244</v>
      </c>
      <c r="M228">
        <f t="shared" si="9"/>
        <v>241271.44086700975</v>
      </c>
      <c r="N228">
        <f t="shared" si="10"/>
        <v>1118.7833728645805</v>
      </c>
      <c r="O228">
        <f t="shared" si="11"/>
        <v>411839.90614539629</v>
      </c>
      <c r="P228">
        <f t="shared" si="12"/>
        <v>1.2699</v>
      </c>
      <c r="Q228">
        <f t="shared" si="13"/>
        <v>1.0569999999999999</v>
      </c>
      <c r="R228">
        <f t="shared" si="14"/>
        <v>2.3269000000000002</v>
      </c>
    </row>
    <row r="229" spans="2:18" x14ac:dyDescent="0.3">
      <c r="B229" s="8">
        <v>1.1220000000000001</v>
      </c>
      <c r="C229">
        <v>24</v>
      </c>
      <c r="D229" s="8">
        <f t="shared" si="1"/>
        <v>4.7890129514345021E-2</v>
      </c>
      <c r="E229" s="8">
        <f t="shared" si="0"/>
        <v>7.2104703763521377E-2</v>
      </c>
      <c r="F229" s="8">
        <f t="shared" si="2"/>
        <v>0.92148961538240803</v>
      </c>
      <c r="G229" s="8">
        <f t="shared" si="3"/>
        <v>1.84</v>
      </c>
      <c r="H229">
        <f t="shared" si="4"/>
        <v>14</v>
      </c>
      <c r="I229">
        <f t="shared" si="5"/>
        <v>1992586.1870197619</v>
      </c>
      <c r="J229">
        <f t="shared" si="6"/>
        <v>502587.6289969639</v>
      </c>
      <c r="K229">
        <f t="shared" si="7"/>
        <v>496520.96230189974</v>
      </c>
      <c r="L229">
        <f t="shared" si="8"/>
        <v>318.1252500009125</v>
      </c>
      <c r="M229">
        <f t="shared" si="9"/>
        <v>241847.83698534279</v>
      </c>
      <c r="N229">
        <f t="shared" si="10"/>
        <v>1121.1092279134641</v>
      </c>
      <c r="O229">
        <f t="shared" si="11"/>
        <v>412703.17699609819</v>
      </c>
      <c r="P229">
        <f t="shared" si="12"/>
        <v>1.2706</v>
      </c>
      <c r="Q229">
        <f t="shared" si="13"/>
        <v>1.0591999999999999</v>
      </c>
      <c r="R229">
        <f t="shared" si="14"/>
        <v>2.3297999999999996</v>
      </c>
    </row>
    <row r="230" spans="2:18" x14ac:dyDescent="0.3">
      <c r="B230" s="8">
        <v>1.125</v>
      </c>
      <c r="C230">
        <v>24</v>
      </c>
      <c r="D230" s="8">
        <f t="shared" si="1"/>
        <v>4.7919963177429942E-2</v>
      </c>
      <c r="E230" s="8">
        <f t="shared" si="0"/>
        <v>7.2101232563160395E-2</v>
      </c>
      <c r="F230" s="8">
        <f t="shared" si="2"/>
        <v>0.92144525385093234</v>
      </c>
      <c r="G230" s="8">
        <f t="shared" si="3"/>
        <v>1.84</v>
      </c>
      <c r="H230">
        <f t="shared" si="4"/>
        <v>14</v>
      </c>
      <c r="I230">
        <f t="shared" si="5"/>
        <v>1992586.1870197619</v>
      </c>
      <c r="J230">
        <f t="shared" si="6"/>
        <v>503617.71220232279</v>
      </c>
      <c r="K230">
        <f t="shared" si="7"/>
        <v>497551.04550725862</v>
      </c>
      <c r="L230">
        <f t="shared" si="8"/>
        <v>318.7772666012425</v>
      </c>
      <c r="M230">
        <f t="shared" si="9"/>
        <v>242424.23310367571</v>
      </c>
      <c r="N230">
        <f t="shared" si="10"/>
        <v>1123.4350829623481</v>
      </c>
      <c r="O230">
        <f t="shared" si="11"/>
        <v>413566.44784680026</v>
      </c>
      <c r="P230">
        <f t="shared" si="12"/>
        <v>1.2713000000000001</v>
      </c>
      <c r="Q230">
        <f t="shared" si="13"/>
        <v>1.0613999999999999</v>
      </c>
      <c r="R230">
        <f t="shared" si="14"/>
        <v>2.3327</v>
      </c>
    </row>
    <row r="231" spans="2:18" x14ac:dyDescent="0.3">
      <c r="B231" s="8">
        <v>1.129</v>
      </c>
      <c r="C231">
        <v>24</v>
      </c>
      <c r="D231" s="8">
        <f t="shared" si="1"/>
        <v>4.7959552068712101E-2</v>
      </c>
      <c r="E231" s="8">
        <f t="shared" si="0"/>
        <v>7.2096626427566909E-2</v>
      </c>
      <c r="F231" s="8">
        <f t="shared" si="2"/>
        <v>0.92138638798095573</v>
      </c>
      <c r="G231" s="8">
        <f t="shared" si="3"/>
        <v>1.84</v>
      </c>
      <c r="H231">
        <f t="shared" si="4"/>
        <v>14</v>
      </c>
      <c r="I231">
        <f t="shared" si="5"/>
        <v>1992586.1870197619</v>
      </c>
      <c r="J231">
        <f t="shared" si="6"/>
        <v>504991.15647613467</v>
      </c>
      <c r="K231">
        <f t="shared" si="7"/>
        <v>498924.4897810705</v>
      </c>
      <c r="L231">
        <f t="shared" si="8"/>
        <v>319.64662206834925</v>
      </c>
      <c r="M231">
        <f t="shared" si="9"/>
        <v>243192.7612614531</v>
      </c>
      <c r="N231">
        <f t="shared" si="10"/>
        <v>1126.5362230275266</v>
      </c>
      <c r="O231">
        <f t="shared" si="11"/>
        <v>414717.47564773628</v>
      </c>
      <c r="P231">
        <f t="shared" si="12"/>
        <v>1.2722</v>
      </c>
      <c r="Q231">
        <f t="shared" si="13"/>
        <v>1.0644</v>
      </c>
      <c r="R231">
        <f t="shared" si="14"/>
        <v>2.3365999999999998</v>
      </c>
    </row>
    <row r="232" spans="2:18" x14ac:dyDescent="0.3">
      <c r="B232" s="8">
        <v>1.1319999999999999</v>
      </c>
      <c r="C232">
        <v>24</v>
      </c>
      <c r="D232" s="8">
        <f t="shared" si="1"/>
        <v>4.7989102706055976E-2</v>
      </c>
      <c r="E232" s="8">
        <f t="shared" si="0"/>
        <v>7.2093188310980688E-2</v>
      </c>
      <c r="F232" s="8">
        <f t="shared" si="2"/>
        <v>0.92134244925622188</v>
      </c>
      <c r="G232" s="8">
        <f t="shared" si="3"/>
        <v>1.85</v>
      </c>
      <c r="H232">
        <f t="shared" si="4"/>
        <v>14</v>
      </c>
      <c r="I232">
        <f t="shared" si="5"/>
        <v>2010328.5032535654</v>
      </c>
      <c r="J232">
        <f t="shared" si="6"/>
        <v>506021.23968149343</v>
      </c>
      <c r="K232">
        <f t="shared" si="7"/>
        <v>499954.57298642927</v>
      </c>
      <c r="L232">
        <f t="shared" si="8"/>
        <v>320.29863866867925</v>
      </c>
      <c r="M232">
        <f t="shared" si="9"/>
        <v>243769.15737978602</v>
      </c>
      <c r="N232">
        <f t="shared" si="10"/>
        <v>1128.8620780764102</v>
      </c>
      <c r="O232">
        <f t="shared" si="11"/>
        <v>415580.74649843818</v>
      </c>
      <c r="P232">
        <f t="shared" si="12"/>
        <v>1.2814000000000001</v>
      </c>
      <c r="Q232">
        <f t="shared" si="13"/>
        <v>1.0666</v>
      </c>
      <c r="R232">
        <f t="shared" si="14"/>
        <v>2.3479999999999999</v>
      </c>
    </row>
    <row r="233" spans="2:18" x14ac:dyDescent="0.3">
      <c r="B233" s="8">
        <v>1.135</v>
      </c>
      <c r="C233">
        <v>24</v>
      </c>
      <c r="D233" s="8">
        <f t="shared" si="1"/>
        <v>4.8018533278176199E-2</v>
      </c>
      <c r="E233" s="8">
        <f t="shared" si="0"/>
        <v>7.2089764228022962E-2</v>
      </c>
      <c r="F233" s="8">
        <f t="shared" si="2"/>
        <v>0.92129868987960617</v>
      </c>
      <c r="G233" s="8">
        <f t="shared" si="3"/>
        <v>1.85</v>
      </c>
      <c r="H233">
        <f t="shared" si="4"/>
        <v>14</v>
      </c>
      <c r="I233">
        <f t="shared" si="5"/>
        <v>2010328.5032535654</v>
      </c>
      <c r="J233">
        <f t="shared" si="6"/>
        <v>507051.32288685243</v>
      </c>
      <c r="K233">
        <f t="shared" si="7"/>
        <v>500984.65619178826</v>
      </c>
      <c r="L233">
        <f t="shared" si="8"/>
        <v>320.9506552690093</v>
      </c>
      <c r="M233">
        <f t="shared" si="9"/>
        <v>244345.55349811906</v>
      </c>
      <c r="N233">
        <f t="shared" si="10"/>
        <v>1131.1879331252942</v>
      </c>
      <c r="O233">
        <f t="shared" si="11"/>
        <v>416444.01734914025</v>
      </c>
      <c r="P233">
        <f t="shared" si="12"/>
        <v>1.2821</v>
      </c>
      <c r="Q233">
        <f t="shared" si="13"/>
        <v>1.0688</v>
      </c>
      <c r="R233">
        <f t="shared" si="14"/>
        <v>2.3509000000000002</v>
      </c>
    </row>
    <row r="234" spans="2:18" x14ac:dyDescent="0.3">
      <c r="B234" s="8">
        <v>1.139</v>
      </c>
      <c r="C234">
        <v>24</v>
      </c>
      <c r="D234" s="8">
        <f t="shared" si="1"/>
        <v>4.8057588534202861E-2</v>
      </c>
      <c r="E234" s="8">
        <f t="shared" si="0"/>
        <v>7.2085220465551061E-2</v>
      </c>
      <c r="F234" s="8">
        <f t="shared" si="2"/>
        <v>0.92124062113077188</v>
      </c>
      <c r="G234" s="8">
        <f t="shared" si="3"/>
        <v>1.85</v>
      </c>
      <c r="H234">
        <f t="shared" si="4"/>
        <v>14</v>
      </c>
      <c r="I234">
        <f t="shared" si="5"/>
        <v>2010328.5032535654</v>
      </c>
      <c r="J234">
        <f t="shared" si="6"/>
        <v>508424.76716066431</v>
      </c>
      <c r="K234">
        <f t="shared" si="7"/>
        <v>502358.10046560015</v>
      </c>
      <c r="L234">
        <f t="shared" si="8"/>
        <v>321.8200107361161</v>
      </c>
      <c r="M234">
        <f t="shared" si="9"/>
        <v>245114.08165589644</v>
      </c>
      <c r="N234">
        <f t="shared" si="10"/>
        <v>1134.2890731904727</v>
      </c>
      <c r="O234">
        <f t="shared" si="11"/>
        <v>417595.04515007627</v>
      </c>
      <c r="P234">
        <f t="shared" si="12"/>
        <v>1.2830999999999999</v>
      </c>
      <c r="Q234">
        <f t="shared" si="13"/>
        <v>1.0717000000000001</v>
      </c>
      <c r="R234">
        <f t="shared" si="14"/>
        <v>2.3548</v>
      </c>
    </row>
    <row r="235" spans="2:18" x14ac:dyDescent="0.3">
      <c r="B235" s="8">
        <v>1.1419999999999999</v>
      </c>
      <c r="C235">
        <v>22</v>
      </c>
      <c r="D235" s="8">
        <f t="shared" si="1"/>
        <v>4.8086741783828081E-2</v>
      </c>
      <c r="E235" s="8">
        <f t="shared" si="0"/>
        <v>7.2081828794329075E-2</v>
      </c>
      <c r="F235" s="8">
        <f t="shared" si="2"/>
        <v>0.92119727597231871</v>
      </c>
      <c r="G235" s="8">
        <f t="shared" si="3"/>
        <v>1.85</v>
      </c>
      <c r="H235">
        <f t="shared" si="4"/>
        <v>13.1</v>
      </c>
      <c r="I235">
        <f t="shared" si="5"/>
        <v>1847053.9229015505</v>
      </c>
      <c r="J235">
        <f t="shared" si="6"/>
        <v>509454.85036602314</v>
      </c>
      <c r="K235">
        <f t="shared" si="7"/>
        <v>503388.18367095897</v>
      </c>
      <c r="L235">
        <f t="shared" si="8"/>
        <v>322.4720273364461</v>
      </c>
      <c r="M235">
        <f t="shared" si="9"/>
        <v>245690.47777422942</v>
      </c>
      <c r="N235">
        <f t="shared" si="10"/>
        <v>1136.6149282393565</v>
      </c>
      <c r="O235">
        <f t="shared" si="11"/>
        <v>418458.31600077823</v>
      </c>
      <c r="P235">
        <f t="shared" si="12"/>
        <v>1.2054</v>
      </c>
      <c r="Q235">
        <f t="shared" si="13"/>
        <v>1.0739000000000001</v>
      </c>
      <c r="R235">
        <f t="shared" si="14"/>
        <v>2.2793000000000001</v>
      </c>
    </row>
    <row r="236" spans="2:18" x14ac:dyDescent="0.3">
      <c r="B236" s="8">
        <v>1.145</v>
      </c>
      <c r="C236">
        <v>22</v>
      </c>
      <c r="D236" s="8">
        <f t="shared" si="1"/>
        <v>4.8115777379548766E-2</v>
      </c>
      <c r="E236" s="8">
        <f t="shared" si="0"/>
        <v>7.2078450872655728E-2</v>
      </c>
      <c r="F236" s="8">
        <f t="shared" si="2"/>
        <v>0.92115410653147645</v>
      </c>
      <c r="G236" s="8">
        <f t="shared" si="3"/>
        <v>1.85</v>
      </c>
      <c r="H236">
        <f t="shared" si="4"/>
        <v>13.1</v>
      </c>
      <c r="I236">
        <f t="shared" si="5"/>
        <v>1847053.9229015505</v>
      </c>
      <c r="J236">
        <f t="shared" si="6"/>
        <v>510484.93357138208</v>
      </c>
      <c r="K236">
        <f t="shared" si="7"/>
        <v>504418.26687631791</v>
      </c>
      <c r="L236">
        <f t="shared" si="8"/>
        <v>323.12404393677616</v>
      </c>
      <c r="M236">
        <f t="shared" si="9"/>
        <v>246266.87389256246</v>
      </c>
      <c r="N236">
        <f t="shared" si="10"/>
        <v>1138.9407832882405</v>
      </c>
      <c r="O236">
        <f t="shared" si="11"/>
        <v>419321.5868514803</v>
      </c>
      <c r="P236">
        <f t="shared" si="12"/>
        <v>1.2060999999999999</v>
      </c>
      <c r="Q236">
        <f t="shared" si="13"/>
        <v>1.0761000000000001</v>
      </c>
      <c r="R236">
        <f t="shared" si="14"/>
        <v>2.2822</v>
      </c>
    </row>
    <row r="237" spans="2:18" x14ac:dyDescent="0.3">
      <c r="B237" s="8">
        <v>1.1479999999999999</v>
      </c>
      <c r="C237">
        <v>22</v>
      </c>
      <c r="D237" s="8">
        <f t="shared" si="1"/>
        <v>4.8144696032155251E-2</v>
      </c>
      <c r="E237" s="8">
        <f t="shared" si="0"/>
        <v>7.2075086616813278E-2</v>
      </c>
      <c r="F237" s="8">
        <f t="shared" si="2"/>
        <v>0.92111111173834237</v>
      </c>
      <c r="G237" s="8">
        <f t="shared" si="3"/>
        <v>1.86</v>
      </c>
      <c r="H237">
        <f t="shared" si="4"/>
        <v>13.1</v>
      </c>
      <c r="I237">
        <f t="shared" si="5"/>
        <v>1863340.7008631802</v>
      </c>
      <c r="J237">
        <f t="shared" si="6"/>
        <v>511515.01677674096</v>
      </c>
      <c r="K237">
        <f t="shared" si="7"/>
        <v>505448.35008167679</v>
      </c>
      <c r="L237">
        <f t="shared" si="8"/>
        <v>323.77606053710622</v>
      </c>
      <c r="M237">
        <f t="shared" si="9"/>
        <v>246843.27001089545</v>
      </c>
      <c r="N237">
        <f t="shared" si="10"/>
        <v>1141.266638337124</v>
      </c>
      <c r="O237">
        <f t="shared" si="11"/>
        <v>420184.8577021822</v>
      </c>
      <c r="P237">
        <f t="shared" si="12"/>
        <v>1.2145999999999999</v>
      </c>
      <c r="Q237">
        <f t="shared" si="13"/>
        <v>1.0783</v>
      </c>
      <c r="R237">
        <f t="shared" si="14"/>
        <v>2.2928999999999999</v>
      </c>
    </row>
    <row r="238" spans="2:18" x14ac:dyDescent="0.3">
      <c r="B238" s="8">
        <v>1.1519999999999999</v>
      </c>
      <c r="C238">
        <v>22</v>
      </c>
      <c r="D238" s="8">
        <f t="shared" si="1"/>
        <v>4.818307354195419E-2</v>
      </c>
      <c r="E238" s="8">
        <f t="shared" si="0"/>
        <v>7.2070622056895656E-2</v>
      </c>
      <c r="F238" s="8">
        <f t="shared" si="2"/>
        <v>0.92105405518881633</v>
      </c>
      <c r="G238" s="8">
        <f t="shared" si="3"/>
        <v>1.86</v>
      </c>
      <c r="H238">
        <f t="shared" si="4"/>
        <v>13.1</v>
      </c>
      <c r="I238">
        <f t="shared" si="5"/>
        <v>1863340.7008631802</v>
      </c>
      <c r="J238">
        <f t="shared" si="6"/>
        <v>512888.46105055278</v>
      </c>
      <c r="K238">
        <f t="shared" si="7"/>
        <v>506821.79435548862</v>
      </c>
      <c r="L238">
        <f t="shared" si="8"/>
        <v>324.6454160042129</v>
      </c>
      <c r="M238">
        <f t="shared" si="9"/>
        <v>247611.79816867277</v>
      </c>
      <c r="N238">
        <f t="shared" si="10"/>
        <v>1144.3677784023025</v>
      </c>
      <c r="O238">
        <f t="shared" si="11"/>
        <v>421335.88550311822</v>
      </c>
      <c r="P238">
        <f t="shared" si="12"/>
        <v>1.2155</v>
      </c>
      <c r="Q238">
        <f t="shared" si="13"/>
        <v>1.0811999999999999</v>
      </c>
      <c r="R238">
        <f t="shared" si="14"/>
        <v>2.2967</v>
      </c>
    </row>
    <row r="239" spans="2:18" x14ac:dyDescent="0.3">
      <c r="B239" s="8">
        <v>1.155</v>
      </c>
      <c r="C239">
        <v>22</v>
      </c>
      <c r="D239" s="8">
        <f t="shared" si="1"/>
        <v>4.8211722059488843E-2</v>
      </c>
      <c r="E239" s="8">
        <f t="shared" si="0"/>
        <v>7.2067289366244E-2</v>
      </c>
      <c r="F239" s="8">
        <f t="shared" si="2"/>
        <v>0.92101146379510013</v>
      </c>
      <c r="G239" s="8">
        <f t="shared" si="3"/>
        <v>1.86</v>
      </c>
      <c r="H239">
        <f t="shared" si="4"/>
        <v>13.1</v>
      </c>
      <c r="I239">
        <f t="shared" si="5"/>
        <v>1863340.7008631802</v>
      </c>
      <c r="J239">
        <f t="shared" si="6"/>
        <v>513918.54425591178</v>
      </c>
      <c r="K239">
        <f t="shared" si="7"/>
        <v>507851.87756084761</v>
      </c>
      <c r="L239">
        <f t="shared" si="8"/>
        <v>325.29743260454302</v>
      </c>
      <c r="M239">
        <f t="shared" si="9"/>
        <v>248188.19428700581</v>
      </c>
      <c r="N239">
        <f t="shared" si="10"/>
        <v>1146.6936334511865</v>
      </c>
      <c r="O239">
        <f t="shared" si="11"/>
        <v>422199.15635382029</v>
      </c>
      <c r="P239">
        <f t="shared" si="12"/>
        <v>1.2161999999999999</v>
      </c>
      <c r="Q239">
        <f t="shared" si="13"/>
        <v>1.0833999999999999</v>
      </c>
      <c r="R239">
        <f t="shared" si="14"/>
        <v>2.2995999999999999</v>
      </c>
    </row>
    <row r="240" spans="2:18" x14ac:dyDescent="0.3">
      <c r="B240" s="8">
        <v>1.1579999999999999</v>
      </c>
      <c r="C240">
        <v>22</v>
      </c>
      <c r="D240" s="8">
        <f t="shared" si="1"/>
        <v>4.8240255962263098E-2</v>
      </c>
      <c r="E240" s="8">
        <f t="shared" si="0"/>
        <v>7.2063970067254374E-2</v>
      </c>
      <c r="F240" s="8">
        <f t="shared" si="2"/>
        <v>0.92096904354524622</v>
      </c>
      <c r="G240" s="8">
        <f t="shared" si="3"/>
        <v>1.86</v>
      </c>
      <c r="H240">
        <f t="shared" si="4"/>
        <v>13.1</v>
      </c>
      <c r="I240">
        <f t="shared" si="5"/>
        <v>1863340.7008631802</v>
      </c>
      <c r="J240">
        <f t="shared" si="6"/>
        <v>514948.62746127066</v>
      </c>
      <c r="K240">
        <f t="shared" si="7"/>
        <v>508881.9607662065</v>
      </c>
      <c r="L240">
        <f t="shared" si="8"/>
        <v>325.94944920487308</v>
      </c>
      <c r="M240">
        <f t="shared" si="9"/>
        <v>248764.59040533885</v>
      </c>
      <c r="N240">
        <f t="shared" si="10"/>
        <v>1149.0194885000703</v>
      </c>
      <c r="O240">
        <f t="shared" si="11"/>
        <v>423062.4272045223</v>
      </c>
      <c r="P240">
        <f t="shared" si="12"/>
        <v>1.2169000000000001</v>
      </c>
      <c r="Q240">
        <f t="shared" si="13"/>
        <v>1.0855999999999999</v>
      </c>
      <c r="R240">
        <f t="shared" si="14"/>
        <v>2.3025000000000002</v>
      </c>
    </row>
    <row r="241" spans="2:18" x14ac:dyDescent="0.3">
      <c r="B241" s="8">
        <v>1.161</v>
      </c>
      <c r="C241">
        <v>22</v>
      </c>
      <c r="D241" s="8">
        <f t="shared" si="1"/>
        <v>4.826867593671659E-2</v>
      </c>
      <c r="E241" s="8">
        <f t="shared" si="0"/>
        <v>7.2060664079116502E-2</v>
      </c>
      <c r="F241" s="8">
        <f t="shared" si="2"/>
        <v>0.92092679340650885</v>
      </c>
      <c r="G241" s="8">
        <f t="shared" si="3"/>
        <v>1.86</v>
      </c>
      <c r="H241">
        <f t="shared" si="4"/>
        <v>13.1</v>
      </c>
      <c r="I241">
        <f t="shared" si="5"/>
        <v>1863340.7008631802</v>
      </c>
      <c r="J241">
        <f t="shared" si="6"/>
        <v>515978.71066662954</v>
      </c>
      <c r="K241">
        <f t="shared" si="7"/>
        <v>509912.04397156538</v>
      </c>
      <c r="L241">
        <f t="shared" si="8"/>
        <v>326.60146580520313</v>
      </c>
      <c r="M241">
        <f t="shared" si="9"/>
        <v>249340.98652367183</v>
      </c>
      <c r="N241">
        <f t="shared" si="10"/>
        <v>1151.3453435489544</v>
      </c>
      <c r="O241">
        <f t="shared" si="11"/>
        <v>423925.69805522438</v>
      </c>
      <c r="P241">
        <f t="shared" si="12"/>
        <v>1.2176</v>
      </c>
      <c r="Q241">
        <f t="shared" si="13"/>
        <v>1.0878000000000001</v>
      </c>
      <c r="R241">
        <f t="shared" si="14"/>
        <v>2.3054000000000001</v>
      </c>
    </row>
    <row r="242" spans="2:18" x14ac:dyDescent="0.3">
      <c r="B242" s="8">
        <v>1.165</v>
      </c>
      <c r="C242">
        <v>22</v>
      </c>
      <c r="D242" s="8">
        <f t="shared" si="1"/>
        <v>4.8306393190357851E-2</v>
      </c>
      <c r="E242" s="8">
        <f t="shared" si="0"/>
        <v>7.2056276662251284E-2</v>
      </c>
      <c r="F242" s="8">
        <f t="shared" si="2"/>
        <v>0.92087072273610004</v>
      </c>
      <c r="G242" s="8">
        <f t="shared" si="3"/>
        <v>1.87</v>
      </c>
      <c r="H242">
        <f t="shared" si="4"/>
        <v>13.1</v>
      </c>
      <c r="I242">
        <f t="shared" si="5"/>
        <v>1879627.4788248106</v>
      </c>
      <c r="J242">
        <f t="shared" si="6"/>
        <v>517352.15494044143</v>
      </c>
      <c r="K242">
        <f t="shared" si="7"/>
        <v>511285.48824537726</v>
      </c>
      <c r="L242">
        <f t="shared" si="8"/>
        <v>327.47082127230982</v>
      </c>
      <c r="M242">
        <f t="shared" si="9"/>
        <v>250109.51468144916</v>
      </c>
      <c r="N242">
        <f t="shared" si="10"/>
        <v>1154.4464836141328</v>
      </c>
      <c r="O242">
        <f t="shared" si="11"/>
        <v>425076.72585616034</v>
      </c>
      <c r="P242">
        <f t="shared" si="12"/>
        <v>1.2262999999999999</v>
      </c>
      <c r="Q242">
        <f t="shared" si="13"/>
        <v>1.0907</v>
      </c>
      <c r="R242">
        <f t="shared" si="14"/>
        <v>2.3170000000000002</v>
      </c>
    </row>
    <row r="243" spans="2:18" x14ac:dyDescent="0.3">
      <c r="B243" s="8">
        <v>1.1679999999999999</v>
      </c>
      <c r="C243">
        <v>22</v>
      </c>
      <c r="D243" s="8">
        <f t="shared" si="1"/>
        <v>4.8334549970921917E-2</v>
      </c>
      <c r="E243" s="8">
        <f t="shared" si="0"/>
        <v>7.2053001422159452E-2</v>
      </c>
      <c r="F243" s="8">
        <f t="shared" si="2"/>
        <v>0.92082886555376675</v>
      </c>
      <c r="G243" s="8">
        <f t="shared" si="3"/>
        <v>1.87</v>
      </c>
      <c r="H243">
        <f t="shared" si="4"/>
        <v>13.1</v>
      </c>
      <c r="I243">
        <f t="shared" si="5"/>
        <v>1879627.4788248106</v>
      </c>
      <c r="J243">
        <f t="shared" si="6"/>
        <v>518382.23814580031</v>
      </c>
      <c r="K243">
        <f t="shared" si="7"/>
        <v>512315.57145073614</v>
      </c>
      <c r="L243">
        <f t="shared" si="8"/>
        <v>328.12283787263988</v>
      </c>
      <c r="M243">
        <f t="shared" si="9"/>
        <v>250685.91079978214</v>
      </c>
      <c r="N243">
        <f t="shared" si="10"/>
        <v>1156.7723386630166</v>
      </c>
      <c r="O243">
        <f t="shared" si="11"/>
        <v>425939.99670686235</v>
      </c>
      <c r="P243">
        <f t="shared" si="12"/>
        <v>1.2270000000000001</v>
      </c>
      <c r="Q243">
        <f t="shared" si="13"/>
        <v>1.0929</v>
      </c>
      <c r="R243">
        <f t="shared" si="14"/>
        <v>2.3199000000000001</v>
      </c>
    </row>
    <row r="244" spans="2:18" x14ac:dyDescent="0.3">
      <c r="B244" s="8">
        <v>1.171</v>
      </c>
      <c r="C244">
        <v>22</v>
      </c>
      <c r="D244" s="8">
        <f t="shared" si="1"/>
        <v>4.8362595072091473E-2</v>
      </c>
      <c r="E244" s="8">
        <f t="shared" si="0"/>
        <v>7.204973922822884E-2</v>
      </c>
      <c r="F244" s="8">
        <f t="shared" si="2"/>
        <v>0.92078717509983632</v>
      </c>
      <c r="G244" s="8">
        <f t="shared" si="3"/>
        <v>1.87</v>
      </c>
      <c r="H244">
        <f t="shared" si="4"/>
        <v>13.1</v>
      </c>
      <c r="I244">
        <f t="shared" si="5"/>
        <v>1879627.4788248106</v>
      </c>
      <c r="J244">
        <f t="shared" si="6"/>
        <v>519412.32135115919</v>
      </c>
      <c r="K244">
        <f t="shared" si="7"/>
        <v>513345.65465609502</v>
      </c>
      <c r="L244">
        <f t="shared" si="8"/>
        <v>328.77485447296993</v>
      </c>
      <c r="M244">
        <f t="shared" si="9"/>
        <v>251262.30691811518</v>
      </c>
      <c r="N244">
        <f t="shared" si="10"/>
        <v>1159.0981937119002</v>
      </c>
      <c r="O244">
        <f t="shared" si="11"/>
        <v>426803.26755756425</v>
      </c>
      <c r="P244">
        <f t="shared" si="12"/>
        <v>1.2277</v>
      </c>
      <c r="Q244">
        <f t="shared" si="13"/>
        <v>1.0951</v>
      </c>
      <c r="R244">
        <f t="shared" si="14"/>
        <v>2.3228</v>
      </c>
    </row>
    <row r="245" spans="2:18" x14ac:dyDescent="0.3">
      <c r="B245" s="8">
        <v>1.175</v>
      </c>
      <c r="C245">
        <v>22</v>
      </c>
      <c r="D245" s="8">
        <f t="shared" si="1"/>
        <v>4.8399815962197411E-2</v>
      </c>
      <c r="E245" s="8">
        <f t="shared" si="0"/>
        <v>7.2045409795574708E-2</v>
      </c>
      <c r="F245" s="8">
        <f t="shared" si="2"/>
        <v>0.92073184546081088</v>
      </c>
      <c r="G245" s="8">
        <f t="shared" si="3"/>
        <v>1.87</v>
      </c>
      <c r="H245">
        <f t="shared" si="4"/>
        <v>13.1</v>
      </c>
      <c r="I245">
        <f t="shared" si="5"/>
        <v>1879627.4788248106</v>
      </c>
      <c r="J245">
        <f t="shared" si="6"/>
        <v>520785.76562497107</v>
      </c>
      <c r="K245">
        <f t="shared" si="7"/>
        <v>514719.0989299069</v>
      </c>
      <c r="L245">
        <f t="shared" si="8"/>
        <v>329.64420994007668</v>
      </c>
      <c r="M245">
        <f t="shared" si="9"/>
        <v>252030.83507589251</v>
      </c>
      <c r="N245">
        <f t="shared" si="10"/>
        <v>1162.1993337770789</v>
      </c>
      <c r="O245">
        <f t="shared" si="11"/>
        <v>427954.29535850033</v>
      </c>
      <c r="P245">
        <f t="shared" si="12"/>
        <v>1.2285999999999999</v>
      </c>
      <c r="Q245">
        <f t="shared" si="13"/>
        <v>1.0981000000000001</v>
      </c>
      <c r="R245">
        <f t="shared" si="14"/>
        <v>2.3266999999999998</v>
      </c>
    </row>
    <row r="246" spans="2:18" x14ac:dyDescent="0.3">
      <c r="B246" s="8">
        <v>1.1779999999999999</v>
      </c>
      <c r="C246">
        <v>22</v>
      </c>
      <c r="D246" s="8">
        <f t="shared" si="1"/>
        <v>4.8427603047875266E-2</v>
      </c>
      <c r="E246" s="8">
        <f t="shared" si="0"/>
        <v>7.2042177740318514E-2</v>
      </c>
      <c r="F246" s="8">
        <f t="shared" si="2"/>
        <v>0.92069054017558705</v>
      </c>
      <c r="G246" s="8">
        <f t="shared" si="3"/>
        <v>1.87</v>
      </c>
      <c r="H246">
        <f t="shared" si="4"/>
        <v>13.1</v>
      </c>
      <c r="I246">
        <f t="shared" si="5"/>
        <v>1879627.4788248106</v>
      </c>
      <c r="J246">
        <f t="shared" si="6"/>
        <v>521815.84883032995</v>
      </c>
      <c r="K246">
        <f t="shared" si="7"/>
        <v>515749.18213526579</v>
      </c>
      <c r="L246">
        <f t="shared" si="8"/>
        <v>330.29622654040668</v>
      </c>
      <c r="M246">
        <f t="shared" si="9"/>
        <v>252607.23119422549</v>
      </c>
      <c r="N246">
        <f t="shared" si="10"/>
        <v>1164.5251888259627</v>
      </c>
      <c r="O246">
        <f t="shared" si="11"/>
        <v>428817.56620920234</v>
      </c>
      <c r="P246">
        <f t="shared" si="12"/>
        <v>1.2293000000000001</v>
      </c>
      <c r="Q246">
        <f t="shared" si="13"/>
        <v>1.1003000000000001</v>
      </c>
      <c r="R246">
        <f t="shared" si="14"/>
        <v>2.3296000000000001</v>
      </c>
    </row>
    <row r="247" spans="2:18" x14ac:dyDescent="0.3">
      <c r="B247" s="8">
        <v>1.181</v>
      </c>
      <c r="C247">
        <v>22</v>
      </c>
      <c r="D247" s="8">
        <f t="shared" si="1"/>
        <v>4.8455280644280938E-2</v>
      </c>
      <c r="E247" s="8">
        <f t="shared" si="0"/>
        <v>7.203895847354401E-2</v>
      </c>
      <c r="F247" s="8">
        <f t="shared" si="2"/>
        <v>0.92064939832565196</v>
      </c>
      <c r="G247" s="8">
        <f t="shared" si="3"/>
        <v>1.8800000000000001</v>
      </c>
      <c r="H247">
        <f t="shared" si="4"/>
        <v>13.1</v>
      </c>
      <c r="I247">
        <f t="shared" si="5"/>
        <v>1895914.2567864403</v>
      </c>
      <c r="J247">
        <f t="shared" si="6"/>
        <v>522845.93203568895</v>
      </c>
      <c r="K247">
        <f t="shared" si="7"/>
        <v>516779.26534062478</v>
      </c>
      <c r="L247">
        <f t="shared" si="8"/>
        <v>330.94824314073685</v>
      </c>
      <c r="M247">
        <f t="shared" si="9"/>
        <v>253183.62731255859</v>
      </c>
      <c r="N247">
        <f t="shared" si="10"/>
        <v>1166.8510438748467</v>
      </c>
      <c r="O247">
        <f t="shared" si="11"/>
        <v>429680.83705990441</v>
      </c>
      <c r="P247">
        <f t="shared" si="12"/>
        <v>1.2378</v>
      </c>
      <c r="Q247">
        <f t="shared" si="13"/>
        <v>1.1025</v>
      </c>
      <c r="R247">
        <f t="shared" si="14"/>
        <v>2.3403</v>
      </c>
    </row>
    <row r="248" spans="2:18" x14ac:dyDescent="0.3">
      <c r="B248" s="8">
        <v>1.1839999999999999</v>
      </c>
      <c r="C248">
        <v>22</v>
      </c>
      <c r="D248" s="8">
        <f t="shared" si="1"/>
        <v>4.8482849397271766E-2</v>
      </c>
      <c r="E248" s="8">
        <f t="shared" si="0"/>
        <v>7.2035751919279578E-2</v>
      </c>
      <c r="F248" s="8">
        <f t="shared" si="2"/>
        <v>0.92060841894009737</v>
      </c>
      <c r="G248" s="8">
        <f t="shared" si="3"/>
        <v>1.8800000000000001</v>
      </c>
      <c r="H248">
        <f t="shared" si="4"/>
        <v>13.1</v>
      </c>
      <c r="I248">
        <f t="shared" si="5"/>
        <v>1895914.2567864403</v>
      </c>
      <c r="J248">
        <f t="shared" si="6"/>
        <v>523876.01524104772</v>
      </c>
      <c r="K248">
        <f t="shared" si="7"/>
        <v>517809.34854598355</v>
      </c>
      <c r="L248">
        <f t="shared" si="8"/>
        <v>331.60025974106679</v>
      </c>
      <c r="M248">
        <f t="shared" si="9"/>
        <v>253760.02343089151</v>
      </c>
      <c r="N248">
        <f t="shared" si="10"/>
        <v>1169.1768989237303</v>
      </c>
      <c r="O248">
        <f t="shared" si="11"/>
        <v>430544.10791060631</v>
      </c>
      <c r="P248">
        <f t="shared" si="12"/>
        <v>1.2384999999999999</v>
      </c>
      <c r="Q248">
        <f t="shared" si="13"/>
        <v>1.1047</v>
      </c>
      <c r="R248">
        <f t="shared" si="14"/>
        <v>2.3431999999999999</v>
      </c>
    </row>
    <row r="249" spans="2:18" x14ac:dyDescent="0.3">
      <c r="B249" s="8">
        <v>1.1879999999999999</v>
      </c>
      <c r="C249">
        <v>22</v>
      </c>
      <c r="D249" s="8">
        <f t="shared" si="1"/>
        <v>4.8519439529424391E-2</v>
      </c>
      <c r="E249" s="8">
        <f t="shared" si="0"/>
        <v>7.2031496158429908E-2</v>
      </c>
      <c r="F249" s="8">
        <f t="shared" si="2"/>
        <v>0.92055403081804932</v>
      </c>
      <c r="G249" s="8">
        <f t="shared" si="3"/>
        <v>1.8800000000000001</v>
      </c>
      <c r="H249">
        <f t="shared" si="4"/>
        <v>13.1</v>
      </c>
      <c r="I249">
        <f t="shared" si="5"/>
        <v>1895914.2567864403</v>
      </c>
      <c r="J249">
        <f t="shared" si="6"/>
        <v>525249.4595148596</v>
      </c>
      <c r="K249">
        <f t="shared" si="7"/>
        <v>519182.79281979543</v>
      </c>
      <c r="L249">
        <f t="shared" si="8"/>
        <v>332.46961520817354</v>
      </c>
      <c r="M249">
        <f t="shared" si="9"/>
        <v>254528.5515886689</v>
      </c>
      <c r="N249">
        <f t="shared" si="10"/>
        <v>1172.2780389889087</v>
      </c>
      <c r="O249">
        <f t="shared" si="11"/>
        <v>431695.13571154233</v>
      </c>
      <c r="P249">
        <f t="shared" si="12"/>
        <v>1.2394000000000001</v>
      </c>
      <c r="Q249">
        <f t="shared" si="13"/>
        <v>1.1075999999999999</v>
      </c>
      <c r="R249">
        <f t="shared" si="14"/>
        <v>2.347</v>
      </c>
    </row>
    <row r="250" spans="2:18" x14ac:dyDescent="0.3">
      <c r="B250" s="8">
        <v>1.1910000000000001</v>
      </c>
      <c r="C250">
        <v>22</v>
      </c>
      <c r="D250" s="8">
        <f t="shared" si="1"/>
        <v>4.8546756797729441E-2</v>
      </c>
      <c r="E250" s="8">
        <f t="shared" si="0"/>
        <v>7.2028318974623917E-2</v>
      </c>
      <c r="F250" s="8">
        <f t="shared" si="2"/>
        <v>0.92051342678349179</v>
      </c>
      <c r="G250" s="8">
        <f t="shared" si="3"/>
        <v>1.8800000000000001</v>
      </c>
      <c r="H250">
        <f t="shared" si="4"/>
        <v>13.1</v>
      </c>
      <c r="I250">
        <f t="shared" si="5"/>
        <v>1895914.2567864403</v>
      </c>
      <c r="J250">
        <f t="shared" si="6"/>
        <v>526279.54272021854</v>
      </c>
      <c r="K250">
        <f t="shared" si="7"/>
        <v>520212.87602515437</v>
      </c>
      <c r="L250">
        <f t="shared" si="8"/>
        <v>333.12163180850359</v>
      </c>
      <c r="M250">
        <f t="shared" si="9"/>
        <v>255104.94770700188</v>
      </c>
      <c r="N250">
        <f t="shared" si="10"/>
        <v>1174.6038940377928</v>
      </c>
      <c r="O250">
        <f t="shared" si="11"/>
        <v>432558.4065622444</v>
      </c>
      <c r="P250">
        <f t="shared" si="12"/>
        <v>1.2401</v>
      </c>
      <c r="Q250">
        <f t="shared" si="13"/>
        <v>1.1097999999999999</v>
      </c>
      <c r="R250">
        <f t="shared" si="14"/>
        <v>2.3498999999999999</v>
      </c>
    </row>
    <row r="251" spans="2:18" x14ac:dyDescent="0.3">
      <c r="B251" s="8">
        <v>1.194</v>
      </c>
      <c r="C251">
        <v>22</v>
      </c>
      <c r="D251" s="8">
        <f t="shared" si="1"/>
        <v>4.8573967339140399E-2</v>
      </c>
      <c r="E251" s="8">
        <f t="shared" si="0"/>
        <v>7.2025154254416246E-2</v>
      </c>
      <c r="F251" s="8">
        <f t="shared" si="2"/>
        <v>0.92047298203225159</v>
      </c>
      <c r="G251" s="8">
        <f t="shared" si="3"/>
        <v>1.8800000000000001</v>
      </c>
      <c r="H251">
        <f t="shared" si="4"/>
        <v>13.1</v>
      </c>
      <c r="I251">
        <f t="shared" si="5"/>
        <v>1895914.2567864403</v>
      </c>
      <c r="J251">
        <f t="shared" si="6"/>
        <v>527309.62592557736</v>
      </c>
      <c r="K251">
        <f t="shared" si="7"/>
        <v>521242.9592305132</v>
      </c>
      <c r="L251">
        <f t="shared" si="8"/>
        <v>333.77364840883365</v>
      </c>
      <c r="M251">
        <f t="shared" si="9"/>
        <v>255681.34382533492</v>
      </c>
      <c r="N251">
        <f t="shared" si="10"/>
        <v>1176.9297490866763</v>
      </c>
      <c r="O251">
        <f t="shared" si="11"/>
        <v>433421.6774129463</v>
      </c>
      <c r="P251">
        <f t="shared" si="12"/>
        <v>1.2407999999999999</v>
      </c>
      <c r="Q251">
        <f t="shared" si="13"/>
        <v>1.1120000000000001</v>
      </c>
      <c r="R251">
        <f t="shared" si="14"/>
        <v>2.3528000000000002</v>
      </c>
    </row>
    <row r="252" spans="2:18" x14ac:dyDescent="0.3">
      <c r="B252" s="8">
        <v>1.198</v>
      </c>
      <c r="C252">
        <v>22</v>
      </c>
      <c r="D252" s="8">
        <f t="shared" si="1"/>
        <v>4.8610083119647693E-2</v>
      </c>
      <c r="E252" s="8">
        <f t="shared" si="0"/>
        <v>7.2020953888514719E-2</v>
      </c>
      <c r="F252" s="8">
        <f t="shared" si="2"/>
        <v>0.92041930185111165</v>
      </c>
      <c r="G252" s="8">
        <f t="shared" si="3"/>
        <v>1.8900000000000001</v>
      </c>
      <c r="H252">
        <f t="shared" si="4"/>
        <v>13.1</v>
      </c>
      <c r="I252">
        <f t="shared" si="5"/>
        <v>1912201.0347480706</v>
      </c>
      <c r="J252">
        <f t="shared" si="6"/>
        <v>528683.07019938924</v>
      </c>
      <c r="K252">
        <f t="shared" si="7"/>
        <v>522616.40350432508</v>
      </c>
      <c r="L252">
        <f t="shared" si="8"/>
        <v>334.64300387594034</v>
      </c>
      <c r="M252">
        <f t="shared" si="9"/>
        <v>256449.87198311219</v>
      </c>
      <c r="N252">
        <f t="shared" si="10"/>
        <v>1180.0308891518548</v>
      </c>
      <c r="O252">
        <f t="shared" si="11"/>
        <v>434572.70521388226</v>
      </c>
      <c r="P252">
        <f t="shared" si="12"/>
        <v>1.2495000000000001</v>
      </c>
      <c r="Q252">
        <f t="shared" si="13"/>
        <v>1.1149</v>
      </c>
      <c r="R252">
        <f t="shared" si="14"/>
        <v>2.3643999999999998</v>
      </c>
    </row>
    <row r="253" spans="2:18" x14ac:dyDescent="0.3">
      <c r="B253" s="8">
        <v>1.2010000000000001</v>
      </c>
      <c r="C253">
        <v>22</v>
      </c>
      <c r="D253" s="8">
        <f t="shared" si="1"/>
        <v>4.8637047050862491E-2</v>
      </c>
      <c r="E253" s="8">
        <f t="shared" si="0"/>
        <v>7.2017817965597641E-2</v>
      </c>
      <c r="F253" s="8">
        <f t="shared" si="2"/>
        <v>0.92037922512585113</v>
      </c>
      <c r="G253" s="8">
        <f t="shared" si="3"/>
        <v>1.8900000000000001</v>
      </c>
      <c r="H253">
        <f t="shared" si="4"/>
        <v>13.1</v>
      </c>
      <c r="I253">
        <f t="shared" si="5"/>
        <v>1912201.0347480706</v>
      </c>
      <c r="J253">
        <f t="shared" si="6"/>
        <v>529713.1534047483</v>
      </c>
      <c r="K253">
        <f t="shared" si="7"/>
        <v>523646.48670968413</v>
      </c>
      <c r="L253">
        <f t="shared" si="8"/>
        <v>335.29502047627051</v>
      </c>
      <c r="M253">
        <f t="shared" si="9"/>
        <v>257026.26810144534</v>
      </c>
      <c r="N253">
        <f t="shared" si="10"/>
        <v>1182.3567442007391</v>
      </c>
      <c r="O253">
        <f t="shared" si="11"/>
        <v>435435.97606458445</v>
      </c>
      <c r="P253">
        <f t="shared" si="12"/>
        <v>1.2502</v>
      </c>
      <c r="Q253">
        <f t="shared" si="13"/>
        <v>1.1171</v>
      </c>
      <c r="R253">
        <f t="shared" si="14"/>
        <v>2.3673000000000002</v>
      </c>
    </row>
    <row r="254" spans="2:18" x14ac:dyDescent="0.3">
      <c r="B254" s="8">
        <v>1.204</v>
      </c>
      <c r="C254">
        <v>22</v>
      </c>
      <c r="D254" s="8">
        <f t="shared" si="1"/>
        <v>4.8663906317181808E-2</v>
      </c>
      <c r="E254" s="8">
        <f t="shared" si="0"/>
        <v>7.2014694263857024E-2</v>
      </c>
      <c r="F254" s="8">
        <f t="shared" si="2"/>
        <v>0.92033930458578528</v>
      </c>
      <c r="G254" s="8">
        <f t="shared" si="3"/>
        <v>1.8900000000000001</v>
      </c>
      <c r="H254">
        <f t="shared" si="4"/>
        <v>13.1</v>
      </c>
      <c r="I254">
        <f t="shared" si="5"/>
        <v>1912201.0347480706</v>
      </c>
      <c r="J254">
        <f t="shared" si="6"/>
        <v>530743.23661010712</v>
      </c>
      <c r="K254">
        <f t="shared" si="7"/>
        <v>524676.56991504296</v>
      </c>
      <c r="L254">
        <f t="shared" si="8"/>
        <v>335.94703707660051</v>
      </c>
      <c r="M254">
        <f t="shared" si="9"/>
        <v>257602.66421977826</v>
      </c>
      <c r="N254">
        <f t="shared" si="10"/>
        <v>1184.6825992496229</v>
      </c>
      <c r="O254">
        <f t="shared" si="11"/>
        <v>436299.24691528641</v>
      </c>
      <c r="P254">
        <f t="shared" si="12"/>
        <v>1.2508999999999999</v>
      </c>
      <c r="Q254">
        <f t="shared" si="13"/>
        <v>1.1193</v>
      </c>
      <c r="R254">
        <f t="shared" si="14"/>
        <v>2.3701999999999996</v>
      </c>
    </row>
    <row r="255" spans="2:18" x14ac:dyDescent="0.3">
      <c r="B255" s="8">
        <v>1.2070000000000001</v>
      </c>
      <c r="C255">
        <v>22</v>
      </c>
      <c r="D255" s="8">
        <f t="shared" si="1"/>
        <v>4.8690661526835953E-2</v>
      </c>
      <c r="E255" s="8">
        <f t="shared" si="0"/>
        <v>7.2011582711799846E-2</v>
      </c>
      <c r="F255" s="8">
        <f t="shared" si="2"/>
        <v>0.92029953931724162</v>
      </c>
      <c r="G255" s="8">
        <f t="shared" si="3"/>
        <v>1.8900000000000001</v>
      </c>
      <c r="H255">
        <f t="shared" si="4"/>
        <v>13.1</v>
      </c>
      <c r="I255">
        <f t="shared" si="5"/>
        <v>1912201.0347480706</v>
      </c>
      <c r="J255">
        <f t="shared" si="6"/>
        <v>531773.31981546606</v>
      </c>
      <c r="K255">
        <f t="shared" si="7"/>
        <v>525706.6531204019</v>
      </c>
      <c r="L255">
        <f t="shared" si="8"/>
        <v>336.59905367693057</v>
      </c>
      <c r="M255">
        <f t="shared" si="9"/>
        <v>258179.0603381113</v>
      </c>
      <c r="N255">
        <f t="shared" si="10"/>
        <v>1187.0084542985069</v>
      </c>
      <c r="O255">
        <f t="shared" si="11"/>
        <v>437162.51776598848</v>
      </c>
      <c r="P255">
        <f t="shared" si="12"/>
        <v>1.2516</v>
      </c>
      <c r="Q255">
        <f t="shared" si="13"/>
        <v>1.1214999999999999</v>
      </c>
      <c r="R255">
        <f t="shared" si="14"/>
        <v>2.3731</v>
      </c>
    </row>
    <row r="256" spans="2:18" x14ac:dyDescent="0.3">
      <c r="B256" s="8">
        <v>1.2110000000000001</v>
      </c>
      <c r="C256">
        <v>22</v>
      </c>
      <c r="D256" s="8">
        <f t="shared" si="1"/>
        <v>4.8726174316245277E-2</v>
      </c>
      <c r="E256" s="8">
        <f t="shared" si="0"/>
        <v>7.2007452752709658E-2</v>
      </c>
      <c r="F256" s="8">
        <f t="shared" si="2"/>
        <v>0.92024675892685215</v>
      </c>
      <c r="G256" s="8">
        <f t="shared" si="3"/>
        <v>1.8900000000000001</v>
      </c>
      <c r="H256">
        <f t="shared" si="4"/>
        <v>13.1</v>
      </c>
      <c r="I256">
        <f t="shared" si="5"/>
        <v>1912201.0347480706</v>
      </c>
      <c r="J256">
        <f t="shared" si="6"/>
        <v>533146.76408927795</v>
      </c>
      <c r="K256">
        <f t="shared" si="7"/>
        <v>527080.09739421378</v>
      </c>
      <c r="L256">
        <f t="shared" si="8"/>
        <v>337.46840914403731</v>
      </c>
      <c r="M256">
        <f t="shared" si="9"/>
        <v>258947.58849588863</v>
      </c>
      <c r="N256">
        <f t="shared" si="10"/>
        <v>1190.1095943636853</v>
      </c>
      <c r="O256">
        <f t="shared" si="11"/>
        <v>438313.5455669245</v>
      </c>
      <c r="P256">
        <f t="shared" si="12"/>
        <v>1.2524999999999999</v>
      </c>
      <c r="Q256">
        <f t="shared" si="13"/>
        <v>1.1244000000000001</v>
      </c>
      <c r="R256">
        <f t="shared" si="14"/>
        <v>2.3769</v>
      </c>
    </row>
    <row r="257" spans="2:18" x14ac:dyDescent="0.3">
      <c r="B257" s="8">
        <v>1.214</v>
      </c>
      <c r="C257">
        <v>22</v>
      </c>
      <c r="D257" s="8">
        <f t="shared" si="1"/>
        <v>4.8752689066017402E-2</v>
      </c>
      <c r="E257" s="8">
        <f t="shared" si="0"/>
        <v>7.2004369275017355E-2</v>
      </c>
      <c r="F257" s="8">
        <f t="shared" si="2"/>
        <v>0.92020735244538265</v>
      </c>
      <c r="G257" s="8">
        <f t="shared" si="3"/>
        <v>1.9000000000000001</v>
      </c>
      <c r="H257">
        <f t="shared" si="4"/>
        <v>13.1</v>
      </c>
      <c r="I257">
        <f t="shared" si="5"/>
        <v>1928487.8127097005</v>
      </c>
      <c r="J257">
        <f t="shared" si="6"/>
        <v>534176.84729463665</v>
      </c>
      <c r="K257">
        <f t="shared" si="7"/>
        <v>528110.18059957249</v>
      </c>
      <c r="L257">
        <f t="shared" si="8"/>
        <v>338.12042574436725</v>
      </c>
      <c r="M257">
        <f t="shared" si="9"/>
        <v>259523.98461422155</v>
      </c>
      <c r="N257">
        <f t="shared" si="10"/>
        <v>1192.4354494125687</v>
      </c>
      <c r="O257">
        <f t="shared" si="11"/>
        <v>439176.81641762634</v>
      </c>
      <c r="P257">
        <f t="shared" si="12"/>
        <v>1.2611000000000001</v>
      </c>
      <c r="Q257">
        <f t="shared" si="13"/>
        <v>1.1266</v>
      </c>
      <c r="R257">
        <f t="shared" si="14"/>
        <v>2.3877000000000002</v>
      </c>
    </row>
    <row r="258" spans="2:18" x14ac:dyDescent="0.3">
      <c r="B258" s="8">
        <v>1.2170000000000001</v>
      </c>
      <c r="C258">
        <v>22</v>
      </c>
      <c r="D258" s="8">
        <f t="shared" si="1"/>
        <v>4.8779101752841982E-2</v>
      </c>
      <c r="E258" s="8">
        <f t="shared" si="0"/>
        <v>7.2001297712707579E-2</v>
      </c>
      <c r="F258" s="8">
        <f t="shared" si="2"/>
        <v>0.92016809824109747</v>
      </c>
      <c r="G258" s="8">
        <f t="shared" si="3"/>
        <v>1.9000000000000001</v>
      </c>
      <c r="H258">
        <f t="shared" si="4"/>
        <v>13.1</v>
      </c>
      <c r="I258">
        <f t="shared" si="5"/>
        <v>1928487.8127097005</v>
      </c>
      <c r="J258">
        <f t="shared" si="6"/>
        <v>535206.93049999571</v>
      </c>
      <c r="K258">
        <f t="shared" si="7"/>
        <v>529140.26380493154</v>
      </c>
      <c r="L258">
        <f t="shared" si="8"/>
        <v>338.77244234469737</v>
      </c>
      <c r="M258">
        <f t="shared" si="9"/>
        <v>260100.38073255465</v>
      </c>
      <c r="N258">
        <f t="shared" si="10"/>
        <v>1194.7613044614529</v>
      </c>
      <c r="O258">
        <f t="shared" si="11"/>
        <v>440040.08726832847</v>
      </c>
      <c r="P258">
        <f t="shared" si="12"/>
        <v>1.2617</v>
      </c>
      <c r="Q258">
        <f t="shared" si="13"/>
        <v>1.1288</v>
      </c>
      <c r="R258">
        <f t="shared" si="14"/>
        <v>2.3905000000000003</v>
      </c>
    </row>
    <row r="259" spans="2:18" x14ac:dyDescent="0.3">
      <c r="B259" s="8">
        <v>1.22</v>
      </c>
      <c r="C259">
        <v>22</v>
      </c>
      <c r="D259" s="8">
        <f t="shared" si="1"/>
        <v>4.8805412964891742E-2</v>
      </c>
      <c r="E259" s="8">
        <f t="shared" si="0"/>
        <v>7.1998237996671988E-2</v>
      </c>
      <c r="F259" s="8">
        <f t="shared" si="2"/>
        <v>0.92012899543079996</v>
      </c>
      <c r="G259" s="8">
        <f t="shared" si="3"/>
        <v>1.9000000000000001</v>
      </c>
      <c r="H259">
        <f t="shared" si="4"/>
        <v>13.1</v>
      </c>
      <c r="I259">
        <f t="shared" si="5"/>
        <v>1928487.8127097005</v>
      </c>
      <c r="J259">
        <f t="shared" si="6"/>
        <v>536237.01370535465</v>
      </c>
      <c r="K259">
        <f t="shared" si="7"/>
        <v>530170.34701029048</v>
      </c>
      <c r="L259">
        <f t="shared" si="8"/>
        <v>339.42445894502748</v>
      </c>
      <c r="M259">
        <f t="shared" si="9"/>
        <v>260676.77685088769</v>
      </c>
      <c r="N259">
        <f t="shared" si="10"/>
        <v>1197.0871595103367</v>
      </c>
      <c r="O259">
        <f t="shared" si="11"/>
        <v>440903.35811903048</v>
      </c>
      <c r="P259">
        <f t="shared" si="12"/>
        <v>1.2624</v>
      </c>
      <c r="Q259">
        <f t="shared" si="13"/>
        <v>1.131</v>
      </c>
      <c r="R259">
        <f t="shared" si="14"/>
        <v>2.3933999999999997</v>
      </c>
    </row>
    <row r="260" spans="2:18" x14ac:dyDescent="0.3">
      <c r="B260" s="8">
        <v>1.224</v>
      </c>
      <c r="C260">
        <v>19</v>
      </c>
      <c r="D260" s="8">
        <f t="shared" si="1"/>
        <v>4.8840337739462607E-2</v>
      </c>
      <c r="E260" s="8">
        <f t="shared" si="0"/>
        <v>7.1994176684385014E-2</v>
      </c>
      <c r="F260" s="8">
        <f t="shared" si="2"/>
        <v>0.92007709233846435</v>
      </c>
      <c r="G260" s="8">
        <f t="shared" si="3"/>
        <v>1.9000000000000001</v>
      </c>
      <c r="H260">
        <f t="shared" si="4"/>
        <v>11.8</v>
      </c>
      <c r="I260">
        <f t="shared" si="5"/>
        <v>1673478.355513318</v>
      </c>
      <c r="J260">
        <f t="shared" si="6"/>
        <v>537610.45797916653</v>
      </c>
      <c r="K260">
        <f t="shared" si="7"/>
        <v>531543.79128410236</v>
      </c>
      <c r="L260">
        <f t="shared" si="8"/>
        <v>340.29381441213422</v>
      </c>
      <c r="M260">
        <f t="shared" si="9"/>
        <v>261445.30500866508</v>
      </c>
      <c r="N260">
        <f t="shared" si="10"/>
        <v>1200.1882995755152</v>
      </c>
      <c r="O260">
        <f t="shared" si="11"/>
        <v>442054.3859199665</v>
      </c>
      <c r="P260">
        <f t="shared" si="12"/>
        <v>1.1409</v>
      </c>
      <c r="Q260">
        <f t="shared" si="13"/>
        <v>1.1339999999999999</v>
      </c>
      <c r="R260">
        <f t="shared" si="14"/>
        <v>2.2748999999999997</v>
      </c>
    </row>
    <row r="261" spans="2:18" x14ac:dyDescent="0.3">
      <c r="B261" s="8">
        <v>1.2270000000000001</v>
      </c>
      <c r="C261">
        <v>19</v>
      </c>
      <c r="D261" s="8">
        <f t="shared" si="1"/>
        <v>4.886641443911887E-2</v>
      </c>
      <c r="E261" s="8">
        <f t="shared" si="0"/>
        <v>7.1991144343901775E-2</v>
      </c>
      <c r="F261" s="8">
        <f t="shared" si="2"/>
        <v>0.9200383393844993</v>
      </c>
      <c r="G261" s="8">
        <f t="shared" si="3"/>
        <v>1.9000000000000001</v>
      </c>
      <c r="H261">
        <f t="shared" si="4"/>
        <v>11.8</v>
      </c>
      <c r="I261">
        <f t="shared" si="5"/>
        <v>1673478.355513318</v>
      </c>
      <c r="J261">
        <f t="shared" si="6"/>
        <v>538640.54118452535</v>
      </c>
      <c r="K261">
        <f t="shared" si="7"/>
        <v>532573.87448946119</v>
      </c>
      <c r="L261">
        <f t="shared" si="8"/>
        <v>340.94583101246423</v>
      </c>
      <c r="M261">
        <f t="shared" si="9"/>
        <v>262021.701126998</v>
      </c>
      <c r="N261">
        <f t="shared" si="10"/>
        <v>1202.514154624399</v>
      </c>
      <c r="O261">
        <f t="shared" si="11"/>
        <v>442917.65677066846</v>
      </c>
      <c r="P261">
        <f t="shared" si="12"/>
        <v>1.1415999999999999</v>
      </c>
      <c r="Q261">
        <f t="shared" si="13"/>
        <v>1.1362000000000001</v>
      </c>
      <c r="R261">
        <f t="shared" si="14"/>
        <v>2.2778</v>
      </c>
    </row>
    <row r="262" spans="2:18" x14ac:dyDescent="0.3">
      <c r="B262" s="8">
        <v>1.23</v>
      </c>
      <c r="C262">
        <v>19</v>
      </c>
      <c r="D262" s="8">
        <f t="shared" si="1"/>
        <v>4.8892391592240063E-2</v>
      </c>
      <c r="E262" s="8">
        <f t="shared" si="0"/>
        <v>7.1988123623172987E-2</v>
      </c>
      <c r="F262" s="8">
        <f t="shared" si="2"/>
        <v>0.91999973492962661</v>
      </c>
      <c r="G262" s="8">
        <f t="shared" si="3"/>
        <v>1.9000000000000001</v>
      </c>
      <c r="H262">
        <f t="shared" si="4"/>
        <v>11.8</v>
      </c>
      <c r="I262">
        <f t="shared" si="5"/>
        <v>1673478.355513318</v>
      </c>
      <c r="J262">
        <f t="shared" si="6"/>
        <v>539670.62438988418</v>
      </c>
      <c r="K262">
        <f t="shared" si="7"/>
        <v>533603.95769482001</v>
      </c>
      <c r="L262">
        <f t="shared" si="8"/>
        <v>341.59784761279423</v>
      </c>
      <c r="M262">
        <f t="shared" si="9"/>
        <v>262598.09724533098</v>
      </c>
      <c r="N262">
        <f t="shared" si="10"/>
        <v>1204.8400096732826</v>
      </c>
      <c r="O262">
        <f t="shared" si="11"/>
        <v>443780.92762137036</v>
      </c>
      <c r="P262">
        <f t="shared" si="12"/>
        <v>1.1423000000000001</v>
      </c>
      <c r="Q262">
        <f t="shared" si="13"/>
        <v>1.1384000000000001</v>
      </c>
      <c r="R262">
        <f t="shared" si="14"/>
        <v>2.2807000000000004</v>
      </c>
    </row>
    <row r="263" spans="2:18" x14ac:dyDescent="0.3">
      <c r="B263" s="8">
        <v>1.234</v>
      </c>
      <c r="C263">
        <v>19</v>
      </c>
      <c r="D263" s="8">
        <f t="shared" si="1"/>
        <v>4.8926873928956664E-2</v>
      </c>
      <c r="E263" s="8">
        <f t="shared" si="0"/>
        <v>7.1984113955285325E-2</v>
      </c>
      <c r="F263" s="8">
        <f t="shared" si="2"/>
        <v>0.91994849184662708</v>
      </c>
      <c r="G263" s="8">
        <f t="shared" si="3"/>
        <v>1.9100000000000001</v>
      </c>
      <c r="H263">
        <f t="shared" si="4"/>
        <v>11.8</v>
      </c>
      <c r="I263">
        <f t="shared" si="5"/>
        <v>1687586.1363318092</v>
      </c>
      <c r="J263">
        <f t="shared" si="6"/>
        <v>541044.06866369606</v>
      </c>
      <c r="K263">
        <f t="shared" si="7"/>
        <v>534977.40196863189</v>
      </c>
      <c r="L263">
        <f t="shared" si="8"/>
        <v>342.46720307990097</v>
      </c>
      <c r="M263">
        <f t="shared" si="9"/>
        <v>263366.62540310831</v>
      </c>
      <c r="N263">
        <f t="shared" si="10"/>
        <v>1207.941149738461</v>
      </c>
      <c r="O263">
        <f t="shared" si="11"/>
        <v>444931.95542230638</v>
      </c>
      <c r="P263">
        <f t="shared" si="12"/>
        <v>1.1499999999999999</v>
      </c>
      <c r="Q263">
        <f t="shared" si="13"/>
        <v>1.1413</v>
      </c>
      <c r="R263">
        <f t="shared" si="14"/>
        <v>2.2912999999999997</v>
      </c>
    </row>
    <row r="264" spans="2:18" x14ac:dyDescent="0.3">
      <c r="B264" s="8">
        <v>1.2370000000000001</v>
      </c>
      <c r="C264">
        <v>19</v>
      </c>
      <c r="D264" s="8">
        <f t="shared" si="1"/>
        <v>4.8952621011881706E-2</v>
      </c>
      <c r="E264" s="8">
        <f t="shared" si="0"/>
        <v>7.1981120088336181E-2</v>
      </c>
      <c r="F264" s="8">
        <f t="shared" si="2"/>
        <v>0.91991023057989307</v>
      </c>
      <c r="G264" s="8">
        <f t="shared" si="3"/>
        <v>1.9100000000000001</v>
      </c>
      <c r="H264">
        <f t="shared" si="4"/>
        <v>11.8</v>
      </c>
      <c r="I264">
        <f t="shared" si="5"/>
        <v>1687586.1363318092</v>
      </c>
      <c r="J264">
        <f t="shared" si="6"/>
        <v>542074.151869055</v>
      </c>
      <c r="K264">
        <f t="shared" si="7"/>
        <v>536007.48517399083</v>
      </c>
      <c r="L264">
        <f t="shared" si="8"/>
        <v>343.11921968023103</v>
      </c>
      <c r="M264">
        <f t="shared" si="9"/>
        <v>263943.02152144135</v>
      </c>
      <c r="N264">
        <f t="shared" si="10"/>
        <v>1210.2670047873451</v>
      </c>
      <c r="O264">
        <f t="shared" si="11"/>
        <v>445795.22627300845</v>
      </c>
      <c r="P264">
        <f t="shared" si="12"/>
        <v>1.1507000000000001</v>
      </c>
      <c r="Q264">
        <f t="shared" si="13"/>
        <v>1.1435</v>
      </c>
      <c r="R264">
        <f t="shared" si="14"/>
        <v>2.2942</v>
      </c>
    </row>
    <row r="265" spans="2:18" x14ac:dyDescent="0.3">
      <c r="B265" s="8">
        <v>1.24</v>
      </c>
      <c r="C265">
        <v>19</v>
      </c>
      <c r="D265" s="8">
        <f t="shared" si="1"/>
        <v>4.8978270427964946E-2</v>
      </c>
      <c r="E265" s="8">
        <f t="shared" si="0"/>
        <v>7.1978137620386809E-2</v>
      </c>
      <c r="F265" s="8">
        <f t="shared" si="2"/>
        <v>0.91987211499103261</v>
      </c>
      <c r="G265" s="8">
        <f t="shared" si="3"/>
        <v>1.9100000000000001</v>
      </c>
      <c r="H265">
        <f t="shared" si="4"/>
        <v>11.8</v>
      </c>
      <c r="I265">
        <f t="shared" si="5"/>
        <v>1687586.1363318092</v>
      </c>
      <c r="J265">
        <f t="shared" si="6"/>
        <v>543104.23507441394</v>
      </c>
      <c r="K265">
        <f t="shared" si="7"/>
        <v>537037.56837934977</v>
      </c>
      <c r="L265">
        <f t="shared" si="8"/>
        <v>343.77123628056114</v>
      </c>
      <c r="M265">
        <f t="shared" si="9"/>
        <v>264519.41763977444</v>
      </c>
      <c r="N265">
        <f t="shared" si="10"/>
        <v>1212.5928598362291</v>
      </c>
      <c r="O265">
        <f t="shared" si="11"/>
        <v>446658.49712371052</v>
      </c>
      <c r="P265">
        <f t="shared" si="12"/>
        <v>1.1514</v>
      </c>
      <c r="Q265">
        <f t="shared" si="13"/>
        <v>1.1456999999999999</v>
      </c>
      <c r="R265">
        <f t="shared" si="14"/>
        <v>2.2970999999999999</v>
      </c>
    </row>
    <row r="266" spans="2:18" x14ac:dyDescent="0.3">
      <c r="B266" s="8">
        <v>1.2430000000000001</v>
      </c>
      <c r="C266">
        <v>19</v>
      </c>
      <c r="D266" s="8">
        <f t="shared" si="1"/>
        <v>4.9003822731876256E-2</v>
      </c>
      <c r="E266" s="8">
        <f t="shared" si="0"/>
        <v>7.1975166486307404E-2</v>
      </c>
      <c r="F266" s="8">
        <f t="shared" si="2"/>
        <v>0.91983414424769439</v>
      </c>
      <c r="G266" s="8">
        <f t="shared" si="3"/>
        <v>1.9100000000000001</v>
      </c>
      <c r="H266">
        <f t="shared" si="4"/>
        <v>11.8</v>
      </c>
      <c r="I266">
        <f t="shared" si="5"/>
        <v>1687586.1363318092</v>
      </c>
      <c r="J266">
        <f t="shared" si="6"/>
        <v>544134.31827977276</v>
      </c>
      <c r="K266">
        <f t="shared" si="7"/>
        <v>538067.6515847086</v>
      </c>
      <c r="L266">
        <f t="shared" si="8"/>
        <v>344.42325288089114</v>
      </c>
      <c r="M266">
        <f t="shared" si="9"/>
        <v>265095.81375810737</v>
      </c>
      <c r="N266">
        <f t="shared" si="10"/>
        <v>1214.9187148851129</v>
      </c>
      <c r="O266">
        <f t="shared" si="11"/>
        <v>447521.76797441248</v>
      </c>
      <c r="P266">
        <f t="shared" si="12"/>
        <v>1.1520999999999999</v>
      </c>
      <c r="Q266">
        <f t="shared" si="13"/>
        <v>1.1478999999999999</v>
      </c>
      <c r="R266">
        <f t="shared" si="14"/>
        <v>2.2999999999999998</v>
      </c>
    </row>
    <row r="267" spans="2:18" x14ac:dyDescent="0.3">
      <c r="B267" s="8">
        <v>1.2470000000000001</v>
      </c>
      <c r="C267">
        <v>19</v>
      </c>
      <c r="D267" s="8">
        <f t="shared" si="1"/>
        <v>4.9037742357890213E-2</v>
      </c>
      <c r="E267" s="8">
        <f t="shared" si="0"/>
        <v>7.1971222493026579E-2</v>
      </c>
      <c r="F267" s="8">
        <f t="shared" si="2"/>
        <v>0.91978374047842937</v>
      </c>
      <c r="G267" s="8">
        <f t="shared" si="3"/>
        <v>1.9100000000000001</v>
      </c>
      <c r="H267">
        <f t="shared" si="4"/>
        <v>11.8</v>
      </c>
      <c r="I267">
        <f t="shared" si="5"/>
        <v>1687586.1363318092</v>
      </c>
      <c r="J267">
        <f t="shared" si="6"/>
        <v>545507.76255358465</v>
      </c>
      <c r="K267">
        <f t="shared" si="7"/>
        <v>539441.09585852048</v>
      </c>
      <c r="L267">
        <f t="shared" si="8"/>
        <v>345.29260834799788</v>
      </c>
      <c r="M267">
        <f t="shared" si="9"/>
        <v>265864.34191588475</v>
      </c>
      <c r="N267">
        <f t="shared" si="10"/>
        <v>1218.0198549502913</v>
      </c>
      <c r="O267">
        <f t="shared" si="11"/>
        <v>448672.7957753485</v>
      </c>
      <c r="P267">
        <f t="shared" si="12"/>
        <v>1.153</v>
      </c>
      <c r="Q267">
        <f t="shared" si="13"/>
        <v>1.1508</v>
      </c>
      <c r="R267">
        <f t="shared" si="14"/>
        <v>2.3037999999999998</v>
      </c>
    </row>
    <row r="268" spans="2:18" x14ac:dyDescent="0.3">
      <c r="B268" s="8">
        <v>1.25</v>
      </c>
      <c r="C268">
        <v>19</v>
      </c>
      <c r="D268" s="8">
        <f t="shared" si="1"/>
        <v>4.9063070200308562E-2</v>
      </c>
      <c r="E268" s="8">
        <f t="shared" si="0"/>
        <v>7.1968277554146337E-2</v>
      </c>
      <c r="F268" s="8">
        <f t="shared" si="2"/>
        <v>0.91974610450664895</v>
      </c>
      <c r="G268" s="8">
        <f t="shared" si="3"/>
        <v>1.92</v>
      </c>
      <c r="H268">
        <f t="shared" si="4"/>
        <v>11.8</v>
      </c>
      <c r="I268">
        <f t="shared" si="5"/>
        <v>1701693.9171503</v>
      </c>
      <c r="J268">
        <f t="shared" si="6"/>
        <v>546537.84575894359</v>
      </c>
      <c r="K268">
        <f t="shared" si="7"/>
        <v>540471.17906387942</v>
      </c>
      <c r="L268">
        <f t="shared" si="8"/>
        <v>345.94462494832794</v>
      </c>
      <c r="M268">
        <f t="shared" si="9"/>
        <v>266440.73803421773</v>
      </c>
      <c r="N268">
        <f t="shared" si="10"/>
        <v>1220.3457099991751</v>
      </c>
      <c r="O268">
        <f t="shared" si="11"/>
        <v>449536.06662605051</v>
      </c>
      <c r="P268">
        <f t="shared" si="12"/>
        <v>1.1605000000000001</v>
      </c>
      <c r="Q268">
        <f t="shared" si="13"/>
        <v>1.153</v>
      </c>
      <c r="R268">
        <f t="shared" si="14"/>
        <v>2.3135000000000003</v>
      </c>
    </row>
    <row r="269" spans="2:18" x14ac:dyDescent="0.3">
      <c r="B269" s="8">
        <v>1.2529999999999999</v>
      </c>
      <c r="C269">
        <v>19</v>
      </c>
      <c r="D269" s="8">
        <f t="shared" si="1"/>
        <v>4.9088302749399015E-2</v>
      </c>
      <c r="E269" s="8">
        <f t="shared" si="0"/>
        <v>7.1965343735602511E-2</v>
      </c>
      <c r="F269" s="8">
        <f t="shared" si="2"/>
        <v>0.91970861065145726</v>
      </c>
      <c r="G269" s="8">
        <f t="shared" si="3"/>
        <v>1.92</v>
      </c>
      <c r="H269">
        <f t="shared" si="4"/>
        <v>11.8</v>
      </c>
      <c r="I269">
        <f t="shared" si="5"/>
        <v>1701693.9171503</v>
      </c>
      <c r="J269">
        <f t="shared" si="6"/>
        <v>547567.92896430229</v>
      </c>
      <c r="K269">
        <f t="shared" si="7"/>
        <v>541501.26226923813</v>
      </c>
      <c r="L269">
        <f t="shared" si="8"/>
        <v>346.59664154865783</v>
      </c>
      <c r="M269">
        <f t="shared" si="9"/>
        <v>267017.1341525506</v>
      </c>
      <c r="N269">
        <f t="shared" si="10"/>
        <v>1222.6715650480587</v>
      </c>
      <c r="O269">
        <f t="shared" si="11"/>
        <v>450399.33747675241</v>
      </c>
      <c r="P269">
        <f t="shared" si="12"/>
        <v>1.1612</v>
      </c>
      <c r="Q269">
        <f t="shared" si="13"/>
        <v>1.1552</v>
      </c>
      <c r="R269">
        <f t="shared" si="14"/>
        <v>2.3163999999999998</v>
      </c>
    </row>
    <row r="270" spans="2:18" x14ac:dyDescent="0.3">
      <c r="B270" s="8">
        <v>1.2569999999999999</v>
      </c>
      <c r="C270">
        <v>19</v>
      </c>
      <c r="D270" s="8">
        <f t="shared" si="1"/>
        <v>4.9121798841319994E-2</v>
      </c>
      <c r="E270" s="8">
        <f t="shared" si="0"/>
        <v>7.196144916701043E-2</v>
      </c>
      <c r="F270" s="8">
        <f t="shared" si="2"/>
        <v>0.91965883852388886</v>
      </c>
      <c r="G270" s="8">
        <f t="shared" si="3"/>
        <v>1.92</v>
      </c>
      <c r="H270">
        <f t="shared" si="4"/>
        <v>11.8</v>
      </c>
      <c r="I270">
        <f t="shared" si="5"/>
        <v>1701693.9171503</v>
      </c>
      <c r="J270">
        <f t="shared" si="6"/>
        <v>548941.37323811417</v>
      </c>
      <c r="K270">
        <f t="shared" si="7"/>
        <v>542874.70654305001</v>
      </c>
      <c r="L270">
        <f t="shared" si="8"/>
        <v>347.46599701576463</v>
      </c>
      <c r="M270">
        <f t="shared" si="9"/>
        <v>267785.66231032804</v>
      </c>
      <c r="N270">
        <f t="shared" si="10"/>
        <v>1225.7727051132372</v>
      </c>
      <c r="O270">
        <f t="shared" si="11"/>
        <v>451550.36527768843</v>
      </c>
      <c r="P270">
        <f t="shared" si="12"/>
        <v>1.1620999999999999</v>
      </c>
      <c r="Q270">
        <f t="shared" si="13"/>
        <v>1.1580999999999999</v>
      </c>
      <c r="R270">
        <f t="shared" si="14"/>
        <v>2.3201999999999998</v>
      </c>
    </row>
    <row r="271" spans="2:18" x14ac:dyDescent="0.3">
      <c r="B271" s="8">
        <v>1.26</v>
      </c>
      <c r="C271">
        <v>19</v>
      </c>
      <c r="D271" s="8">
        <f t="shared" si="1"/>
        <v>4.9146811119866435E-2</v>
      </c>
      <c r="E271" s="8">
        <f t="shared" ref="E271:E334" si="15">EXP(INDEX(TS_array,MATCH($B$41,Tray_space,0),1)*((LN(D271))^3)+INDEX(TS_array,MATCH($B$41,Tray_space,0),2)*((LN(D271))^2)+INDEX(TS_array,MATCH($B$41,Tray_space,0),3)*(LN(D271))+INDEX(TS_array,MATCH($B$41,Tray_space,0),4)-1.188)</f>
        <v>7.1958541051709457E-2</v>
      </c>
      <c r="F271" s="8">
        <f t="shared" si="2"/>
        <v>0.91962167315311127</v>
      </c>
      <c r="G271" s="8">
        <f t="shared" si="3"/>
        <v>1.92</v>
      </c>
      <c r="H271">
        <f t="shared" si="4"/>
        <v>11.8</v>
      </c>
      <c r="I271">
        <f t="shared" si="5"/>
        <v>1701693.9171503</v>
      </c>
      <c r="J271">
        <f t="shared" si="6"/>
        <v>549971.45644347323</v>
      </c>
      <c r="K271">
        <f t="shared" si="7"/>
        <v>543904.78974840906</v>
      </c>
      <c r="L271">
        <f t="shared" si="8"/>
        <v>348.11801361609474</v>
      </c>
      <c r="M271">
        <f t="shared" si="9"/>
        <v>268362.05842866108</v>
      </c>
      <c r="N271">
        <f t="shared" si="10"/>
        <v>1228.0985601621212</v>
      </c>
      <c r="O271">
        <f t="shared" si="11"/>
        <v>452413.6361283905</v>
      </c>
      <c r="P271">
        <f t="shared" si="12"/>
        <v>1.1628000000000001</v>
      </c>
      <c r="Q271">
        <f t="shared" si="13"/>
        <v>1.1603000000000001</v>
      </c>
      <c r="R271">
        <f t="shared" si="14"/>
        <v>2.3231000000000002</v>
      </c>
    </row>
    <row r="272" spans="2:18" x14ac:dyDescent="0.3">
      <c r="B272" s="8">
        <v>1.2629999999999999</v>
      </c>
      <c r="C272">
        <v>19</v>
      </c>
      <c r="D272" s="8">
        <f t="shared" ref="D272:D319" si="16">(($B$12*(B272*$B$20)*$B$4*$B$14/3600)/($B$12*(B272*$B$20+1)*$B$4*$B$14/3600))*SQRT($B$25/$B$26)</f>
        <v>4.9171729878790163E-2</v>
      </c>
      <c r="E272" s="8">
        <f t="shared" si="15"/>
        <v>7.195564384856451E-2</v>
      </c>
      <c r="F272" s="8">
        <f t="shared" ref="F272:F335" si="17">$B$47*(($B$48/20)^0.2)*E272*SQRT(($B$26-$B$25)/$B$25)</f>
        <v>0.9195846472384015</v>
      </c>
      <c r="G272" s="8">
        <f t="shared" ref="G272:G335" si="18">10^-3*ROUND(ROUND(((4*($B$12*(B272*$B$20+1)*$B$4*$B$14/3600))/($B$25*PI()*(1-$B$56)*F272))^0.5,2)*1000+HLOOKUP(ROUND(((4*($B$12*(B272*$B$20+1)*$B$4*$B$14/3600))/($B$25*PI()*(1-$B$56)*F272))^0.5,2)*1000,$B$64:$E$65,2),0)</f>
        <v>1.92</v>
      </c>
      <c r="H272">
        <f t="shared" ref="H272:H335" si="19">ROUND((((C272-ROUND(C272/10,0)-1)*$B$41)+1.5*$B$41+$B$78+ROUND(C272/10,0)*1200+2*$B$41)*10^-3,1)</f>
        <v>11.8</v>
      </c>
      <c r="I272">
        <f t="shared" ref="I272:I335" si="20">(PI()*(G272)*($B$88*10^-3)*$B$89*$B$90*H272)+(_xlfn.FORECAST.LINEAR(39.3701*G272,$B$94:$B$98,$A$94:$A$98))*C272</f>
        <v>1701693.9171503</v>
      </c>
      <c r="J272">
        <f t="shared" ref="J272:J335" si="21">$B$114*($B$20*B272+1)/($B$20*$B$21+1)</f>
        <v>551001.53964883217</v>
      </c>
      <c r="K272">
        <f t="shared" ref="K272:K335" si="22">J272+($B$132-$B$114)</f>
        <v>544934.872953768</v>
      </c>
      <c r="L272">
        <f t="shared" ref="L272:L335" si="23">(J272/($B$118*$B$117))*10.7639</f>
        <v>348.77003021642486</v>
      </c>
      <c r="M272">
        <f t="shared" ref="M272:M335" si="24">_xlfn.FORECAST.LINEAR(L272,$B$139:$B$143,$A$139:$A$143)</f>
        <v>268938.45454699412</v>
      </c>
      <c r="N272">
        <f t="shared" ref="N272:N335" si="25">(K272/($B$134*$B$133))*10.7639</f>
        <v>1230.4244152110052</v>
      </c>
      <c r="O272">
        <f t="shared" ref="O272:O335" si="26">_xlfn.FORECAST.LINEAR(N272,$B$149:$B$154,$A$149:$A$154)</f>
        <v>453276.90697909251</v>
      </c>
      <c r="P272">
        <f t="shared" ref="P272:P335" si="27">ROUND((2*1.2*(O272+M272+I272)*$B$161)*10^-6,4)</f>
        <v>1.1635</v>
      </c>
      <c r="Q272">
        <f t="shared" ref="Q272:Q335" si="28">ROUND(($B$167*(K272/(2700*10^3))*60*60*8000)*10^-6,4)</f>
        <v>1.1625000000000001</v>
      </c>
      <c r="R272">
        <f t="shared" ref="R272:R335" si="29">(Q272+P272)</f>
        <v>2.3260000000000001</v>
      </c>
    </row>
    <row r="273" spans="2:18" x14ac:dyDescent="0.3">
      <c r="B273" s="8">
        <v>1.266</v>
      </c>
      <c r="C273">
        <v>19</v>
      </c>
      <c r="D273" s="8">
        <f t="shared" si="16"/>
        <v>4.9196555641610053E-2</v>
      </c>
      <c r="E273" s="8">
        <f t="shared" si="15"/>
        <v>7.1952757496140149E-2</v>
      </c>
      <c r="F273" s="8">
        <f t="shared" si="17"/>
        <v>0.91954775999462179</v>
      </c>
      <c r="G273" s="8">
        <f t="shared" si="18"/>
        <v>1.93</v>
      </c>
      <c r="H273">
        <f t="shared" si="19"/>
        <v>11.8</v>
      </c>
      <c r="I273">
        <f t="shared" si="20"/>
        <v>1715801.6979687912</v>
      </c>
      <c r="J273">
        <f t="shared" si="21"/>
        <v>552031.62285419099</v>
      </c>
      <c r="K273">
        <f t="shared" si="22"/>
        <v>545964.95615912683</v>
      </c>
      <c r="L273">
        <f t="shared" si="23"/>
        <v>349.42204681675486</v>
      </c>
      <c r="M273">
        <f t="shared" si="24"/>
        <v>269514.8506653271</v>
      </c>
      <c r="N273">
        <f t="shared" si="25"/>
        <v>1232.750270259889</v>
      </c>
      <c r="O273">
        <f t="shared" si="26"/>
        <v>454140.17782979453</v>
      </c>
      <c r="P273">
        <f t="shared" si="27"/>
        <v>1.1709000000000001</v>
      </c>
      <c r="Q273">
        <f t="shared" si="28"/>
        <v>1.1647000000000001</v>
      </c>
      <c r="R273">
        <f t="shared" si="29"/>
        <v>2.3356000000000003</v>
      </c>
    </row>
    <row r="274" spans="2:18" x14ac:dyDescent="0.3">
      <c r="B274" s="8">
        <v>1.27</v>
      </c>
      <c r="C274">
        <v>19</v>
      </c>
      <c r="D274" s="8">
        <f t="shared" si="16"/>
        <v>4.9229512895646269E-2</v>
      </c>
      <c r="E274" s="8">
        <f t="shared" si="15"/>
        <v>7.1948925799819791E-2</v>
      </c>
      <c r="F274" s="8">
        <f t="shared" si="17"/>
        <v>0.91949879136727564</v>
      </c>
      <c r="G274" s="8">
        <f t="shared" si="18"/>
        <v>1.93</v>
      </c>
      <c r="H274">
        <f t="shared" si="19"/>
        <v>11.8</v>
      </c>
      <c r="I274">
        <f t="shared" si="20"/>
        <v>1715801.6979687912</v>
      </c>
      <c r="J274">
        <f t="shared" si="21"/>
        <v>553405.06712800288</v>
      </c>
      <c r="K274">
        <f t="shared" si="22"/>
        <v>547338.40043293871</v>
      </c>
      <c r="L274">
        <f t="shared" si="23"/>
        <v>350.2914022838616</v>
      </c>
      <c r="M274">
        <f t="shared" si="24"/>
        <v>270283.37882310449</v>
      </c>
      <c r="N274">
        <f t="shared" si="25"/>
        <v>1235.8514103250675</v>
      </c>
      <c r="O274">
        <f t="shared" si="26"/>
        <v>455291.20563073055</v>
      </c>
      <c r="P274">
        <f t="shared" si="27"/>
        <v>1.1718999999999999</v>
      </c>
      <c r="Q274">
        <f t="shared" si="28"/>
        <v>1.1677</v>
      </c>
      <c r="R274">
        <f t="shared" si="29"/>
        <v>2.3395999999999999</v>
      </c>
    </row>
    <row r="275" spans="2:18" x14ac:dyDescent="0.3">
      <c r="B275" s="8">
        <v>1.2729999999999999</v>
      </c>
      <c r="C275">
        <v>19</v>
      </c>
      <c r="D275" s="8">
        <f t="shared" si="16"/>
        <v>4.9254123681623012E-2</v>
      </c>
      <c r="E275" s="8">
        <f t="shared" si="15"/>
        <v>7.1946064529415904E-2</v>
      </c>
      <c r="F275" s="8">
        <f t="shared" si="17"/>
        <v>0.91946222466876126</v>
      </c>
      <c r="G275" s="8">
        <f t="shared" si="18"/>
        <v>1.93</v>
      </c>
      <c r="H275">
        <f t="shared" si="19"/>
        <v>11.8</v>
      </c>
      <c r="I275">
        <f t="shared" si="20"/>
        <v>1715801.6979687912</v>
      </c>
      <c r="J275">
        <f t="shared" si="21"/>
        <v>554435.1503333617</v>
      </c>
      <c r="K275">
        <f t="shared" si="22"/>
        <v>548368.48363829753</v>
      </c>
      <c r="L275">
        <f t="shared" si="23"/>
        <v>350.94341888419154</v>
      </c>
      <c r="M275">
        <f t="shared" si="24"/>
        <v>270859.77494143735</v>
      </c>
      <c r="N275">
        <f t="shared" si="25"/>
        <v>1238.1772653739513</v>
      </c>
      <c r="O275">
        <f t="shared" si="26"/>
        <v>456154.4764814325</v>
      </c>
      <c r="P275">
        <f t="shared" si="27"/>
        <v>1.1726000000000001</v>
      </c>
      <c r="Q275">
        <f t="shared" si="28"/>
        <v>1.1698999999999999</v>
      </c>
      <c r="R275">
        <f t="shared" si="29"/>
        <v>2.3425000000000002</v>
      </c>
    </row>
    <row r="276" spans="2:18" x14ac:dyDescent="0.3">
      <c r="B276" s="8">
        <v>1.276</v>
      </c>
      <c r="C276">
        <v>19</v>
      </c>
      <c r="D276" s="8">
        <f t="shared" si="16"/>
        <v>4.9278643188593305E-2</v>
      </c>
      <c r="E276" s="8">
        <f t="shared" si="15"/>
        <v>7.194321390826143E-2</v>
      </c>
      <c r="F276" s="8">
        <f t="shared" si="17"/>
        <v>0.91942579406639935</v>
      </c>
      <c r="G276" s="8">
        <f t="shared" si="18"/>
        <v>1.93</v>
      </c>
      <c r="H276">
        <f t="shared" si="19"/>
        <v>11.8</v>
      </c>
      <c r="I276">
        <f t="shared" si="20"/>
        <v>1715801.6979687912</v>
      </c>
      <c r="J276">
        <f t="shared" si="21"/>
        <v>555465.23353872076</v>
      </c>
      <c r="K276">
        <f t="shared" si="22"/>
        <v>549398.56684365659</v>
      </c>
      <c r="L276">
        <f t="shared" si="23"/>
        <v>351.59543548452177</v>
      </c>
      <c r="M276">
        <f t="shared" si="24"/>
        <v>271436.17105977057</v>
      </c>
      <c r="N276">
        <f t="shared" si="25"/>
        <v>1240.5031204228353</v>
      </c>
      <c r="O276">
        <f t="shared" si="26"/>
        <v>457017.74733213458</v>
      </c>
      <c r="P276">
        <f t="shared" si="27"/>
        <v>1.1732</v>
      </c>
      <c r="Q276">
        <f t="shared" si="28"/>
        <v>1.1720999999999999</v>
      </c>
      <c r="R276">
        <f t="shared" si="29"/>
        <v>2.3452999999999999</v>
      </c>
    </row>
    <row r="277" spans="2:18" x14ac:dyDescent="0.3">
      <c r="B277" s="8">
        <v>1.28</v>
      </c>
      <c r="C277">
        <v>19</v>
      </c>
      <c r="D277" s="8">
        <f t="shared" si="16"/>
        <v>4.9311194750532444E-2</v>
      </c>
      <c r="E277" s="8">
        <f t="shared" si="15"/>
        <v>7.1939429542841701E-2</v>
      </c>
      <c r="F277" s="8">
        <f t="shared" si="17"/>
        <v>0.91937743032238439</v>
      </c>
      <c r="G277" s="8">
        <f t="shared" si="18"/>
        <v>1.93</v>
      </c>
      <c r="H277">
        <f t="shared" si="19"/>
        <v>11.8</v>
      </c>
      <c r="I277">
        <f t="shared" si="20"/>
        <v>1715801.6979687912</v>
      </c>
      <c r="J277">
        <f t="shared" si="21"/>
        <v>556838.67781253264</v>
      </c>
      <c r="K277">
        <f t="shared" si="22"/>
        <v>550772.01111746847</v>
      </c>
      <c r="L277">
        <f t="shared" si="23"/>
        <v>352.46479095162846</v>
      </c>
      <c r="M277">
        <f t="shared" si="24"/>
        <v>272204.69921754784</v>
      </c>
      <c r="N277">
        <f t="shared" si="25"/>
        <v>1243.6042604880138</v>
      </c>
      <c r="O277">
        <f t="shared" si="26"/>
        <v>458168.77513307059</v>
      </c>
      <c r="P277">
        <f t="shared" si="27"/>
        <v>1.1741999999999999</v>
      </c>
      <c r="Q277">
        <f t="shared" si="28"/>
        <v>1.175</v>
      </c>
      <c r="R277">
        <f t="shared" si="29"/>
        <v>2.3491999999999997</v>
      </c>
    </row>
    <row r="278" spans="2:18" x14ac:dyDescent="0.3">
      <c r="B278" s="8">
        <v>1.2829999999999999</v>
      </c>
      <c r="C278">
        <v>19</v>
      </c>
      <c r="D278" s="8">
        <f t="shared" si="16"/>
        <v>4.9335503237874841E-2</v>
      </c>
      <c r="E278" s="8">
        <f t="shared" si="15"/>
        <v>7.1936603539453997E-2</v>
      </c>
      <c r="F278" s="8">
        <f t="shared" si="17"/>
        <v>0.91934131433218014</v>
      </c>
      <c r="G278" s="8">
        <f t="shared" si="18"/>
        <v>1.94</v>
      </c>
      <c r="H278">
        <f t="shared" si="19"/>
        <v>11.8</v>
      </c>
      <c r="I278">
        <f t="shared" si="20"/>
        <v>1729909.4787872822</v>
      </c>
      <c r="J278">
        <f t="shared" si="21"/>
        <v>557868.76101789146</v>
      </c>
      <c r="K278">
        <f t="shared" si="22"/>
        <v>551802.0943228273</v>
      </c>
      <c r="L278">
        <f t="shared" si="23"/>
        <v>353.11680755195852</v>
      </c>
      <c r="M278">
        <f t="shared" si="24"/>
        <v>272781.09533588088</v>
      </c>
      <c r="N278">
        <f t="shared" si="25"/>
        <v>1245.9301155368976</v>
      </c>
      <c r="O278">
        <f t="shared" si="26"/>
        <v>459032.04598377261</v>
      </c>
      <c r="P278">
        <f t="shared" si="27"/>
        <v>1.1816</v>
      </c>
      <c r="Q278">
        <f t="shared" si="28"/>
        <v>1.1772</v>
      </c>
      <c r="R278">
        <f t="shared" si="29"/>
        <v>2.3588</v>
      </c>
    </row>
    <row r="279" spans="2:18" x14ac:dyDescent="0.3">
      <c r="B279" s="8">
        <v>1.286</v>
      </c>
      <c r="C279">
        <v>19</v>
      </c>
      <c r="D279" s="8">
        <f t="shared" si="16"/>
        <v>4.9359722121294046E-2</v>
      </c>
      <c r="E279" s="8">
        <f t="shared" si="15"/>
        <v>7.1933787988821232E-2</v>
      </c>
      <c r="F279" s="8">
        <f t="shared" si="17"/>
        <v>0.91930533192695196</v>
      </c>
      <c r="G279" s="8">
        <f t="shared" si="18"/>
        <v>1.94</v>
      </c>
      <c r="H279">
        <f t="shared" si="19"/>
        <v>11.8</v>
      </c>
      <c r="I279">
        <f t="shared" si="20"/>
        <v>1729909.4787872822</v>
      </c>
      <c r="J279">
        <f t="shared" si="21"/>
        <v>558898.84422325029</v>
      </c>
      <c r="K279">
        <f t="shared" si="22"/>
        <v>552832.17752818612</v>
      </c>
      <c r="L279">
        <f t="shared" si="23"/>
        <v>353.76882415228846</v>
      </c>
      <c r="M279">
        <f t="shared" si="24"/>
        <v>273357.4914542138</v>
      </c>
      <c r="N279">
        <f t="shared" si="25"/>
        <v>1248.2559705857811</v>
      </c>
      <c r="O279">
        <f t="shared" si="26"/>
        <v>459895.31683447451</v>
      </c>
      <c r="P279">
        <f t="shared" si="27"/>
        <v>1.1822999999999999</v>
      </c>
      <c r="Q279">
        <f t="shared" si="28"/>
        <v>1.1794</v>
      </c>
      <c r="R279">
        <f t="shared" si="29"/>
        <v>2.3616999999999999</v>
      </c>
    </row>
    <row r="280" spans="2:18" x14ac:dyDescent="0.3">
      <c r="B280" s="8">
        <v>1.2889999999999999</v>
      </c>
      <c r="C280">
        <v>19</v>
      </c>
      <c r="D280" s="8">
        <f t="shared" si="16"/>
        <v>4.9383851895314385E-2</v>
      </c>
      <c r="E280" s="8">
        <f t="shared" si="15"/>
        <v>7.1930982832942289E-2</v>
      </c>
      <c r="F280" s="8">
        <f t="shared" si="17"/>
        <v>0.91926948236545247</v>
      </c>
      <c r="G280" s="8">
        <f t="shared" si="18"/>
        <v>1.94</v>
      </c>
      <c r="H280">
        <f t="shared" si="19"/>
        <v>11.8</v>
      </c>
      <c r="I280">
        <f t="shared" si="20"/>
        <v>1729909.4787872822</v>
      </c>
      <c r="J280">
        <f t="shared" si="21"/>
        <v>559928.92742860911</v>
      </c>
      <c r="K280">
        <f t="shared" si="22"/>
        <v>553862.26073354494</v>
      </c>
      <c r="L280">
        <f t="shared" si="23"/>
        <v>354.42084075261852</v>
      </c>
      <c r="M280">
        <f t="shared" si="24"/>
        <v>273933.88757254678</v>
      </c>
      <c r="N280">
        <f t="shared" si="25"/>
        <v>1250.5818256346649</v>
      </c>
      <c r="O280">
        <f t="shared" si="26"/>
        <v>460758.58768517646</v>
      </c>
      <c r="P280">
        <f t="shared" si="27"/>
        <v>1.1830000000000001</v>
      </c>
      <c r="Q280">
        <f t="shared" si="28"/>
        <v>1.1816</v>
      </c>
      <c r="R280">
        <f t="shared" si="29"/>
        <v>2.3646000000000003</v>
      </c>
    </row>
    <row r="281" spans="2:18" x14ac:dyDescent="0.3">
      <c r="B281" s="8">
        <v>1.2929999999999999</v>
      </c>
      <c r="C281">
        <v>19</v>
      </c>
      <c r="D281" s="8">
        <f t="shared" si="16"/>
        <v>4.9415887160657347E-2</v>
      </c>
      <c r="E281" s="8">
        <f t="shared" si="15"/>
        <v>7.1927258695276677E-2</v>
      </c>
      <c r="F281" s="8">
        <f t="shared" si="17"/>
        <v>0.91922188832503626</v>
      </c>
      <c r="G281" s="8">
        <f t="shared" si="18"/>
        <v>1.94</v>
      </c>
      <c r="H281">
        <f t="shared" si="19"/>
        <v>11.8</v>
      </c>
      <c r="I281">
        <f t="shared" si="20"/>
        <v>1729909.4787872822</v>
      </c>
      <c r="J281">
        <f t="shared" si="21"/>
        <v>561302.37170242099</v>
      </c>
      <c r="K281">
        <f t="shared" si="22"/>
        <v>555235.70500735682</v>
      </c>
      <c r="L281">
        <f t="shared" si="23"/>
        <v>355.2901962197252</v>
      </c>
      <c r="M281">
        <f t="shared" si="24"/>
        <v>274702.41573032411</v>
      </c>
      <c r="N281">
        <f t="shared" si="25"/>
        <v>1253.6829656998434</v>
      </c>
      <c r="O281">
        <f t="shared" si="26"/>
        <v>461909.61548611248</v>
      </c>
      <c r="P281">
        <f t="shared" si="27"/>
        <v>1.1839</v>
      </c>
      <c r="Q281">
        <f t="shared" si="28"/>
        <v>1.1845000000000001</v>
      </c>
      <c r="R281">
        <f t="shared" si="29"/>
        <v>2.3684000000000003</v>
      </c>
    </row>
    <row r="282" spans="2:18" x14ac:dyDescent="0.3">
      <c r="B282" s="8">
        <v>1.296</v>
      </c>
      <c r="C282">
        <v>19</v>
      </c>
      <c r="D282" s="8">
        <f t="shared" si="16"/>
        <v>4.9439810915555542E-2</v>
      </c>
      <c r="E282" s="8">
        <f t="shared" si="15"/>
        <v>7.1924477570671483E-2</v>
      </c>
      <c r="F282" s="8">
        <f t="shared" si="17"/>
        <v>0.91918634588038284</v>
      </c>
      <c r="G282" s="8">
        <f t="shared" si="18"/>
        <v>1.94</v>
      </c>
      <c r="H282">
        <f t="shared" si="19"/>
        <v>11.8</v>
      </c>
      <c r="I282">
        <f t="shared" si="20"/>
        <v>1729909.4787872822</v>
      </c>
      <c r="J282">
        <f t="shared" si="21"/>
        <v>562332.45490778016</v>
      </c>
      <c r="K282">
        <f t="shared" si="22"/>
        <v>556265.788212716</v>
      </c>
      <c r="L282">
        <f t="shared" si="23"/>
        <v>355.94221282005549</v>
      </c>
      <c r="M282">
        <f t="shared" si="24"/>
        <v>275278.81184865732</v>
      </c>
      <c r="N282">
        <f t="shared" si="25"/>
        <v>1256.0088207487279</v>
      </c>
      <c r="O282">
        <f t="shared" si="26"/>
        <v>462772.88633681473</v>
      </c>
      <c r="P282">
        <f t="shared" si="27"/>
        <v>1.1846000000000001</v>
      </c>
      <c r="Q282">
        <f t="shared" si="28"/>
        <v>1.1867000000000001</v>
      </c>
      <c r="R282">
        <f t="shared" si="29"/>
        <v>2.3713000000000002</v>
      </c>
    </row>
    <row r="283" spans="2:18" x14ac:dyDescent="0.3">
      <c r="B283" s="8">
        <v>1.2989999999999999</v>
      </c>
      <c r="C283">
        <v>19</v>
      </c>
      <c r="D283" s="8">
        <f t="shared" si="16"/>
        <v>4.9463647183422013E-2</v>
      </c>
      <c r="E283" s="8">
        <f t="shared" si="15"/>
        <v>7.1921706650566242E-2</v>
      </c>
      <c r="F283" s="8">
        <f t="shared" si="17"/>
        <v>0.91915093384803592</v>
      </c>
      <c r="G283" s="8">
        <f t="shared" si="18"/>
        <v>1.94</v>
      </c>
      <c r="H283">
        <f t="shared" si="19"/>
        <v>11.8</v>
      </c>
      <c r="I283">
        <f t="shared" si="20"/>
        <v>1729909.4787872822</v>
      </c>
      <c r="J283">
        <f t="shared" si="21"/>
        <v>563362.53811313887</v>
      </c>
      <c r="K283">
        <f t="shared" si="22"/>
        <v>557295.8714180747</v>
      </c>
      <c r="L283">
        <f t="shared" si="23"/>
        <v>356.59422942038537</v>
      </c>
      <c r="M283">
        <f t="shared" si="24"/>
        <v>275855.20796699019</v>
      </c>
      <c r="N283">
        <f t="shared" si="25"/>
        <v>1258.3346757976115</v>
      </c>
      <c r="O283">
        <f t="shared" si="26"/>
        <v>463636.15718751663</v>
      </c>
      <c r="P283">
        <f t="shared" si="27"/>
        <v>1.1853</v>
      </c>
      <c r="Q283">
        <f t="shared" si="28"/>
        <v>1.1889000000000001</v>
      </c>
      <c r="R283">
        <f t="shared" si="29"/>
        <v>2.3742000000000001</v>
      </c>
    </row>
    <row r="284" spans="2:18" x14ac:dyDescent="0.3">
      <c r="B284" s="8">
        <v>1.302</v>
      </c>
      <c r="C284">
        <v>19</v>
      </c>
      <c r="D284" s="8">
        <f t="shared" si="16"/>
        <v>4.948739644327925E-2</v>
      </c>
      <c r="E284" s="8">
        <f t="shared" si="15"/>
        <v>7.1918945878794466E-2</v>
      </c>
      <c r="F284" s="8">
        <f t="shared" si="17"/>
        <v>0.9191156515101947</v>
      </c>
      <c r="G284" s="8">
        <f t="shared" si="18"/>
        <v>1.95</v>
      </c>
      <c r="H284">
        <f t="shared" si="19"/>
        <v>11.8</v>
      </c>
      <c r="I284">
        <f t="shared" si="20"/>
        <v>1744017.2596057735</v>
      </c>
      <c r="J284">
        <f t="shared" si="21"/>
        <v>564392.62131849781</v>
      </c>
      <c r="K284">
        <f t="shared" si="22"/>
        <v>558325.95462343364</v>
      </c>
      <c r="L284">
        <f t="shared" si="23"/>
        <v>357.24624602071543</v>
      </c>
      <c r="M284">
        <f t="shared" si="24"/>
        <v>276431.60408532317</v>
      </c>
      <c r="N284">
        <f t="shared" si="25"/>
        <v>1260.6605308464952</v>
      </c>
      <c r="O284">
        <f t="shared" si="26"/>
        <v>464499.42803821858</v>
      </c>
      <c r="P284">
        <f t="shared" si="27"/>
        <v>1.1928000000000001</v>
      </c>
      <c r="Q284">
        <f t="shared" si="28"/>
        <v>1.1911</v>
      </c>
      <c r="R284">
        <f t="shared" si="29"/>
        <v>2.3839000000000001</v>
      </c>
    </row>
    <row r="285" spans="2:18" x14ac:dyDescent="0.3">
      <c r="B285" s="8">
        <v>1.306</v>
      </c>
      <c r="C285">
        <v>19</v>
      </c>
      <c r="D285" s="8">
        <f t="shared" si="16"/>
        <v>4.951892759870468E-2</v>
      </c>
      <c r="E285" s="8">
        <f t="shared" si="15"/>
        <v>7.1915280539756807E-2</v>
      </c>
      <c r="F285" s="8">
        <f t="shared" si="17"/>
        <v>0.91906880890931331</v>
      </c>
      <c r="G285" s="8">
        <f t="shared" si="18"/>
        <v>1.95</v>
      </c>
      <c r="H285">
        <f t="shared" si="19"/>
        <v>11.8</v>
      </c>
      <c r="I285">
        <f t="shared" si="20"/>
        <v>1744017.2596057735</v>
      </c>
      <c r="J285">
        <f t="shared" si="21"/>
        <v>565766.06559230958</v>
      </c>
      <c r="K285">
        <f t="shared" si="22"/>
        <v>559699.39889724541</v>
      </c>
      <c r="L285">
        <f t="shared" si="23"/>
        <v>358.11560148782212</v>
      </c>
      <c r="M285">
        <f t="shared" si="24"/>
        <v>277200.1322431005</v>
      </c>
      <c r="N285">
        <f t="shared" si="25"/>
        <v>1263.7616709116735</v>
      </c>
      <c r="O285">
        <f t="shared" si="26"/>
        <v>465650.45583915454</v>
      </c>
      <c r="P285">
        <f t="shared" si="27"/>
        <v>1.1937</v>
      </c>
      <c r="Q285">
        <f t="shared" si="28"/>
        <v>1.194</v>
      </c>
      <c r="R285">
        <f t="shared" si="29"/>
        <v>2.3876999999999997</v>
      </c>
    </row>
    <row r="286" spans="2:18" x14ac:dyDescent="0.3">
      <c r="B286" s="8">
        <v>1.3089999999999999</v>
      </c>
      <c r="C286">
        <v>19</v>
      </c>
      <c r="D286" s="8">
        <f t="shared" si="16"/>
        <v>4.9542475683189972E-2</v>
      </c>
      <c r="E286" s="8">
        <f t="shared" si="15"/>
        <v>7.1912543231317169E-2</v>
      </c>
      <c r="F286" s="8">
        <f t="shared" si="17"/>
        <v>0.91903382643009113</v>
      </c>
      <c r="G286" s="8">
        <f t="shared" si="18"/>
        <v>1.95</v>
      </c>
      <c r="H286">
        <f t="shared" si="19"/>
        <v>11.8</v>
      </c>
      <c r="I286">
        <f t="shared" si="20"/>
        <v>1744017.2596057735</v>
      </c>
      <c r="J286">
        <f t="shared" si="21"/>
        <v>566796.14879766852</v>
      </c>
      <c r="K286">
        <f t="shared" si="22"/>
        <v>560729.48210260435</v>
      </c>
      <c r="L286">
        <f t="shared" si="23"/>
        <v>358.76761808815223</v>
      </c>
      <c r="M286">
        <f t="shared" si="24"/>
        <v>277776.52836143353</v>
      </c>
      <c r="N286">
        <f t="shared" si="25"/>
        <v>1266.0875259605573</v>
      </c>
      <c r="O286">
        <f t="shared" si="26"/>
        <v>466513.7266898565</v>
      </c>
      <c r="P286">
        <f t="shared" si="27"/>
        <v>1.1943999999999999</v>
      </c>
      <c r="Q286">
        <f t="shared" si="28"/>
        <v>1.1961999999999999</v>
      </c>
      <c r="R286">
        <f t="shared" si="29"/>
        <v>2.3906000000000001</v>
      </c>
    </row>
    <row r="287" spans="2:18" x14ac:dyDescent="0.3">
      <c r="B287" s="8">
        <v>1.3120000000000001</v>
      </c>
      <c r="C287">
        <v>19</v>
      </c>
      <c r="D287" s="8">
        <f t="shared" si="16"/>
        <v>4.9565938331374557E-2</v>
      </c>
      <c r="E287" s="8">
        <f t="shared" si="15"/>
        <v>7.1909815886950348E-2</v>
      </c>
      <c r="F287" s="8">
        <f t="shared" si="17"/>
        <v>0.91899897129054531</v>
      </c>
      <c r="G287" s="8">
        <f t="shared" si="18"/>
        <v>1.95</v>
      </c>
      <c r="H287">
        <f t="shared" si="19"/>
        <v>11.8</v>
      </c>
      <c r="I287">
        <f t="shared" si="20"/>
        <v>1744017.2596057735</v>
      </c>
      <c r="J287">
        <f t="shared" si="21"/>
        <v>567826.23200302757</v>
      </c>
      <c r="K287">
        <f t="shared" si="22"/>
        <v>561759.56530796341</v>
      </c>
      <c r="L287">
        <f t="shared" si="23"/>
        <v>359.41963468848235</v>
      </c>
      <c r="M287">
        <f t="shared" si="24"/>
        <v>278352.92447976663</v>
      </c>
      <c r="N287">
        <f t="shared" si="25"/>
        <v>1268.4133810094418</v>
      </c>
      <c r="O287">
        <f t="shared" si="26"/>
        <v>467376.99754055875</v>
      </c>
      <c r="P287">
        <f t="shared" si="27"/>
        <v>1.1951000000000001</v>
      </c>
      <c r="Q287">
        <f t="shared" si="28"/>
        <v>1.1983999999999999</v>
      </c>
      <c r="R287">
        <f t="shared" si="29"/>
        <v>2.3935</v>
      </c>
    </row>
    <row r="288" spans="2:18" x14ac:dyDescent="0.3">
      <c r="B288" s="8">
        <v>1.3160000000000001</v>
      </c>
      <c r="C288">
        <v>19</v>
      </c>
      <c r="D288" s="8">
        <f t="shared" si="16"/>
        <v>4.9597089763079784E-2</v>
      </c>
      <c r="E288" s="8">
        <f t="shared" si="15"/>
        <v>7.1906194833488715E-2</v>
      </c>
      <c r="F288" s="8">
        <f t="shared" si="17"/>
        <v>0.91895269465410578</v>
      </c>
      <c r="G288" s="8">
        <f t="shared" si="18"/>
        <v>1.95</v>
      </c>
      <c r="H288">
        <f t="shared" si="19"/>
        <v>11.8</v>
      </c>
      <c r="I288">
        <f t="shared" si="20"/>
        <v>1744017.2596057735</v>
      </c>
      <c r="J288">
        <f t="shared" si="21"/>
        <v>569199.67627683945</v>
      </c>
      <c r="K288">
        <f t="shared" si="22"/>
        <v>563133.00958177529</v>
      </c>
      <c r="L288">
        <f t="shared" si="23"/>
        <v>360.28899015558915</v>
      </c>
      <c r="M288">
        <f t="shared" si="24"/>
        <v>279121.45263754402</v>
      </c>
      <c r="N288">
        <f t="shared" si="25"/>
        <v>1271.5145210746202</v>
      </c>
      <c r="O288">
        <f t="shared" si="26"/>
        <v>468528.02534149477</v>
      </c>
      <c r="P288">
        <f t="shared" si="27"/>
        <v>1.196</v>
      </c>
      <c r="Q288">
        <f t="shared" si="28"/>
        <v>1.2014</v>
      </c>
      <c r="R288">
        <f t="shared" si="29"/>
        <v>2.3974000000000002</v>
      </c>
    </row>
    <row r="289" spans="2:18" x14ac:dyDescent="0.3">
      <c r="B289" s="8">
        <v>1.319</v>
      </c>
      <c r="C289">
        <v>19</v>
      </c>
      <c r="D289" s="8">
        <f t="shared" si="16"/>
        <v>4.9620354859024718E-2</v>
      </c>
      <c r="E289" s="8">
        <f t="shared" si="15"/>
        <v>7.190349052773827E-2</v>
      </c>
      <c r="F289" s="8">
        <f t="shared" si="17"/>
        <v>0.91891813394536159</v>
      </c>
      <c r="G289" s="8">
        <f t="shared" si="18"/>
        <v>1.96</v>
      </c>
      <c r="H289">
        <f t="shared" si="19"/>
        <v>11.8</v>
      </c>
      <c r="I289">
        <f t="shared" si="20"/>
        <v>1758125.0404242645</v>
      </c>
      <c r="J289">
        <f t="shared" si="21"/>
        <v>570229.75948219828</v>
      </c>
      <c r="K289">
        <f t="shared" si="22"/>
        <v>564163.09278713411</v>
      </c>
      <c r="L289">
        <f t="shared" si="23"/>
        <v>360.94100675591909</v>
      </c>
      <c r="M289">
        <f t="shared" si="24"/>
        <v>279697.84875587694</v>
      </c>
      <c r="N289">
        <f t="shared" si="25"/>
        <v>1273.8403761235038</v>
      </c>
      <c r="O289">
        <f t="shared" si="26"/>
        <v>469391.29619219666</v>
      </c>
      <c r="P289">
        <f t="shared" si="27"/>
        <v>1.2035</v>
      </c>
      <c r="Q289">
        <f t="shared" si="28"/>
        <v>1.2035</v>
      </c>
      <c r="R289">
        <f t="shared" si="29"/>
        <v>2.407</v>
      </c>
    </row>
    <row r="290" spans="2:18" x14ac:dyDescent="0.3">
      <c r="B290" s="8">
        <v>1.3220000000000001</v>
      </c>
      <c r="C290">
        <v>19</v>
      </c>
      <c r="D290" s="8">
        <f t="shared" si="16"/>
        <v>4.9643536052749272E-2</v>
      </c>
      <c r="E290" s="8">
        <f t="shared" si="15"/>
        <v>7.1900796006249712E-2</v>
      </c>
      <c r="F290" s="8">
        <f t="shared" si="17"/>
        <v>0.91888369827833116</v>
      </c>
      <c r="G290" s="8">
        <f t="shared" si="18"/>
        <v>1.96</v>
      </c>
      <c r="H290">
        <f t="shared" si="19"/>
        <v>11.8</v>
      </c>
      <c r="I290">
        <f t="shared" si="20"/>
        <v>1758125.0404242645</v>
      </c>
      <c r="J290">
        <f t="shared" si="21"/>
        <v>571259.8426875571</v>
      </c>
      <c r="K290">
        <f t="shared" si="22"/>
        <v>565193.17599249294</v>
      </c>
      <c r="L290">
        <f t="shared" si="23"/>
        <v>361.59302335624909</v>
      </c>
      <c r="M290">
        <f t="shared" si="24"/>
        <v>280274.24487420992</v>
      </c>
      <c r="N290">
        <f t="shared" si="25"/>
        <v>1276.1662311723876</v>
      </c>
      <c r="O290">
        <f t="shared" si="26"/>
        <v>470254.56704289868</v>
      </c>
      <c r="P290">
        <f t="shared" si="27"/>
        <v>1.2041999999999999</v>
      </c>
      <c r="Q290">
        <f t="shared" si="28"/>
        <v>1.2057</v>
      </c>
      <c r="R290">
        <f t="shared" si="29"/>
        <v>2.4098999999999999</v>
      </c>
    </row>
    <row r="291" spans="2:18" x14ac:dyDescent="0.3">
      <c r="B291" s="8">
        <v>1.325</v>
      </c>
      <c r="C291">
        <v>19</v>
      </c>
      <c r="D291" s="8">
        <f t="shared" si="16"/>
        <v>4.9666633797308457E-2</v>
      </c>
      <c r="E291" s="8">
        <f t="shared" si="15"/>
        <v>7.1898111215927055E-2</v>
      </c>
      <c r="F291" s="8">
        <f t="shared" si="17"/>
        <v>0.91884938697445384</v>
      </c>
      <c r="G291" s="8">
        <f t="shared" si="18"/>
        <v>1.96</v>
      </c>
      <c r="H291">
        <f t="shared" si="19"/>
        <v>11.8</v>
      </c>
      <c r="I291">
        <f t="shared" si="20"/>
        <v>1758125.0404242645</v>
      </c>
      <c r="J291">
        <f t="shared" si="21"/>
        <v>572289.92589291593</v>
      </c>
      <c r="K291">
        <f t="shared" si="22"/>
        <v>566223.25919785176</v>
      </c>
      <c r="L291">
        <f t="shared" si="23"/>
        <v>362.24503995657915</v>
      </c>
      <c r="M291">
        <f t="shared" si="24"/>
        <v>280850.6409925429</v>
      </c>
      <c r="N291">
        <f t="shared" si="25"/>
        <v>1278.4920862212712</v>
      </c>
      <c r="O291">
        <f t="shared" si="26"/>
        <v>471117.83789360058</v>
      </c>
      <c r="P291">
        <f t="shared" si="27"/>
        <v>1.2048000000000001</v>
      </c>
      <c r="Q291">
        <f t="shared" si="28"/>
        <v>1.2079</v>
      </c>
      <c r="R291">
        <f t="shared" si="29"/>
        <v>2.4127000000000001</v>
      </c>
    </row>
    <row r="292" spans="2:18" x14ac:dyDescent="0.3">
      <c r="B292" s="8">
        <v>1.329</v>
      </c>
      <c r="C292">
        <v>19</v>
      </c>
      <c r="D292" s="8">
        <f t="shared" si="16"/>
        <v>4.9697301757206214E-2</v>
      </c>
      <c r="E292" s="8">
        <f t="shared" si="15"/>
        <v>7.1894546541815527E-2</v>
      </c>
      <c r="F292" s="8">
        <f t="shared" si="17"/>
        <v>0.9188038308594636</v>
      </c>
      <c r="G292" s="8">
        <f t="shared" si="18"/>
        <v>1.96</v>
      </c>
      <c r="H292">
        <f t="shared" si="19"/>
        <v>11.8</v>
      </c>
      <c r="I292">
        <f t="shared" si="20"/>
        <v>1758125.0404242645</v>
      </c>
      <c r="J292">
        <f t="shared" si="21"/>
        <v>573663.37016672781</v>
      </c>
      <c r="K292">
        <f t="shared" si="22"/>
        <v>567596.70347166364</v>
      </c>
      <c r="L292">
        <f t="shared" si="23"/>
        <v>363.11439542368589</v>
      </c>
      <c r="M292">
        <f t="shared" si="24"/>
        <v>281619.16915032029</v>
      </c>
      <c r="N292">
        <f t="shared" si="25"/>
        <v>1281.5932262864496</v>
      </c>
      <c r="O292">
        <f t="shared" si="26"/>
        <v>472268.86569453654</v>
      </c>
      <c r="P292">
        <f t="shared" si="27"/>
        <v>1.2058</v>
      </c>
      <c r="Q292">
        <f t="shared" si="28"/>
        <v>1.2109000000000001</v>
      </c>
      <c r="R292">
        <f t="shared" si="29"/>
        <v>2.4167000000000001</v>
      </c>
    </row>
    <row r="293" spans="2:18" x14ac:dyDescent="0.3">
      <c r="B293" s="8">
        <v>1.3320000000000001</v>
      </c>
      <c r="C293">
        <v>19</v>
      </c>
      <c r="D293" s="8">
        <f t="shared" si="16"/>
        <v>4.9720206530691341E-2</v>
      </c>
      <c r="E293" s="8">
        <f t="shared" si="15"/>
        <v>7.1891884253217631E-2</v>
      </c>
      <c r="F293" s="8">
        <f t="shared" si="17"/>
        <v>0.91876980712497658</v>
      </c>
      <c r="G293" s="8">
        <f t="shared" si="18"/>
        <v>1.96</v>
      </c>
      <c r="H293">
        <f t="shared" si="19"/>
        <v>11.8</v>
      </c>
      <c r="I293">
        <f t="shared" si="20"/>
        <v>1758125.0404242645</v>
      </c>
      <c r="J293">
        <f t="shared" si="21"/>
        <v>574693.45337208686</v>
      </c>
      <c r="K293">
        <f t="shared" si="22"/>
        <v>568626.7866770227</v>
      </c>
      <c r="L293">
        <f t="shared" si="23"/>
        <v>363.76641202401601</v>
      </c>
      <c r="M293">
        <f t="shared" si="24"/>
        <v>282195.56526865333</v>
      </c>
      <c r="N293">
        <f t="shared" si="25"/>
        <v>1283.9190813353339</v>
      </c>
      <c r="O293">
        <f t="shared" si="26"/>
        <v>473132.13654523873</v>
      </c>
      <c r="P293">
        <f t="shared" si="27"/>
        <v>1.2064999999999999</v>
      </c>
      <c r="Q293">
        <f t="shared" si="28"/>
        <v>1.2131000000000001</v>
      </c>
      <c r="R293">
        <f t="shared" si="29"/>
        <v>2.4196</v>
      </c>
    </row>
    <row r="294" spans="2:18" x14ac:dyDescent="0.3">
      <c r="B294" s="8">
        <v>1.335</v>
      </c>
      <c r="C294">
        <v>19</v>
      </c>
      <c r="D294" s="8">
        <f t="shared" si="16"/>
        <v>4.974302934184216E-2</v>
      </c>
      <c r="E294" s="8">
        <f t="shared" si="15"/>
        <v>7.1889231521558808E-2</v>
      </c>
      <c r="F294" s="8">
        <f t="shared" si="17"/>
        <v>0.91873590552704465</v>
      </c>
      <c r="G294" s="8">
        <f t="shared" si="18"/>
        <v>1.97</v>
      </c>
      <c r="H294">
        <f t="shared" si="19"/>
        <v>11.8</v>
      </c>
      <c r="I294">
        <f t="shared" si="20"/>
        <v>1772232.821242756</v>
      </c>
      <c r="J294">
        <f t="shared" si="21"/>
        <v>575723.5365774458</v>
      </c>
      <c r="K294">
        <f t="shared" si="22"/>
        <v>569656.86988238164</v>
      </c>
      <c r="L294">
        <f t="shared" si="23"/>
        <v>364.41842862434606</v>
      </c>
      <c r="M294">
        <f t="shared" si="24"/>
        <v>282771.96138698637</v>
      </c>
      <c r="N294">
        <f t="shared" si="25"/>
        <v>1286.2449363842179</v>
      </c>
      <c r="O294">
        <f t="shared" si="26"/>
        <v>473995.4073959408</v>
      </c>
      <c r="P294">
        <f t="shared" si="27"/>
        <v>1.2139</v>
      </c>
      <c r="Q294">
        <f t="shared" si="28"/>
        <v>1.2153</v>
      </c>
      <c r="R294">
        <f t="shared" si="29"/>
        <v>2.4291999999999998</v>
      </c>
    </row>
    <row r="295" spans="2:18" x14ac:dyDescent="0.3">
      <c r="B295" s="8">
        <v>1.339</v>
      </c>
      <c r="C295">
        <v>19</v>
      </c>
      <c r="D295" s="8">
        <f t="shared" si="16"/>
        <v>4.9773333018326663E-2</v>
      </c>
      <c r="E295" s="8">
        <f t="shared" si="15"/>
        <v>7.18857093234848E-2</v>
      </c>
      <c r="F295" s="8">
        <f t="shared" si="17"/>
        <v>0.91869089225080725</v>
      </c>
      <c r="G295" s="8">
        <f t="shared" si="18"/>
        <v>1.97</v>
      </c>
      <c r="H295">
        <f t="shared" si="19"/>
        <v>11.8</v>
      </c>
      <c r="I295">
        <f t="shared" si="20"/>
        <v>1772232.821242756</v>
      </c>
      <c r="J295">
        <f t="shared" si="21"/>
        <v>577096.98085125757</v>
      </c>
      <c r="K295">
        <f t="shared" si="22"/>
        <v>571030.3141561934</v>
      </c>
      <c r="L295">
        <f t="shared" si="23"/>
        <v>365.28778409145275</v>
      </c>
      <c r="M295">
        <f t="shared" si="24"/>
        <v>283540.48954476364</v>
      </c>
      <c r="N295">
        <f t="shared" si="25"/>
        <v>1289.3460764493959</v>
      </c>
      <c r="O295">
        <f t="shared" si="26"/>
        <v>475146.43519687664</v>
      </c>
      <c r="P295">
        <f t="shared" si="27"/>
        <v>1.2148000000000001</v>
      </c>
      <c r="Q295">
        <f t="shared" si="28"/>
        <v>1.2181999999999999</v>
      </c>
      <c r="R295">
        <f t="shared" si="29"/>
        <v>2.4329999999999998</v>
      </c>
    </row>
    <row r="296" spans="2:18" x14ac:dyDescent="0.3">
      <c r="B296" s="8">
        <v>1.3420000000000001</v>
      </c>
      <c r="C296">
        <v>19</v>
      </c>
      <c r="D296" s="8">
        <f t="shared" si="16"/>
        <v>4.9795966286445795E-2</v>
      </c>
      <c r="E296" s="8">
        <f t="shared" si="15"/>
        <v>7.1883078691892421E-2</v>
      </c>
      <c r="F296" s="8">
        <f t="shared" si="17"/>
        <v>0.91865727308911949</v>
      </c>
      <c r="G296" s="8">
        <f t="shared" si="18"/>
        <v>1.97</v>
      </c>
      <c r="H296">
        <f t="shared" si="19"/>
        <v>11.8</v>
      </c>
      <c r="I296">
        <f t="shared" si="20"/>
        <v>1772232.821242756</v>
      </c>
      <c r="J296">
        <f t="shared" si="21"/>
        <v>578127.06405661639</v>
      </c>
      <c r="K296">
        <f t="shared" si="22"/>
        <v>572060.39736155223</v>
      </c>
      <c r="L296">
        <f t="shared" si="23"/>
        <v>365.93980069178275</v>
      </c>
      <c r="M296">
        <f t="shared" si="24"/>
        <v>284116.88566309662</v>
      </c>
      <c r="N296">
        <f t="shared" si="25"/>
        <v>1291.6719314982797</v>
      </c>
      <c r="O296">
        <f t="shared" si="26"/>
        <v>476009.7060475786</v>
      </c>
      <c r="P296">
        <f t="shared" si="27"/>
        <v>1.2155</v>
      </c>
      <c r="Q296">
        <f t="shared" si="28"/>
        <v>1.2203999999999999</v>
      </c>
      <c r="R296">
        <f t="shared" si="29"/>
        <v>2.4359000000000002</v>
      </c>
    </row>
    <row r="297" spans="2:18" x14ac:dyDescent="0.3">
      <c r="B297" s="8">
        <v>1.345</v>
      </c>
      <c r="C297">
        <v>19</v>
      </c>
      <c r="D297" s="8">
        <f t="shared" si="16"/>
        <v>4.9818519043948829E-2</v>
      </c>
      <c r="E297" s="8">
        <f t="shared" si="15"/>
        <v>7.1880457447160151E-2</v>
      </c>
      <c r="F297" s="8">
        <f t="shared" si="17"/>
        <v>0.9186237738903974</v>
      </c>
      <c r="G297" s="8">
        <f t="shared" si="18"/>
        <v>1.97</v>
      </c>
      <c r="H297">
        <f t="shared" si="19"/>
        <v>11.8</v>
      </c>
      <c r="I297">
        <f t="shared" si="20"/>
        <v>1772232.821242756</v>
      </c>
      <c r="J297">
        <f t="shared" si="21"/>
        <v>579157.14726197522</v>
      </c>
      <c r="K297">
        <f t="shared" si="22"/>
        <v>573090.48056691105</v>
      </c>
      <c r="L297">
        <f t="shared" si="23"/>
        <v>366.59181729211275</v>
      </c>
      <c r="M297">
        <f t="shared" si="24"/>
        <v>284693.2817814296</v>
      </c>
      <c r="N297">
        <f t="shared" si="25"/>
        <v>1293.9977865471635</v>
      </c>
      <c r="O297">
        <f t="shared" si="26"/>
        <v>476872.97689828061</v>
      </c>
      <c r="P297">
        <f t="shared" si="27"/>
        <v>1.2161999999999999</v>
      </c>
      <c r="Q297">
        <f t="shared" si="28"/>
        <v>1.2225999999999999</v>
      </c>
      <c r="R297">
        <f t="shared" si="29"/>
        <v>2.4387999999999996</v>
      </c>
    </row>
    <row r="298" spans="2:18" x14ac:dyDescent="0.3">
      <c r="B298" s="8">
        <v>1.3480000000000001</v>
      </c>
      <c r="C298">
        <v>19</v>
      </c>
      <c r="D298" s="8">
        <f t="shared" si="16"/>
        <v>4.9840991719659229E-2</v>
      </c>
      <c r="E298" s="8">
        <f t="shared" si="15"/>
        <v>7.1877845539054602E-2</v>
      </c>
      <c r="F298" s="8">
        <f t="shared" si="17"/>
        <v>0.91859039401266451</v>
      </c>
      <c r="G298" s="8">
        <f t="shared" si="18"/>
        <v>1.97</v>
      </c>
      <c r="H298">
        <f t="shared" si="19"/>
        <v>11.8</v>
      </c>
      <c r="I298">
        <f t="shared" si="20"/>
        <v>1772232.821242756</v>
      </c>
      <c r="J298">
        <f t="shared" si="21"/>
        <v>580187.23046733427</v>
      </c>
      <c r="K298">
        <f t="shared" si="22"/>
        <v>574120.56377227011</v>
      </c>
      <c r="L298">
        <f t="shared" si="23"/>
        <v>367.24383389244292</v>
      </c>
      <c r="M298">
        <f t="shared" si="24"/>
        <v>285269.6778997627</v>
      </c>
      <c r="N298">
        <f t="shared" si="25"/>
        <v>1296.3236415960475</v>
      </c>
      <c r="O298">
        <f t="shared" si="26"/>
        <v>477736.24774898269</v>
      </c>
      <c r="P298">
        <f t="shared" si="27"/>
        <v>1.2169000000000001</v>
      </c>
      <c r="Q298">
        <f t="shared" si="28"/>
        <v>1.2248000000000001</v>
      </c>
      <c r="R298">
        <f t="shared" si="29"/>
        <v>2.4417</v>
      </c>
    </row>
    <row r="299" spans="2:18" x14ac:dyDescent="0.3">
      <c r="B299" s="8">
        <v>1.3520000000000001</v>
      </c>
      <c r="C299">
        <v>19</v>
      </c>
      <c r="D299" s="8">
        <f t="shared" si="16"/>
        <v>4.9870831451083224E-2</v>
      </c>
      <c r="E299" s="8">
        <f t="shared" si="15"/>
        <v>7.1874377432403949E-2</v>
      </c>
      <c r="F299" s="8">
        <f t="shared" si="17"/>
        <v>0.91854607201844207</v>
      </c>
      <c r="G299" s="8">
        <f t="shared" si="18"/>
        <v>1.97</v>
      </c>
      <c r="H299">
        <f t="shared" si="19"/>
        <v>11.8</v>
      </c>
      <c r="I299">
        <f t="shared" si="20"/>
        <v>1772232.821242756</v>
      </c>
      <c r="J299">
        <f t="shared" si="21"/>
        <v>581560.67474114615</v>
      </c>
      <c r="K299">
        <f t="shared" si="22"/>
        <v>575494.00804608199</v>
      </c>
      <c r="L299">
        <f t="shared" si="23"/>
        <v>368.11318935954966</v>
      </c>
      <c r="M299">
        <f t="shared" si="24"/>
        <v>286038.20605754002</v>
      </c>
      <c r="N299">
        <f t="shared" si="25"/>
        <v>1299.4247816612262</v>
      </c>
      <c r="O299">
        <f t="shared" si="26"/>
        <v>478887.27554991876</v>
      </c>
      <c r="P299">
        <f t="shared" si="27"/>
        <v>1.2178</v>
      </c>
      <c r="Q299">
        <f t="shared" si="28"/>
        <v>1.2277</v>
      </c>
      <c r="R299">
        <f t="shared" si="29"/>
        <v>2.4455</v>
      </c>
    </row>
    <row r="300" spans="2:18" x14ac:dyDescent="0.3">
      <c r="B300" s="8">
        <v>1.355</v>
      </c>
      <c r="C300">
        <v>19</v>
      </c>
      <c r="D300" s="8">
        <f t="shared" si="16"/>
        <v>4.9893118919898137E-2</v>
      </c>
      <c r="E300" s="8">
        <f t="shared" si="15"/>
        <v>7.1871787116418756E-2</v>
      </c>
      <c r="F300" s="8">
        <f t="shared" si="17"/>
        <v>0.91851296808546246</v>
      </c>
      <c r="G300" s="8">
        <f t="shared" si="18"/>
        <v>1.98</v>
      </c>
      <c r="H300">
        <f t="shared" si="19"/>
        <v>11.8</v>
      </c>
      <c r="I300">
        <f t="shared" si="20"/>
        <v>1786340.6020612472</v>
      </c>
      <c r="J300">
        <f t="shared" si="21"/>
        <v>582590.75794650509</v>
      </c>
      <c r="K300">
        <f t="shared" si="22"/>
        <v>576524.09125144093</v>
      </c>
      <c r="L300">
        <f t="shared" si="23"/>
        <v>368.76520595987972</v>
      </c>
      <c r="M300">
        <f t="shared" si="24"/>
        <v>286614.60217587306</v>
      </c>
      <c r="N300">
        <f t="shared" si="25"/>
        <v>1301.75063671011</v>
      </c>
      <c r="O300">
        <f t="shared" si="26"/>
        <v>479750.54640062072</v>
      </c>
      <c r="P300">
        <f t="shared" si="27"/>
        <v>1.2253000000000001</v>
      </c>
      <c r="Q300">
        <f t="shared" si="28"/>
        <v>1.2299</v>
      </c>
      <c r="R300">
        <f t="shared" si="29"/>
        <v>2.4552</v>
      </c>
    </row>
    <row r="301" spans="2:18" x14ac:dyDescent="0.3">
      <c r="B301" s="8">
        <v>1.3580000000000001</v>
      </c>
      <c r="C301">
        <v>19</v>
      </c>
      <c r="D301" s="8">
        <f t="shared" si="16"/>
        <v>4.9915327714527023E-2</v>
      </c>
      <c r="E301" s="8">
        <f t="shared" si="15"/>
        <v>7.1869205972189779E-2</v>
      </c>
      <c r="F301" s="8">
        <f t="shared" si="17"/>
        <v>0.91847998136644604</v>
      </c>
      <c r="G301" s="8">
        <f t="shared" si="18"/>
        <v>1.98</v>
      </c>
      <c r="H301">
        <f t="shared" si="19"/>
        <v>11.8</v>
      </c>
      <c r="I301">
        <f t="shared" si="20"/>
        <v>1786340.6020612472</v>
      </c>
      <c r="J301">
        <f t="shared" si="21"/>
        <v>583620.8411518638</v>
      </c>
      <c r="K301">
        <f t="shared" si="22"/>
        <v>577554.17445679964</v>
      </c>
      <c r="L301">
        <f t="shared" si="23"/>
        <v>369.41722256020967</v>
      </c>
      <c r="M301">
        <f t="shared" si="24"/>
        <v>287190.99829420599</v>
      </c>
      <c r="N301">
        <f t="shared" si="25"/>
        <v>1304.0764917589934</v>
      </c>
      <c r="O301">
        <f t="shared" si="26"/>
        <v>480613.81725132256</v>
      </c>
      <c r="P301">
        <f t="shared" si="27"/>
        <v>1.226</v>
      </c>
      <c r="Q301">
        <f t="shared" si="28"/>
        <v>1.2321</v>
      </c>
      <c r="R301">
        <f t="shared" si="29"/>
        <v>2.4581</v>
      </c>
    </row>
    <row r="302" spans="2:18" x14ac:dyDescent="0.3">
      <c r="B302" s="8">
        <v>1.361</v>
      </c>
      <c r="C302">
        <v>19</v>
      </c>
      <c r="D302" s="8">
        <f t="shared" si="16"/>
        <v>4.9937458250812632E-2</v>
      </c>
      <c r="E302" s="8">
        <f t="shared" si="15"/>
        <v>7.1866633951016015E-2</v>
      </c>
      <c r="F302" s="8">
        <f t="shared" si="17"/>
        <v>0.91844711123899991</v>
      </c>
      <c r="G302" s="8">
        <f t="shared" si="18"/>
        <v>1.98</v>
      </c>
      <c r="H302">
        <f t="shared" si="19"/>
        <v>11.8</v>
      </c>
      <c r="I302">
        <f t="shared" si="20"/>
        <v>1786340.6020612472</v>
      </c>
      <c r="J302">
        <f t="shared" si="21"/>
        <v>584650.92435722286</v>
      </c>
      <c r="K302">
        <f t="shared" si="22"/>
        <v>578584.25766215869</v>
      </c>
      <c r="L302">
        <f t="shared" si="23"/>
        <v>370.06923916053984</v>
      </c>
      <c r="M302">
        <f t="shared" si="24"/>
        <v>287767.39441253908</v>
      </c>
      <c r="N302">
        <f t="shared" si="25"/>
        <v>1306.4023468078778</v>
      </c>
      <c r="O302">
        <f t="shared" si="26"/>
        <v>481477.08810202481</v>
      </c>
      <c r="P302">
        <f t="shared" si="27"/>
        <v>1.2266999999999999</v>
      </c>
      <c r="Q302">
        <f t="shared" si="28"/>
        <v>1.2343</v>
      </c>
      <c r="R302">
        <f t="shared" si="29"/>
        <v>2.4609999999999999</v>
      </c>
    </row>
    <row r="303" spans="2:18" x14ac:dyDescent="0.3">
      <c r="B303" s="8">
        <v>1.365</v>
      </c>
      <c r="C303">
        <v>19</v>
      </c>
      <c r="D303" s="8">
        <f t="shared" si="16"/>
        <v>4.9966844610592247E-2</v>
      </c>
      <c r="E303" s="8">
        <f t="shared" si="15"/>
        <v>7.1863218697341316E-2</v>
      </c>
      <c r="F303" s="8">
        <f t="shared" si="17"/>
        <v>0.91840346469958056</v>
      </c>
      <c r="G303" s="8">
        <f t="shared" si="18"/>
        <v>1.98</v>
      </c>
      <c r="H303">
        <f t="shared" si="19"/>
        <v>11.8</v>
      </c>
      <c r="I303">
        <f t="shared" si="20"/>
        <v>1786340.6020612472</v>
      </c>
      <c r="J303">
        <f t="shared" si="21"/>
        <v>586024.36863103474</v>
      </c>
      <c r="K303">
        <f t="shared" si="22"/>
        <v>579957.70193597057</v>
      </c>
      <c r="L303">
        <f t="shared" si="23"/>
        <v>370.93859462764658</v>
      </c>
      <c r="M303">
        <f t="shared" si="24"/>
        <v>288535.92257031647</v>
      </c>
      <c r="N303">
        <f t="shared" si="25"/>
        <v>1309.5034868730563</v>
      </c>
      <c r="O303">
        <f t="shared" si="26"/>
        <v>482628.11590296082</v>
      </c>
      <c r="P303">
        <f t="shared" si="27"/>
        <v>1.2276</v>
      </c>
      <c r="Q303">
        <f t="shared" si="28"/>
        <v>1.2372000000000001</v>
      </c>
      <c r="R303">
        <f t="shared" si="29"/>
        <v>2.4648000000000003</v>
      </c>
    </row>
    <row r="304" spans="2:18" x14ac:dyDescent="0.3">
      <c r="B304" s="8">
        <v>1.3680000000000001</v>
      </c>
      <c r="C304">
        <v>19</v>
      </c>
      <c r="D304" s="8">
        <f t="shared" si="16"/>
        <v>4.9988794144858059E-2</v>
      </c>
      <c r="E304" s="8">
        <f t="shared" si="15"/>
        <v>7.1860667775836481E-2</v>
      </c>
      <c r="F304" s="8">
        <f t="shared" si="17"/>
        <v>0.91837086422341652</v>
      </c>
      <c r="G304" s="8">
        <f t="shared" si="18"/>
        <v>1.98</v>
      </c>
      <c r="H304">
        <f t="shared" si="19"/>
        <v>11.8</v>
      </c>
      <c r="I304">
        <f t="shared" si="20"/>
        <v>1786340.6020612472</v>
      </c>
      <c r="J304">
        <f t="shared" si="21"/>
        <v>587054.45183639356</v>
      </c>
      <c r="K304">
        <f t="shared" si="22"/>
        <v>580987.7851413294</v>
      </c>
      <c r="L304">
        <f t="shared" si="23"/>
        <v>371.59061122797652</v>
      </c>
      <c r="M304">
        <f t="shared" si="24"/>
        <v>289112.31868864933</v>
      </c>
      <c r="N304">
        <f t="shared" si="25"/>
        <v>1311.8293419219399</v>
      </c>
      <c r="O304">
        <f t="shared" si="26"/>
        <v>483491.38675366272</v>
      </c>
      <c r="P304">
        <f t="shared" si="27"/>
        <v>1.2282999999999999</v>
      </c>
      <c r="Q304">
        <f t="shared" si="28"/>
        <v>1.2394000000000001</v>
      </c>
      <c r="R304">
        <f t="shared" si="29"/>
        <v>2.4676999999999998</v>
      </c>
    </row>
    <row r="305" spans="2:18" x14ac:dyDescent="0.3">
      <c r="B305" s="8">
        <v>1.371</v>
      </c>
      <c r="C305">
        <v>19</v>
      </c>
      <c r="D305" s="8">
        <f t="shared" si="16"/>
        <v>5.0010666785938407E-2</v>
      </c>
      <c r="E305" s="8">
        <f t="shared" si="15"/>
        <v>7.1858125817525972E-2</v>
      </c>
      <c r="F305" s="8">
        <f t="shared" si="17"/>
        <v>0.91833837829581944</v>
      </c>
      <c r="G305" s="8">
        <f t="shared" si="18"/>
        <v>1.99</v>
      </c>
      <c r="H305">
        <f t="shared" si="19"/>
        <v>11.8</v>
      </c>
      <c r="I305">
        <f t="shared" si="20"/>
        <v>1800448.3828797382</v>
      </c>
      <c r="J305">
        <f t="shared" si="21"/>
        <v>588084.5350417525</v>
      </c>
      <c r="K305">
        <f t="shared" si="22"/>
        <v>582017.86834668834</v>
      </c>
      <c r="L305">
        <f t="shared" si="23"/>
        <v>372.24262782830658</v>
      </c>
      <c r="M305">
        <f t="shared" si="24"/>
        <v>289688.71480698237</v>
      </c>
      <c r="N305">
        <f t="shared" si="25"/>
        <v>1314.1551969708237</v>
      </c>
      <c r="O305">
        <f t="shared" si="26"/>
        <v>484354.65760436468</v>
      </c>
      <c r="P305">
        <f t="shared" si="27"/>
        <v>1.2358</v>
      </c>
      <c r="Q305">
        <f t="shared" si="28"/>
        <v>1.2416</v>
      </c>
      <c r="R305">
        <f t="shared" si="29"/>
        <v>2.4774000000000003</v>
      </c>
    </row>
    <row r="306" spans="2:18" x14ac:dyDescent="0.3">
      <c r="B306" s="8">
        <v>1.375</v>
      </c>
      <c r="C306">
        <v>19</v>
      </c>
      <c r="D306" s="8">
        <f t="shared" si="16"/>
        <v>5.0039711392498368E-2</v>
      </c>
      <c r="E306" s="8">
        <f t="shared" si="15"/>
        <v>7.1854750400946146E-2</v>
      </c>
      <c r="F306" s="8">
        <f t="shared" si="17"/>
        <v>0.91829524086977721</v>
      </c>
      <c r="G306" s="8">
        <f t="shared" si="18"/>
        <v>1.99</v>
      </c>
      <c r="H306">
        <f t="shared" si="19"/>
        <v>11.8</v>
      </c>
      <c r="I306">
        <f t="shared" si="20"/>
        <v>1800448.3828797382</v>
      </c>
      <c r="J306">
        <f t="shared" si="21"/>
        <v>589457.97931556439</v>
      </c>
      <c r="K306">
        <f t="shared" si="22"/>
        <v>583391.31262050022</v>
      </c>
      <c r="L306">
        <f t="shared" si="23"/>
        <v>373.11198329541338</v>
      </c>
      <c r="M306">
        <f t="shared" si="24"/>
        <v>290457.24296475976</v>
      </c>
      <c r="N306">
        <f t="shared" si="25"/>
        <v>1317.2563370360024</v>
      </c>
      <c r="O306">
        <f t="shared" si="26"/>
        <v>485505.68540530081</v>
      </c>
      <c r="P306">
        <f t="shared" si="27"/>
        <v>1.2366999999999999</v>
      </c>
      <c r="Q306">
        <f t="shared" si="28"/>
        <v>1.2445999999999999</v>
      </c>
      <c r="R306">
        <f t="shared" si="29"/>
        <v>2.4813000000000001</v>
      </c>
    </row>
    <row r="307" spans="2:18" x14ac:dyDescent="0.3">
      <c r="B307" s="8">
        <v>1.3779999999999999</v>
      </c>
      <c r="C307">
        <v>18</v>
      </c>
      <c r="D307" s="8">
        <f t="shared" si="16"/>
        <v>5.0061406179863786E-2</v>
      </c>
      <c r="E307" s="8">
        <f t="shared" si="15"/>
        <v>7.1852229173668444E-2</v>
      </c>
      <c r="F307" s="8">
        <f t="shared" si="17"/>
        <v>0.91826301988233594</v>
      </c>
      <c r="G307" s="8">
        <f t="shared" si="18"/>
        <v>1.99</v>
      </c>
      <c r="H307">
        <f t="shared" si="19"/>
        <v>11.3</v>
      </c>
      <c r="I307">
        <f t="shared" si="20"/>
        <v>1707764.582039495</v>
      </c>
      <c r="J307">
        <f t="shared" si="21"/>
        <v>590488.06252092321</v>
      </c>
      <c r="K307">
        <f t="shared" si="22"/>
        <v>584421.39582585904</v>
      </c>
      <c r="L307">
        <f t="shared" si="23"/>
        <v>373.76399989574338</v>
      </c>
      <c r="M307">
        <f t="shared" si="24"/>
        <v>291033.63908309274</v>
      </c>
      <c r="N307">
        <f t="shared" si="25"/>
        <v>1319.5821920848862</v>
      </c>
      <c r="O307">
        <f t="shared" si="26"/>
        <v>486368.95625600277</v>
      </c>
      <c r="P307">
        <f t="shared" si="27"/>
        <v>1.1929000000000001</v>
      </c>
      <c r="Q307">
        <f t="shared" si="28"/>
        <v>1.2467999999999999</v>
      </c>
      <c r="R307">
        <f t="shared" si="29"/>
        <v>2.4397000000000002</v>
      </c>
    </row>
    <row r="308" spans="2:18" x14ac:dyDescent="0.3">
      <c r="B308" s="8">
        <v>1.381</v>
      </c>
      <c r="C308">
        <v>18</v>
      </c>
      <c r="D308" s="8">
        <f t="shared" si="16"/>
        <v>5.0083025407633049E-2</v>
      </c>
      <c r="E308" s="8">
        <f t="shared" si="15"/>
        <v>7.1849716753448145E-2</v>
      </c>
      <c r="F308" s="8">
        <f t="shared" si="17"/>
        <v>0.91823091144805025</v>
      </c>
      <c r="G308" s="8">
        <f t="shared" si="18"/>
        <v>1.99</v>
      </c>
      <c r="H308">
        <f t="shared" si="19"/>
        <v>11.3</v>
      </c>
      <c r="I308">
        <f t="shared" si="20"/>
        <v>1707764.582039495</v>
      </c>
      <c r="J308">
        <f t="shared" si="21"/>
        <v>591518.14572628215</v>
      </c>
      <c r="K308">
        <f t="shared" si="22"/>
        <v>585451.47903121798</v>
      </c>
      <c r="L308">
        <f t="shared" si="23"/>
        <v>374.41601649607344</v>
      </c>
      <c r="M308">
        <f t="shared" si="24"/>
        <v>291610.03520142578</v>
      </c>
      <c r="N308">
        <f t="shared" si="25"/>
        <v>1321.90804713377</v>
      </c>
      <c r="O308">
        <f t="shared" si="26"/>
        <v>487232.22710670478</v>
      </c>
      <c r="P308">
        <f t="shared" si="27"/>
        <v>1.1936</v>
      </c>
      <c r="Q308">
        <f t="shared" si="28"/>
        <v>1.2490000000000001</v>
      </c>
      <c r="R308">
        <f t="shared" si="29"/>
        <v>2.4426000000000001</v>
      </c>
    </row>
    <row r="309" spans="2:18" x14ac:dyDescent="0.3">
      <c r="B309" s="8">
        <v>1.3839999999999999</v>
      </c>
      <c r="C309">
        <v>18</v>
      </c>
      <c r="D309" s="8">
        <f t="shared" si="16"/>
        <v>5.0104569469863532E-2</v>
      </c>
      <c r="E309" s="8">
        <f t="shared" si="15"/>
        <v>7.1847213094154094E-2</v>
      </c>
      <c r="F309" s="8">
        <f t="shared" si="17"/>
        <v>0.91819891497736927</v>
      </c>
      <c r="G309" s="8">
        <f t="shared" si="18"/>
        <v>1.99</v>
      </c>
      <c r="H309">
        <f t="shared" si="19"/>
        <v>11.3</v>
      </c>
      <c r="I309">
        <f t="shared" si="20"/>
        <v>1707764.582039495</v>
      </c>
      <c r="J309">
        <f t="shared" si="21"/>
        <v>592548.22893164109</v>
      </c>
      <c r="K309">
        <f t="shared" si="22"/>
        <v>586481.56223657692</v>
      </c>
      <c r="L309">
        <f t="shared" si="23"/>
        <v>375.0680330964035</v>
      </c>
      <c r="M309">
        <f t="shared" si="24"/>
        <v>292186.43131975876</v>
      </c>
      <c r="N309">
        <f t="shared" si="25"/>
        <v>1324.233902182654</v>
      </c>
      <c r="O309">
        <f t="shared" si="26"/>
        <v>488095.49795740686</v>
      </c>
      <c r="P309">
        <f t="shared" si="27"/>
        <v>1.1942999999999999</v>
      </c>
      <c r="Q309">
        <f t="shared" si="28"/>
        <v>1.2512000000000001</v>
      </c>
      <c r="R309">
        <f t="shared" si="29"/>
        <v>2.4455</v>
      </c>
    </row>
    <row r="310" spans="2:18" x14ac:dyDescent="0.3">
      <c r="B310" s="8">
        <v>1.3879999999999999</v>
      </c>
      <c r="C310">
        <v>18</v>
      </c>
      <c r="D310" s="8">
        <f t="shared" si="16"/>
        <v>5.0133178637967478E-2</v>
      </c>
      <c r="E310" s="8">
        <f t="shared" si="15"/>
        <v>7.1843888430740188E-2</v>
      </c>
      <c r="F310" s="8">
        <f t="shared" si="17"/>
        <v>0.9181564261708054</v>
      </c>
      <c r="G310" s="8">
        <f t="shared" si="18"/>
        <v>1.99</v>
      </c>
      <c r="H310">
        <f t="shared" si="19"/>
        <v>11.3</v>
      </c>
      <c r="I310">
        <f t="shared" si="20"/>
        <v>1707764.582039495</v>
      </c>
      <c r="J310">
        <f t="shared" si="21"/>
        <v>593921.67320545285</v>
      </c>
      <c r="K310">
        <f t="shared" si="22"/>
        <v>587855.00651038869</v>
      </c>
      <c r="L310">
        <f t="shared" si="23"/>
        <v>375.93738856351018</v>
      </c>
      <c r="M310">
        <f t="shared" si="24"/>
        <v>292954.95947753609</v>
      </c>
      <c r="N310">
        <f t="shared" si="25"/>
        <v>1327.335042247832</v>
      </c>
      <c r="O310">
        <f t="shared" si="26"/>
        <v>489246.52575834264</v>
      </c>
      <c r="P310">
        <f t="shared" si="27"/>
        <v>1.1952</v>
      </c>
      <c r="Q310">
        <f t="shared" si="28"/>
        <v>1.2541</v>
      </c>
      <c r="R310">
        <f t="shared" si="29"/>
        <v>2.4493</v>
      </c>
    </row>
    <row r="311" spans="2:18" x14ac:dyDescent="0.3">
      <c r="B311" s="8">
        <v>1.391</v>
      </c>
      <c r="C311">
        <v>18</v>
      </c>
      <c r="D311" s="8">
        <f t="shared" si="16"/>
        <v>5.0154548831065321E-2</v>
      </c>
      <c r="E311" s="8">
        <f t="shared" si="15"/>
        <v>7.1841405036014716E-2</v>
      </c>
      <c r="F311" s="8">
        <f t="shared" si="17"/>
        <v>0.91812468867892238</v>
      </c>
      <c r="G311" s="8">
        <f t="shared" si="18"/>
        <v>2</v>
      </c>
      <c r="H311">
        <f t="shared" si="19"/>
        <v>11.3</v>
      </c>
      <c r="I311">
        <f t="shared" si="20"/>
        <v>1721140.2834567789</v>
      </c>
      <c r="J311">
        <f t="shared" si="21"/>
        <v>594951.75641081179</v>
      </c>
      <c r="K311">
        <f t="shared" si="22"/>
        <v>588885.08971574763</v>
      </c>
      <c r="L311">
        <f t="shared" si="23"/>
        <v>376.5894051638403</v>
      </c>
      <c r="M311">
        <f t="shared" si="24"/>
        <v>293531.35559586913</v>
      </c>
      <c r="N311">
        <f t="shared" si="25"/>
        <v>1329.660897296716</v>
      </c>
      <c r="O311">
        <f t="shared" si="26"/>
        <v>490109.79660904472</v>
      </c>
      <c r="P311">
        <f t="shared" si="27"/>
        <v>1.2022999999999999</v>
      </c>
      <c r="Q311">
        <f t="shared" si="28"/>
        <v>1.2563</v>
      </c>
      <c r="R311">
        <f t="shared" si="29"/>
        <v>2.4585999999999997</v>
      </c>
    </row>
    <row r="312" spans="2:18" x14ac:dyDescent="0.3">
      <c r="B312" s="8">
        <v>1.3939999999999999</v>
      </c>
      <c r="C312">
        <v>18</v>
      </c>
      <c r="D312" s="8">
        <f t="shared" si="16"/>
        <v>5.0175845152526349E-2</v>
      </c>
      <c r="E312" s="8">
        <f t="shared" si="15"/>
        <v>7.1838930250758423E-2</v>
      </c>
      <c r="F312" s="8">
        <f t="shared" si="17"/>
        <v>0.91809306121504086</v>
      </c>
      <c r="G312" s="8">
        <f t="shared" si="18"/>
        <v>2</v>
      </c>
      <c r="H312">
        <f t="shared" si="19"/>
        <v>11.3</v>
      </c>
      <c r="I312">
        <f t="shared" si="20"/>
        <v>1721140.2834567789</v>
      </c>
      <c r="J312">
        <f t="shared" si="21"/>
        <v>595981.83961617074</v>
      </c>
      <c r="K312">
        <f t="shared" si="22"/>
        <v>589915.17292110657</v>
      </c>
      <c r="L312">
        <f t="shared" si="23"/>
        <v>377.24142176417035</v>
      </c>
      <c r="M312">
        <f t="shared" si="24"/>
        <v>294107.75171420217</v>
      </c>
      <c r="N312">
        <f t="shared" si="25"/>
        <v>1331.9867523456001</v>
      </c>
      <c r="O312">
        <f t="shared" si="26"/>
        <v>490973.06745974679</v>
      </c>
      <c r="P312">
        <f t="shared" si="27"/>
        <v>1.2030000000000001</v>
      </c>
      <c r="Q312">
        <f t="shared" si="28"/>
        <v>1.2585</v>
      </c>
      <c r="R312">
        <f t="shared" si="29"/>
        <v>2.4615</v>
      </c>
    </row>
    <row r="313" spans="2:18" x14ac:dyDescent="0.3">
      <c r="B313" s="8">
        <v>1.3979999999999999</v>
      </c>
      <c r="C313">
        <v>18</v>
      </c>
      <c r="D313" s="8">
        <f t="shared" si="16"/>
        <v>5.0204125996886E-2</v>
      </c>
      <c r="E313" s="8">
        <f t="shared" si="15"/>
        <v>7.1835643852283401E-2</v>
      </c>
      <c r="F313" s="8">
        <f t="shared" si="17"/>
        <v>0.91805106142988568</v>
      </c>
      <c r="G313" s="8">
        <f t="shared" si="18"/>
        <v>2</v>
      </c>
      <c r="H313">
        <f t="shared" si="19"/>
        <v>11.3</v>
      </c>
      <c r="I313">
        <f t="shared" si="20"/>
        <v>1721140.2834567789</v>
      </c>
      <c r="J313">
        <f t="shared" si="21"/>
        <v>597355.28388998262</v>
      </c>
      <c r="K313">
        <f t="shared" si="22"/>
        <v>591288.61719491845</v>
      </c>
      <c r="L313">
        <f t="shared" si="23"/>
        <v>378.11077723127715</v>
      </c>
      <c r="M313">
        <f t="shared" si="24"/>
        <v>294876.27987197955</v>
      </c>
      <c r="N313">
        <f t="shared" si="25"/>
        <v>1335.0878924107785</v>
      </c>
      <c r="O313">
        <f t="shared" si="26"/>
        <v>492124.09526068281</v>
      </c>
      <c r="P313">
        <f t="shared" si="27"/>
        <v>1.2039</v>
      </c>
      <c r="Q313">
        <f t="shared" si="28"/>
        <v>1.2614000000000001</v>
      </c>
      <c r="R313">
        <f t="shared" si="29"/>
        <v>2.4653</v>
      </c>
    </row>
    <row r="314" spans="2:18" x14ac:dyDescent="0.3">
      <c r="B314" s="8">
        <v>1.401</v>
      </c>
      <c r="C314">
        <v>18</v>
      </c>
      <c r="D314" s="8">
        <f t="shared" si="16"/>
        <v>5.0225251433654076E-2</v>
      </c>
      <c r="E314" s="8">
        <f t="shared" si="15"/>
        <v>7.1833188982282026E-2</v>
      </c>
      <c r="F314" s="8">
        <f t="shared" si="17"/>
        <v>0.91801968848061466</v>
      </c>
      <c r="G314" s="8">
        <f t="shared" si="18"/>
        <v>2</v>
      </c>
      <c r="H314">
        <f t="shared" si="19"/>
        <v>11.3</v>
      </c>
      <c r="I314">
        <f t="shared" si="20"/>
        <v>1721140.2834567789</v>
      </c>
      <c r="J314">
        <f t="shared" si="21"/>
        <v>598385.36709534144</v>
      </c>
      <c r="K314">
        <f t="shared" si="22"/>
        <v>592318.70040027727</v>
      </c>
      <c r="L314">
        <f t="shared" si="23"/>
        <v>378.7627938316071</v>
      </c>
      <c r="M314">
        <f t="shared" si="24"/>
        <v>295452.67599031248</v>
      </c>
      <c r="N314">
        <f t="shared" si="25"/>
        <v>1337.4137474596623</v>
      </c>
      <c r="O314">
        <f t="shared" si="26"/>
        <v>492987.36611138482</v>
      </c>
      <c r="P314">
        <f t="shared" si="27"/>
        <v>1.2045999999999999</v>
      </c>
      <c r="Q314">
        <f t="shared" si="28"/>
        <v>1.2636000000000001</v>
      </c>
      <c r="R314">
        <f t="shared" si="29"/>
        <v>2.4681999999999999</v>
      </c>
    </row>
    <row r="315" spans="2:18" x14ac:dyDescent="0.3">
      <c r="B315" s="8">
        <v>1.4039999999999999</v>
      </c>
      <c r="C315">
        <v>18</v>
      </c>
      <c r="D315" s="8">
        <f t="shared" si="16"/>
        <v>5.024630426315916E-2</v>
      </c>
      <c r="E315" s="8">
        <f t="shared" si="15"/>
        <v>7.1830742573773254E-2</v>
      </c>
      <c r="F315" s="8">
        <f t="shared" si="17"/>
        <v>0.91798842366822164</v>
      </c>
      <c r="G315" s="8">
        <f t="shared" si="18"/>
        <v>2</v>
      </c>
      <c r="H315">
        <f t="shared" si="19"/>
        <v>11.3</v>
      </c>
      <c r="I315">
        <f t="shared" si="20"/>
        <v>1721140.2834567789</v>
      </c>
      <c r="J315">
        <f t="shared" si="21"/>
        <v>599415.45030070038</v>
      </c>
      <c r="K315">
        <f t="shared" si="22"/>
        <v>593348.78360563621</v>
      </c>
      <c r="L315">
        <f t="shared" si="23"/>
        <v>379.41481043193716</v>
      </c>
      <c r="M315">
        <f t="shared" si="24"/>
        <v>296029.07210864546</v>
      </c>
      <c r="N315">
        <f t="shared" si="25"/>
        <v>1339.7396025085461</v>
      </c>
      <c r="O315">
        <f t="shared" si="26"/>
        <v>493850.63696208678</v>
      </c>
      <c r="P315">
        <f t="shared" si="27"/>
        <v>1.2053</v>
      </c>
      <c r="Q315">
        <f t="shared" si="28"/>
        <v>1.2658</v>
      </c>
      <c r="R315">
        <f t="shared" si="29"/>
        <v>2.4710999999999999</v>
      </c>
    </row>
    <row r="316" spans="2:18" x14ac:dyDescent="0.3">
      <c r="B316" s="8">
        <v>1.407</v>
      </c>
      <c r="C316">
        <v>18</v>
      </c>
      <c r="D316" s="8">
        <f t="shared" si="16"/>
        <v>5.0267284859081385E-2</v>
      </c>
      <c r="E316" s="8">
        <f t="shared" si="15"/>
        <v>7.182830458302765E-2</v>
      </c>
      <c r="F316" s="8">
        <f t="shared" si="17"/>
        <v>0.91795726643384978</v>
      </c>
      <c r="G316" s="8">
        <f t="shared" si="18"/>
        <v>2.0100000000000002</v>
      </c>
      <c r="H316">
        <f t="shared" si="19"/>
        <v>11.3</v>
      </c>
      <c r="I316">
        <f t="shared" si="20"/>
        <v>1734515.9848740629</v>
      </c>
      <c r="J316">
        <f t="shared" si="21"/>
        <v>600445.5335060592</v>
      </c>
      <c r="K316">
        <f t="shared" si="22"/>
        <v>594378.86681099504</v>
      </c>
      <c r="L316">
        <f t="shared" si="23"/>
        <v>380.06682703226721</v>
      </c>
      <c r="M316">
        <f t="shared" si="24"/>
        <v>296605.4682269785</v>
      </c>
      <c r="N316">
        <f t="shared" si="25"/>
        <v>1342.0654575574299</v>
      </c>
      <c r="O316">
        <f t="shared" si="26"/>
        <v>494713.90781278879</v>
      </c>
      <c r="P316">
        <f t="shared" si="27"/>
        <v>1.2123999999999999</v>
      </c>
      <c r="Q316">
        <f t="shared" si="28"/>
        <v>1.268</v>
      </c>
      <c r="R316">
        <f t="shared" si="29"/>
        <v>2.4803999999999999</v>
      </c>
    </row>
    <row r="317" spans="2:18" x14ac:dyDescent="0.3">
      <c r="B317" s="8">
        <v>1.411</v>
      </c>
      <c r="C317">
        <v>17</v>
      </c>
      <c r="D317" s="8">
        <f t="shared" si="16"/>
        <v>5.0295147264703084E-2</v>
      </c>
      <c r="E317" s="8">
        <f t="shared" si="15"/>
        <v>7.1825066947981409E-2</v>
      </c>
      <c r="F317" s="8">
        <f t="shared" si="17"/>
        <v>0.91791588983956685</v>
      </c>
      <c r="G317" s="8">
        <f t="shared" si="18"/>
        <v>2.0100000000000002</v>
      </c>
      <c r="H317">
        <f t="shared" si="19"/>
        <v>10.9</v>
      </c>
      <c r="I317">
        <f t="shared" si="20"/>
        <v>1642100.7518099367</v>
      </c>
      <c r="J317">
        <f t="shared" si="21"/>
        <v>601818.97777987109</v>
      </c>
      <c r="K317">
        <f t="shared" si="22"/>
        <v>595752.31108480692</v>
      </c>
      <c r="L317">
        <f t="shared" si="23"/>
        <v>380.93618249937396</v>
      </c>
      <c r="M317">
        <f t="shared" si="24"/>
        <v>297373.99638475582</v>
      </c>
      <c r="N317">
        <f t="shared" si="25"/>
        <v>1345.1665976226084</v>
      </c>
      <c r="O317">
        <f t="shared" si="26"/>
        <v>495864.93561372481</v>
      </c>
      <c r="P317">
        <f t="shared" si="27"/>
        <v>1.169</v>
      </c>
      <c r="Q317">
        <f t="shared" si="28"/>
        <v>1.2708999999999999</v>
      </c>
      <c r="R317">
        <f t="shared" si="29"/>
        <v>2.4398999999999997</v>
      </c>
    </row>
    <row r="318" spans="2:18" x14ac:dyDescent="0.3">
      <c r="B318" s="8">
        <v>1.4139999999999999</v>
      </c>
      <c r="C318">
        <v>17</v>
      </c>
      <c r="D318" s="8">
        <f t="shared" si="16"/>
        <v>5.0315960754460709E-2</v>
      </c>
      <c r="E318" s="8">
        <f t="shared" si="15"/>
        <v>7.1822648430314245E-2</v>
      </c>
      <c r="F318" s="8">
        <f t="shared" si="17"/>
        <v>0.91788498146884234</v>
      </c>
      <c r="G318" s="8">
        <f t="shared" si="18"/>
        <v>2.0100000000000002</v>
      </c>
      <c r="H318">
        <f t="shared" si="19"/>
        <v>10.9</v>
      </c>
      <c r="I318">
        <f t="shared" si="20"/>
        <v>1642100.7518099367</v>
      </c>
      <c r="J318">
        <f t="shared" si="21"/>
        <v>602849.06098523003</v>
      </c>
      <c r="K318">
        <f t="shared" si="22"/>
        <v>596782.39429016586</v>
      </c>
      <c r="L318">
        <f t="shared" si="23"/>
        <v>381.58819909970401</v>
      </c>
      <c r="M318">
        <f t="shared" si="24"/>
        <v>297950.39250308886</v>
      </c>
      <c r="N318">
        <f t="shared" si="25"/>
        <v>1347.4924526714922</v>
      </c>
      <c r="O318">
        <f t="shared" si="26"/>
        <v>496728.20646442677</v>
      </c>
      <c r="P318">
        <f t="shared" si="27"/>
        <v>1.1697</v>
      </c>
      <c r="Q318">
        <f t="shared" si="28"/>
        <v>1.2730999999999999</v>
      </c>
      <c r="R318">
        <f t="shared" si="29"/>
        <v>2.4428000000000001</v>
      </c>
    </row>
    <row r="319" spans="2:18" x14ac:dyDescent="0.3">
      <c r="B319" s="8">
        <v>1.417</v>
      </c>
      <c r="C319">
        <v>17</v>
      </c>
      <c r="D319" s="8">
        <f t="shared" si="16"/>
        <v>5.0336703237870616E-2</v>
      </c>
      <c r="E319" s="8">
        <f t="shared" si="15"/>
        <v>7.1820238186809562E-2</v>
      </c>
      <c r="F319" s="8">
        <f t="shared" si="17"/>
        <v>0.91785417884093901</v>
      </c>
      <c r="G319" s="8">
        <f t="shared" si="18"/>
        <v>2.0100000000000002</v>
      </c>
      <c r="H319">
        <f t="shared" si="19"/>
        <v>10.9</v>
      </c>
      <c r="I319">
        <f t="shared" si="20"/>
        <v>1642100.7518099367</v>
      </c>
      <c r="J319">
        <f t="shared" si="21"/>
        <v>603879.14419058897</v>
      </c>
      <c r="K319">
        <f t="shared" si="22"/>
        <v>597812.4774955248</v>
      </c>
      <c r="L319">
        <f t="shared" si="23"/>
        <v>382.24021570003407</v>
      </c>
      <c r="M319">
        <f t="shared" si="24"/>
        <v>298526.7886214219</v>
      </c>
      <c r="N319">
        <f t="shared" si="25"/>
        <v>1349.8183077203762</v>
      </c>
      <c r="O319">
        <f t="shared" si="26"/>
        <v>497591.47731512884</v>
      </c>
      <c r="P319">
        <f t="shared" si="27"/>
        <v>1.1702999999999999</v>
      </c>
      <c r="Q319">
        <f t="shared" si="28"/>
        <v>1.2753000000000001</v>
      </c>
      <c r="R319">
        <f t="shared" si="29"/>
        <v>2.4455999999999998</v>
      </c>
    </row>
    <row r="320" spans="2:18" x14ac:dyDescent="0.3">
      <c r="B320" s="8">
        <v>1.42</v>
      </c>
      <c r="C320">
        <v>17</v>
      </c>
      <c r="D320" s="8">
        <f>(($B$12*(B320*$B$20)*$B$4*$B$14/3600)/($B$12*(B320*$B$20+1)*$B$4*$B$14/3600))*SQRT($B$25/$B$26)</f>
        <v>5.0357375077677055E-2</v>
      </c>
      <c r="E320" s="8">
        <f t="shared" si="15"/>
        <v>7.181783617502624E-2</v>
      </c>
      <c r="F320" s="8">
        <f t="shared" si="17"/>
        <v>0.91782348141346437</v>
      </c>
      <c r="G320" s="8">
        <f t="shared" si="18"/>
        <v>2.0100000000000002</v>
      </c>
      <c r="H320">
        <f t="shared" si="19"/>
        <v>10.9</v>
      </c>
      <c r="I320">
        <f t="shared" si="20"/>
        <v>1642100.7518099367</v>
      </c>
      <c r="J320">
        <f t="shared" si="21"/>
        <v>604909.22739594779</v>
      </c>
      <c r="K320">
        <f t="shared" si="22"/>
        <v>598842.56070088362</v>
      </c>
      <c r="L320">
        <f t="shared" si="23"/>
        <v>382.89223230036413</v>
      </c>
      <c r="M320">
        <f t="shared" si="24"/>
        <v>299103.18473975488</v>
      </c>
      <c r="N320">
        <f t="shared" si="25"/>
        <v>1352.14416276926</v>
      </c>
      <c r="O320">
        <f t="shared" si="26"/>
        <v>498454.7481658308</v>
      </c>
      <c r="P320">
        <f t="shared" si="27"/>
        <v>1.171</v>
      </c>
      <c r="Q320">
        <f t="shared" si="28"/>
        <v>1.2775000000000001</v>
      </c>
      <c r="R320">
        <f t="shared" si="29"/>
        <v>2.4485000000000001</v>
      </c>
    </row>
    <row r="321" spans="2:18" x14ac:dyDescent="0.3">
      <c r="B321" s="8">
        <v>1.4239999999999999</v>
      </c>
      <c r="C321">
        <v>17</v>
      </c>
      <c r="D321" s="8">
        <f t="shared" ref="D321:D384" si="30">(($B$12*(B321*$B$20)*$B$4*$B$14/3600)/($B$12*(B321*$B$20+1)*$B$4*$B$14/3600))*SQRT($B$25/$B$26)</f>
        <v>5.0384828263051844E-2</v>
      </c>
      <c r="E321" s="8">
        <f t="shared" si="15"/>
        <v>7.1814646224737211E-2</v>
      </c>
      <c r="F321" s="8">
        <f t="shared" si="17"/>
        <v>0.91778271422475821</v>
      </c>
      <c r="G321" s="8">
        <f t="shared" si="18"/>
        <v>2.0100000000000002</v>
      </c>
      <c r="H321">
        <f t="shared" si="19"/>
        <v>10.9</v>
      </c>
      <c r="I321">
        <f t="shared" si="20"/>
        <v>1642100.7518099367</v>
      </c>
      <c r="J321">
        <f t="shared" si="21"/>
        <v>606282.67166975967</v>
      </c>
      <c r="K321">
        <f t="shared" si="22"/>
        <v>600216.0049746955</v>
      </c>
      <c r="L321">
        <f t="shared" si="23"/>
        <v>383.76158776747081</v>
      </c>
      <c r="M321">
        <f t="shared" si="24"/>
        <v>299871.71289753221</v>
      </c>
      <c r="N321">
        <f t="shared" si="25"/>
        <v>1355.2453028344385</v>
      </c>
      <c r="O321">
        <f t="shared" si="26"/>
        <v>499605.77596676681</v>
      </c>
      <c r="P321">
        <f t="shared" si="27"/>
        <v>1.1719999999999999</v>
      </c>
      <c r="Q321">
        <f t="shared" si="28"/>
        <v>1.2805</v>
      </c>
      <c r="R321">
        <f t="shared" si="29"/>
        <v>2.4524999999999997</v>
      </c>
    </row>
    <row r="322" spans="2:18" x14ac:dyDescent="0.3">
      <c r="B322" s="8">
        <v>1.427</v>
      </c>
      <c r="C322">
        <v>17</v>
      </c>
      <c r="D322" s="8">
        <f t="shared" si="30"/>
        <v>5.0405336664638985E-2</v>
      </c>
      <c r="E322" s="8">
        <f t="shared" si="15"/>
        <v>7.1812263256882461E-2</v>
      </c>
      <c r="F322" s="8">
        <f t="shared" si="17"/>
        <v>0.91775226017644618</v>
      </c>
      <c r="G322" s="8">
        <f t="shared" si="18"/>
        <v>2.02</v>
      </c>
      <c r="H322">
        <f t="shared" si="19"/>
        <v>10.9</v>
      </c>
      <c r="I322">
        <f t="shared" si="20"/>
        <v>1654752.9943562548</v>
      </c>
      <c r="J322">
        <f t="shared" si="21"/>
        <v>607312.75487511861</v>
      </c>
      <c r="K322">
        <f t="shared" si="22"/>
        <v>601246.08818005444</v>
      </c>
      <c r="L322">
        <f t="shared" si="23"/>
        <v>384.41360436780093</v>
      </c>
      <c r="M322">
        <f t="shared" si="24"/>
        <v>300448.10901586525</v>
      </c>
      <c r="N322">
        <f t="shared" si="25"/>
        <v>1357.5711578833223</v>
      </c>
      <c r="O322">
        <f t="shared" si="26"/>
        <v>500469.04681746883</v>
      </c>
      <c r="P322">
        <f t="shared" si="27"/>
        <v>1.1787000000000001</v>
      </c>
      <c r="Q322">
        <f t="shared" si="28"/>
        <v>1.2827</v>
      </c>
      <c r="R322">
        <f t="shared" si="29"/>
        <v>2.4614000000000003</v>
      </c>
    </row>
    <row r="323" spans="2:18" x14ac:dyDescent="0.3">
      <c r="B323" s="8">
        <v>1.43</v>
      </c>
      <c r="C323">
        <v>17</v>
      </c>
      <c r="D323" s="8">
        <f t="shared" si="30"/>
        <v>5.0425775614072757E-2</v>
      </c>
      <c r="E323" s="8">
        <f t="shared" si="15"/>
        <v>7.1809888381362985E-2</v>
      </c>
      <c r="F323" s="8">
        <f t="shared" si="17"/>
        <v>0.91772190954722521</v>
      </c>
      <c r="G323" s="8">
        <f t="shared" si="18"/>
        <v>2.02</v>
      </c>
      <c r="H323">
        <f t="shared" si="19"/>
        <v>10.9</v>
      </c>
      <c r="I323">
        <f t="shared" si="20"/>
        <v>1654752.9943562548</v>
      </c>
      <c r="J323">
        <f t="shared" si="21"/>
        <v>608342.83808047744</v>
      </c>
      <c r="K323">
        <f t="shared" si="22"/>
        <v>602276.17138541327</v>
      </c>
      <c r="L323">
        <f t="shared" si="23"/>
        <v>385.06562096813087</v>
      </c>
      <c r="M323">
        <f t="shared" si="24"/>
        <v>301024.50513419817</v>
      </c>
      <c r="N323">
        <f t="shared" si="25"/>
        <v>1359.8970129322061</v>
      </c>
      <c r="O323">
        <f t="shared" si="26"/>
        <v>501332.31766817078</v>
      </c>
      <c r="P323">
        <f t="shared" si="27"/>
        <v>1.1794</v>
      </c>
      <c r="Q323">
        <f t="shared" si="28"/>
        <v>1.2848999999999999</v>
      </c>
      <c r="R323">
        <f t="shared" si="29"/>
        <v>2.4642999999999997</v>
      </c>
    </row>
    <row r="324" spans="2:18" x14ac:dyDescent="0.3">
      <c r="B324" s="8">
        <v>1.4339999999999999</v>
      </c>
      <c r="C324">
        <v>17</v>
      </c>
      <c r="D324" s="8">
        <f t="shared" si="30"/>
        <v>5.0452920118375523E-2</v>
      </c>
      <c r="E324" s="8">
        <f t="shared" si="15"/>
        <v>7.1806734397577718E-2</v>
      </c>
      <c r="F324" s="8">
        <f t="shared" si="17"/>
        <v>0.91768160200619786</v>
      </c>
      <c r="G324" s="8">
        <f t="shared" si="18"/>
        <v>2.02</v>
      </c>
      <c r="H324">
        <f t="shared" si="19"/>
        <v>10.9</v>
      </c>
      <c r="I324">
        <f t="shared" si="20"/>
        <v>1654752.9943562548</v>
      </c>
      <c r="J324">
        <f t="shared" si="21"/>
        <v>609716.28235428932</v>
      </c>
      <c r="K324">
        <f t="shared" si="22"/>
        <v>603649.61565922515</v>
      </c>
      <c r="L324">
        <f t="shared" si="23"/>
        <v>385.93497643523767</v>
      </c>
      <c r="M324">
        <f t="shared" si="24"/>
        <v>301793.03329197556</v>
      </c>
      <c r="N324">
        <f t="shared" si="25"/>
        <v>1362.9981529973845</v>
      </c>
      <c r="O324">
        <f t="shared" si="26"/>
        <v>502483.3454691068</v>
      </c>
      <c r="P324">
        <f t="shared" si="27"/>
        <v>1.1802999999999999</v>
      </c>
      <c r="Q324">
        <f t="shared" si="28"/>
        <v>1.2878000000000001</v>
      </c>
      <c r="R324">
        <f t="shared" si="29"/>
        <v>2.4680999999999997</v>
      </c>
    </row>
    <row r="325" spans="2:18" x14ac:dyDescent="0.3">
      <c r="B325" s="8">
        <v>1.4370000000000001</v>
      </c>
      <c r="C325">
        <v>17</v>
      </c>
      <c r="D325" s="8">
        <f t="shared" si="30"/>
        <v>5.0473198378366543E-2</v>
      </c>
      <c r="E325" s="8">
        <f t="shared" si="15"/>
        <v>7.1804378244434752E-2</v>
      </c>
      <c r="F325" s="8">
        <f t="shared" si="17"/>
        <v>0.9176514906467419</v>
      </c>
      <c r="G325" s="8">
        <f t="shared" si="18"/>
        <v>2.02</v>
      </c>
      <c r="H325">
        <f t="shared" si="19"/>
        <v>10.9</v>
      </c>
      <c r="I325">
        <f t="shared" si="20"/>
        <v>1654752.9943562548</v>
      </c>
      <c r="J325">
        <f t="shared" si="21"/>
        <v>610746.36555964826</v>
      </c>
      <c r="K325">
        <f t="shared" si="22"/>
        <v>604679.69886458409</v>
      </c>
      <c r="L325">
        <f t="shared" si="23"/>
        <v>386.58699303556773</v>
      </c>
      <c r="M325">
        <f t="shared" si="24"/>
        <v>302369.4294103086</v>
      </c>
      <c r="N325">
        <f t="shared" si="25"/>
        <v>1365.3240080462685</v>
      </c>
      <c r="O325">
        <f t="shared" si="26"/>
        <v>503346.61631980888</v>
      </c>
      <c r="P325">
        <f t="shared" si="27"/>
        <v>1.181</v>
      </c>
      <c r="Q325">
        <f t="shared" si="28"/>
        <v>1.29</v>
      </c>
      <c r="R325">
        <f t="shared" si="29"/>
        <v>2.4710000000000001</v>
      </c>
    </row>
    <row r="326" spans="2:18" x14ac:dyDescent="0.3">
      <c r="B326" s="8">
        <v>1.44</v>
      </c>
      <c r="C326">
        <v>17</v>
      </c>
      <c r="D326" s="8">
        <f t="shared" si="30"/>
        <v>5.0493408351011418E-2</v>
      </c>
      <c r="E326" s="8">
        <f t="shared" si="15"/>
        <v>7.1802030047377688E-2</v>
      </c>
      <c r="F326" s="8">
        <f t="shared" si="17"/>
        <v>0.91762148096512586</v>
      </c>
      <c r="G326" s="8">
        <f t="shared" si="18"/>
        <v>2.02</v>
      </c>
      <c r="H326">
        <f t="shared" si="19"/>
        <v>10.9</v>
      </c>
      <c r="I326">
        <f t="shared" si="20"/>
        <v>1654752.9943562548</v>
      </c>
      <c r="J326">
        <f t="shared" si="21"/>
        <v>611776.44876500708</v>
      </c>
      <c r="K326">
        <f t="shared" si="22"/>
        <v>605709.78206994291</v>
      </c>
      <c r="L326">
        <f t="shared" si="23"/>
        <v>387.23900963589773</v>
      </c>
      <c r="M326">
        <f t="shared" si="24"/>
        <v>302945.82552864158</v>
      </c>
      <c r="N326">
        <f t="shared" si="25"/>
        <v>1367.6498630951521</v>
      </c>
      <c r="O326">
        <f t="shared" si="26"/>
        <v>504209.88717051077</v>
      </c>
      <c r="P326">
        <f t="shared" si="27"/>
        <v>1.1817</v>
      </c>
      <c r="Q326">
        <f t="shared" si="28"/>
        <v>1.2922</v>
      </c>
      <c r="R326">
        <f t="shared" si="29"/>
        <v>2.4739</v>
      </c>
    </row>
    <row r="327" spans="2:18" x14ac:dyDescent="0.3">
      <c r="B327" s="8">
        <v>1.4430000000000001</v>
      </c>
      <c r="C327">
        <v>17</v>
      </c>
      <c r="D327" s="8">
        <f t="shared" si="30"/>
        <v>5.0513550380668383E-2</v>
      </c>
      <c r="E327" s="8">
        <f t="shared" si="15"/>
        <v>7.1799689766130201E-2</v>
      </c>
      <c r="F327" s="8">
        <f t="shared" si="17"/>
        <v>0.91759157244662326</v>
      </c>
      <c r="G327" s="8">
        <f t="shared" si="18"/>
        <v>2.0300000000000002</v>
      </c>
      <c r="H327">
        <f t="shared" si="19"/>
        <v>10.9</v>
      </c>
      <c r="I327">
        <f t="shared" si="20"/>
        <v>1667405.2369025731</v>
      </c>
      <c r="J327">
        <f t="shared" si="21"/>
        <v>612806.53197036602</v>
      </c>
      <c r="K327">
        <f t="shared" si="22"/>
        <v>606739.86527530185</v>
      </c>
      <c r="L327">
        <f t="shared" si="23"/>
        <v>387.89102623622779</v>
      </c>
      <c r="M327">
        <f t="shared" si="24"/>
        <v>303522.22164697456</v>
      </c>
      <c r="N327">
        <f t="shared" si="25"/>
        <v>1369.9757181440361</v>
      </c>
      <c r="O327">
        <f t="shared" si="26"/>
        <v>505073.15802121285</v>
      </c>
      <c r="P327">
        <f t="shared" si="27"/>
        <v>1.1884999999999999</v>
      </c>
      <c r="Q327">
        <f t="shared" si="28"/>
        <v>1.2944</v>
      </c>
      <c r="R327">
        <f t="shared" si="29"/>
        <v>2.4828999999999999</v>
      </c>
    </row>
    <row r="328" spans="2:18" x14ac:dyDescent="0.3">
      <c r="B328" s="8">
        <v>1.4470000000000001</v>
      </c>
      <c r="C328">
        <v>17</v>
      </c>
      <c r="D328" s="8">
        <f t="shared" si="30"/>
        <v>5.0540301321979994E-2</v>
      </c>
      <c r="E328" s="8">
        <f t="shared" si="15"/>
        <v>7.1796581635510656E-2</v>
      </c>
      <c r="F328" s="8">
        <f t="shared" si="17"/>
        <v>0.91755185090364944</v>
      </c>
      <c r="G328" s="8">
        <f t="shared" si="18"/>
        <v>2.0300000000000002</v>
      </c>
      <c r="H328">
        <f t="shared" si="19"/>
        <v>10.9</v>
      </c>
      <c r="I328">
        <f t="shared" si="20"/>
        <v>1667405.2369025731</v>
      </c>
      <c r="J328">
        <f t="shared" si="21"/>
        <v>614179.9762441779</v>
      </c>
      <c r="K328">
        <f t="shared" si="22"/>
        <v>608113.30954911374</v>
      </c>
      <c r="L328">
        <f t="shared" si="23"/>
        <v>388.76038170333459</v>
      </c>
      <c r="M328">
        <f t="shared" si="24"/>
        <v>304290.74980475195</v>
      </c>
      <c r="N328">
        <f t="shared" si="25"/>
        <v>1373.0768582092146</v>
      </c>
      <c r="O328">
        <f t="shared" si="26"/>
        <v>506224.18582214887</v>
      </c>
      <c r="P328">
        <f t="shared" si="27"/>
        <v>1.1894</v>
      </c>
      <c r="Q328">
        <f t="shared" si="28"/>
        <v>1.2972999999999999</v>
      </c>
      <c r="R328">
        <f t="shared" si="29"/>
        <v>2.4866999999999999</v>
      </c>
    </row>
    <row r="329" spans="2:18" x14ac:dyDescent="0.3">
      <c r="B329" s="8">
        <v>1.45</v>
      </c>
      <c r="C329">
        <v>17</v>
      </c>
      <c r="D329" s="8">
        <f t="shared" si="30"/>
        <v>5.056028614422118E-2</v>
      </c>
      <c r="E329" s="8">
        <f t="shared" si="15"/>
        <v>7.1794259669378871E-2</v>
      </c>
      <c r="F329" s="8">
        <f t="shared" si="17"/>
        <v>0.91752217645016676</v>
      </c>
      <c r="G329" s="8">
        <f t="shared" si="18"/>
        <v>2.0300000000000002</v>
      </c>
      <c r="H329">
        <f t="shared" si="19"/>
        <v>10.9</v>
      </c>
      <c r="I329">
        <f t="shared" si="20"/>
        <v>1667405.2369025731</v>
      </c>
      <c r="J329">
        <f t="shared" si="21"/>
        <v>615210.05944953673</v>
      </c>
      <c r="K329">
        <f t="shared" si="22"/>
        <v>609143.39275447256</v>
      </c>
      <c r="L329">
        <f t="shared" si="23"/>
        <v>389.41239830366453</v>
      </c>
      <c r="M329">
        <f t="shared" si="24"/>
        <v>304867.14592308487</v>
      </c>
      <c r="N329">
        <f t="shared" si="25"/>
        <v>1375.4027132580984</v>
      </c>
      <c r="O329">
        <f t="shared" si="26"/>
        <v>507087.45667285082</v>
      </c>
      <c r="P329">
        <f t="shared" si="27"/>
        <v>1.1900999999999999</v>
      </c>
      <c r="Q329">
        <f t="shared" si="28"/>
        <v>1.2995000000000001</v>
      </c>
      <c r="R329">
        <f t="shared" si="29"/>
        <v>2.4896000000000003</v>
      </c>
    </row>
    <row r="330" spans="2:18" x14ac:dyDescent="0.3">
      <c r="B330" s="8">
        <v>1.4530000000000001</v>
      </c>
      <c r="C330">
        <v>17</v>
      </c>
      <c r="D330" s="8">
        <f t="shared" si="30"/>
        <v>5.0580204154749411E-2</v>
      </c>
      <c r="E330" s="8">
        <f t="shared" si="15"/>
        <v>7.1791945486753869E-2</v>
      </c>
      <c r="F330" s="8">
        <f t="shared" si="17"/>
        <v>0.91749260146898337</v>
      </c>
      <c r="G330" s="8">
        <f t="shared" si="18"/>
        <v>2.0300000000000002</v>
      </c>
      <c r="H330">
        <f t="shared" si="19"/>
        <v>10.9</v>
      </c>
      <c r="I330">
        <f t="shared" si="20"/>
        <v>1667405.2369025731</v>
      </c>
      <c r="J330">
        <f t="shared" si="21"/>
        <v>616240.14265489578</v>
      </c>
      <c r="K330">
        <f t="shared" si="22"/>
        <v>610173.47595983162</v>
      </c>
      <c r="L330">
        <f t="shared" si="23"/>
        <v>390.06441490399465</v>
      </c>
      <c r="M330">
        <f t="shared" si="24"/>
        <v>305443.54204141797</v>
      </c>
      <c r="N330">
        <f t="shared" si="25"/>
        <v>1377.7285683069824</v>
      </c>
      <c r="O330">
        <f t="shared" si="26"/>
        <v>507950.72752355289</v>
      </c>
      <c r="P330">
        <f t="shared" si="27"/>
        <v>1.1908000000000001</v>
      </c>
      <c r="Q330">
        <f t="shared" si="28"/>
        <v>1.3017000000000001</v>
      </c>
      <c r="R330">
        <f t="shared" si="29"/>
        <v>2.4925000000000002</v>
      </c>
    </row>
    <row r="331" spans="2:18" x14ac:dyDescent="0.3">
      <c r="B331" s="8">
        <v>1.4570000000000001</v>
      </c>
      <c r="C331">
        <v>18</v>
      </c>
      <c r="D331" s="8">
        <f t="shared" si="30"/>
        <v>5.0606658150582282E-2</v>
      </c>
      <c r="E331" s="8">
        <f t="shared" si="15"/>
        <v>7.1788871950031058E-2</v>
      </c>
      <c r="F331" s="8">
        <f t="shared" si="17"/>
        <v>0.91745332203193231</v>
      </c>
      <c r="G331" s="8">
        <f t="shared" si="18"/>
        <v>2.0300000000000002</v>
      </c>
      <c r="H331">
        <f t="shared" si="19"/>
        <v>11.3</v>
      </c>
      <c r="I331">
        <f t="shared" si="20"/>
        <v>1761267.3877086309</v>
      </c>
      <c r="J331">
        <f t="shared" si="21"/>
        <v>617613.58692870766</v>
      </c>
      <c r="K331">
        <f t="shared" si="22"/>
        <v>611546.9202336435</v>
      </c>
      <c r="L331">
        <f t="shared" si="23"/>
        <v>390.93377037110145</v>
      </c>
      <c r="M331">
        <f t="shared" si="24"/>
        <v>306212.07019919535</v>
      </c>
      <c r="N331">
        <f t="shared" si="25"/>
        <v>1380.8297083721611</v>
      </c>
      <c r="O331">
        <f t="shared" si="26"/>
        <v>509101.75532448903</v>
      </c>
      <c r="P331">
        <f t="shared" si="27"/>
        <v>1.2367999999999999</v>
      </c>
      <c r="Q331">
        <f t="shared" si="28"/>
        <v>1.3046</v>
      </c>
      <c r="R331">
        <f t="shared" si="29"/>
        <v>2.5413999999999999</v>
      </c>
    </row>
    <row r="332" spans="2:18" x14ac:dyDescent="0.3">
      <c r="B332" s="8">
        <v>1.46</v>
      </c>
      <c r="C332">
        <v>18</v>
      </c>
      <c r="D332" s="8">
        <f t="shared" si="30"/>
        <v>5.0626421564021445E-2</v>
      </c>
      <c r="E332" s="8">
        <f t="shared" si="15"/>
        <v>7.1786575777264591E-2</v>
      </c>
      <c r="F332" s="8">
        <f t="shared" si="17"/>
        <v>0.91742397721461821</v>
      </c>
      <c r="G332" s="8">
        <f t="shared" si="18"/>
        <v>2.0300000000000002</v>
      </c>
      <c r="H332">
        <f t="shared" si="19"/>
        <v>11.3</v>
      </c>
      <c r="I332">
        <f t="shared" si="20"/>
        <v>1761267.3877086309</v>
      </c>
      <c r="J332">
        <f t="shared" si="21"/>
        <v>618643.67013406637</v>
      </c>
      <c r="K332">
        <f t="shared" si="22"/>
        <v>612577.0034390022</v>
      </c>
      <c r="L332">
        <f t="shared" si="23"/>
        <v>391.58578697143139</v>
      </c>
      <c r="M332">
        <f t="shared" si="24"/>
        <v>306788.46631752828</v>
      </c>
      <c r="N332">
        <f t="shared" si="25"/>
        <v>1383.1555634210442</v>
      </c>
      <c r="O332">
        <f t="shared" si="26"/>
        <v>509965.02617519075</v>
      </c>
      <c r="P332">
        <f t="shared" si="27"/>
        <v>1.2375</v>
      </c>
      <c r="Q332">
        <f t="shared" si="28"/>
        <v>1.3068</v>
      </c>
      <c r="R332">
        <f t="shared" si="29"/>
        <v>2.5442999999999998</v>
      </c>
    </row>
    <row r="333" spans="2:18" x14ac:dyDescent="0.3">
      <c r="B333" s="8">
        <v>1.4630000000000001</v>
      </c>
      <c r="C333">
        <v>18</v>
      </c>
      <c r="D333" s="8">
        <f t="shared" si="30"/>
        <v>5.0646119272046555E-2</v>
      </c>
      <c r="E333" s="8">
        <f t="shared" si="15"/>
        <v>7.1784287258640667E-2</v>
      </c>
      <c r="F333" s="8">
        <f t="shared" si="17"/>
        <v>0.91739473021634377</v>
      </c>
      <c r="G333" s="8">
        <f t="shared" si="18"/>
        <v>2.04</v>
      </c>
      <c r="H333">
        <f t="shared" si="19"/>
        <v>11.3</v>
      </c>
      <c r="I333">
        <f t="shared" si="20"/>
        <v>1774643.0891259147</v>
      </c>
      <c r="J333">
        <f t="shared" si="21"/>
        <v>619673.75333942543</v>
      </c>
      <c r="K333">
        <f t="shared" si="22"/>
        <v>613607.08664436126</v>
      </c>
      <c r="L333">
        <f t="shared" si="23"/>
        <v>392.2378035717615</v>
      </c>
      <c r="M333">
        <f t="shared" si="24"/>
        <v>307364.86243586132</v>
      </c>
      <c r="N333">
        <f t="shared" si="25"/>
        <v>1385.4814184699285</v>
      </c>
      <c r="O333">
        <f t="shared" si="26"/>
        <v>510828.29702589288</v>
      </c>
      <c r="P333">
        <f t="shared" si="27"/>
        <v>1.2445999999999999</v>
      </c>
      <c r="Q333">
        <f t="shared" si="28"/>
        <v>1.3089999999999999</v>
      </c>
      <c r="R333">
        <f t="shared" si="29"/>
        <v>2.5535999999999999</v>
      </c>
    </row>
    <row r="334" spans="2:18" x14ac:dyDescent="0.3">
      <c r="B334" s="8">
        <v>1.466</v>
      </c>
      <c r="C334">
        <v>18</v>
      </c>
      <c r="D334" s="8">
        <f t="shared" si="30"/>
        <v>5.0665751601780065E-2</v>
      </c>
      <c r="E334" s="8">
        <f t="shared" si="15"/>
        <v>7.1782006355910907E-2</v>
      </c>
      <c r="F334" s="8">
        <f t="shared" si="17"/>
        <v>0.91736558054829909</v>
      </c>
      <c r="G334" s="8">
        <f t="shared" si="18"/>
        <v>2.04</v>
      </c>
      <c r="H334">
        <f t="shared" si="19"/>
        <v>11.3</v>
      </c>
      <c r="I334">
        <f t="shared" si="20"/>
        <v>1774643.0891259147</v>
      </c>
      <c r="J334">
        <f t="shared" si="21"/>
        <v>620703.83654478425</v>
      </c>
      <c r="K334">
        <f t="shared" si="22"/>
        <v>614637.16984972009</v>
      </c>
      <c r="L334">
        <f t="shared" si="23"/>
        <v>392.8898201720915</v>
      </c>
      <c r="M334">
        <f t="shared" si="24"/>
        <v>307941.2585541943</v>
      </c>
      <c r="N334">
        <f t="shared" si="25"/>
        <v>1387.8072735188123</v>
      </c>
      <c r="O334">
        <f t="shared" si="26"/>
        <v>511691.5678765949</v>
      </c>
      <c r="P334">
        <f t="shared" si="27"/>
        <v>1.2453000000000001</v>
      </c>
      <c r="Q334">
        <f t="shared" si="28"/>
        <v>1.3111999999999999</v>
      </c>
      <c r="R334">
        <f t="shared" si="29"/>
        <v>2.5564999999999998</v>
      </c>
    </row>
    <row r="335" spans="2:18" x14ac:dyDescent="0.3">
      <c r="B335" s="8">
        <v>1.47</v>
      </c>
      <c r="C335">
        <v>18</v>
      </c>
      <c r="D335" s="8">
        <f t="shared" si="30"/>
        <v>5.0691826903199712E-2</v>
      </c>
      <c r="E335" s="8">
        <f t="shared" ref="E335:E398" si="31">EXP(INDEX(TS_array,MATCH($B$41,Tray_space,0),1)*((LN(D335))^3)+INDEX(TS_array,MATCH($B$41,Tray_space,0),2)*((LN(D335))^2)+INDEX(TS_array,MATCH($B$41,Tray_space,0),3)*(LN(D335))+INDEX(TS_array,MATCH($B$41,Tray_space,0),4)-1.188)</f>
        <v>7.1778976933586217E-2</v>
      </c>
      <c r="F335" s="8">
        <f t="shared" si="17"/>
        <v>0.91732686488805637</v>
      </c>
      <c r="G335" s="8">
        <f t="shared" si="18"/>
        <v>2.04</v>
      </c>
      <c r="H335">
        <f t="shared" si="19"/>
        <v>11.3</v>
      </c>
      <c r="I335">
        <f t="shared" si="20"/>
        <v>1774643.0891259147</v>
      </c>
      <c r="J335">
        <f t="shared" si="21"/>
        <v>622077.28081859602</v>
      </c>
      <c r="K335">
        <f t="shared" si="22"/>
        <v>616010.61412353185</v>
      </c>
      <c r="L335">
        <f t="shared" si="23"/>
        <v>393.75917563919819</v>
      </c>
      <c r="M335">
        <f t="shared" si="24"/>
        <v>308709.78671197162</v>
      </c>
      <c r="N335">
        <f t="shared" si="25"/>
        <v>1390.9084135839905</v>
      </c>
      <c r="O335">
        <f t="shared" si="26"/>
        <v>512842.5956775308</v>
      </c>
      <c r="P335">
        <f t="shared" si="27"/>
        <v>1.2462</v>
      </c>
      <c r="Q335">
        <f t="shared" si="28"/>
        <v>1.3142</v>
      </c>
      <c r="R335">
        <f t="shared" si="29"/>
        <v>2.5604</v>
      </c>
    </row>
    <row r="336" spans="2:18" x14ac:dyDescent="0.3">
      <c r="B336" s="8">
        <v>1.4730000000000001</v>
      </c>
      <c r="C336">
        <v>18</v>
      </c>
      <c r="D336" s="8">
        <f t="shared" si="30"/>
        <v>5.0711307943584638E-2</v>
      </c>
      <c r="E336" s="8">
        <f t="shared" si="31"/>
        <v>7.1776713653960197E-2</v>
      </c>
      <c r="F336" s="8">
        <f t="shared" ref="F336:F399" si="32">$B$47*(($B$48/20)^0.2)*E336*SQRT(($B$26-$B$25)/$B$25)</f>
        <v>0.91729794044120017</v>
      </c>
      <c r="G336" s="8">
        <f t="shared" ref="G336:G399" si="33">10^-3*ROUND(ROUND(((4*($B$12*(B336*$B$20+1)*$B$4*$B$14/3600))/($B$25*PI()*(1-$B$56)*F336))^0.5,2)*1000+HLOOKUP(ROUND(((4*($B$12*(B336*$B$20+1)*$B$4*$B$14/3600))/($B$25*PI()*(1-$B$56)*F336))^0.5,2)*1000,$B$64:$E$65,2),0)</f>
        <v>2.04</v>
      </c>
      <c r="H336">
        <f t="shared" ref="H336:H399" si="34">ROUND((((C336-ROUND(C336/10,0)-1)*$B$41)+1.5*$B$41+$B$78+ROUND(C336/10,0)*1200+2*$B$41)*10^-3,1)</f>
        <v>11.3</v>
      </c>
      <c r="I336">
        <f t="shared" ref="I336:I399" si="35">(PI()*(G336)*($B$88*10^-3)*$B$89*$B$90*H336)+(_xlfn.FORECAST.LINEAR(39.3701*G336,$B$94:$B$98,$A$94:$A$98))*C336</f>
        <v>1774643.0891259147</v>
      </c>
      <c r="J336">
        <f t="shared" ref="J336:J399" si="36">$B$114*($B$20*B336+1)/($B$20*$B$21+1)</f>
        <v>623107.36402395507</v>
      </c>
      <c r="K336">
        <f t="shared" ref="K336:K399" si="37">J336+($B$132-$B$114)</f>
        <v>617040.69732889091</v>
      </c>
      <c r="L336">
        <f t="shared" ref="L336:L399" si="38">(J336/($B$118*$B$117))*10.7639</f>
        <v>394.4111922395283</v>
      </c>
      <c r="M336">
        <f t="shared" ref="M336:M399" si="39">_xlfn.FORECAST.LINEAR(L336,$B$139:$B$143,$A$139:$A$143)</f>
        <v>309286.18283030466</v>
      </c>
      <c r="N336">
        <f t="shared" ref="N336:N399" si="40">(K336/($B$134*$B$133))*10.7639</f>
        <v>1393.2342686328748</v>
      </c>
      <c r="O336">
        <f t="shared" ref="O336:O399" si="41">_xlfn.FORECAST.LINEAR(N336,$B$149:$B$154,$A$149:$A$154)</f>
        <v>513705.86652823299</v>
      </c>
      <c r="P336">
        <f t="shared" ref="P336:P399" si="42">ROUND((2*1.2*(O336+M336+I336)*$B$161)*10^-6,4)</f>
        <v>1.2468999999999999</v>
      </c>
      <c r="Q336">
        <f t="shared" ref="Q336:Q399" si="43">ROUND(($B$167*(K336/(2700*10^3))*60*60*8000)*10^-6,4)</f>
        <v>1.3164</v>
      </c>
      <c r="R336">
        <f t="shared" ref="R336:R399" si="44">(Q336+P336)</f>
        <v>2.5632999999999999</v>
      </c>
    </row>
    <row r="337" spans="2:18" x14ac:dyDescent="0.3">
      <c r="B337" s="8">
        <v>1.476</v>
      </c>
      <c r="C337">
        <v>18</v>
      </c>
      <c r="D337" s="8">
        <f t="shared" si="30"/>
        <v>5.0730724680529291E-2</v>
      </c>
      <c r="E337" s="8">
        <f t="shared" si="31"/>
        <v>7.1774457864562893E-2</v>
      </c>
      <c r="F337" s="8">
        <f t="shared" si="32"/>
        <v>0.91726911171858427</v>
      </c>
      <c r="G337" s="8">
        <f t="shared" si="33"/>
        <v>2.04</v>
      </c>
      <c r="H337">
        <f t="shared" si="34"/>
        <v>11.3</v>
      </c>
      <c r="I337">
        <f t="shared" si="35"/>
        <v>1774643.0891259147</v>
      </c>
      <c r="J337">
        <f t="shared" si="36"/>
        <v>624137.4472293139</v>
      </c>
      <c r="K337">
        <f t="shared" si="37"/>
        <v>618070.78053424973</v>
      </c>
      <c r="L337">
        <f t="shared" si="38"/>
        <v>395.06320883985836</v>
      </c>
      <c r="M337">
        <f t="shared" si="39"/>
        <v>309862.5789486377</v>
      </c>
      <c r="N337">
        <f t="shared" si="40"/>
        <v>1395.5601236817586</v>
      </c>
      <c r="O337">
        <f t="shared" si="41"/>
        <v>514569.13737893495</v>
      </c>
      <c r="P337">
        <f t="shared" si="42"/>
        <v>1.2476</v>
      </c>
      <c r="Q337">
        <f t="shared" si="43"/>
        <v>1.3186</v>
      </c>
      <c r="R337">
        <f t="shared" si="44"/>
        <v>2.5662000000000003</v>
      </c>
    </row>
    <row r="338" spans="2:18" x14ac:dyDescent="0.3">
      <c r="B338" s="8">
        <v>1.48</v>
      </c>
      <c r="C338">
        <v>18</v>
      </c>
      <c r="D338" s="8">
        <f t="shared" si="30"/>
        <v>5.0756514184628794E-2</v>
      </c>
      <c r="E338" s="8">
        <f t="shared" si="31"/>
        <v>7.1771461732643732E-2</v>
      </c>
      <c r="F338" s="8">
        <f t="shared" si="32"/>
        <v>0.91723082150580038</v>
      </c>
      <c r="G338" s="8">
        <f t="shared" si="33"/>
        <v>2.0499999999999998</v>
      </c>
      <c r="H338">
        <f t="shared" si="34"/>
        <v>11.3</v>
      </c>
      <c r="I338">
        <f t="shared" si="35"/>
        <v>1788018.7905431981</v>
      </c>
      <c r="J338">
        <f t="shared" si="36"/>
        <v>625510.89150312578</v>
      </c>
      <c r="K338">
        <f t="shared" si="37"/>
        <v>619444.22480806161</v>
      </c>
      <c r="L338">
        <f t="shared" si="38"/>
        <v>395.93256430696511</v>
      </c>
      <c r="M338">
        <f t="shared" si="39"/>
        <v>310631.10710641503</v>
      </c>
      <c r="N338">
        <f t="shared" si="40"/>
        <v>1398.661263746937</v>
      </c>
      <c r="O338">
        <f t="shared" si="41"/>
        <v>515720.16517987096</v>
      </c>
      <c r="P338">
        <f t="shared" si="42"/>
        <v>1.2548999999999999</v>
      </c>
      <c r="Q338">
        <f t="shared" si="43"/>
        <v>1.3214999999999999</v>
      </c>
      <c r="R338">
        <f t="shared" si="44"/>
        <v>2.5763999999999996</v>
      </c>
    </row>
    <row r="339" spans="2:18" x14ac:dyDescent="0.3">
      <c r="B339" s="8">
        <v>1.4830000000000001</v>
      </c>
      <c r="C339">
        <v>18</v>
      </c>
      <c r="D339" s="8">
        <f t="shared" si="30"/>
        <v>5.0775782112709805E-2</v>
      </c>
      <c r="E339" s="8">
        <f t="shared" si="31"/>
        <v>7.1769223276364855E-2</v>
      </c>
      <c r="F339" s="8">
        <f t="shared" si="32"/>
        <v>0.91720221429839499</v>
      </c>
      <c r="G339" s="8">
        <f t="shared" si="33"/>
        <v>2.0499999999999998</v>
      </c>
      <c r="H339">
        <f t="shared" si="34"/>
        <v>11.3</v>
      </c>
      <c r="I339">
        <f t="shared" si="35"/>
        <v>1788018.7905431981</v>
      </c>
      <c r="J339">
        <f t="shared" si="36"/>
        <v>626540.97470848472</v>
      </c>
      <c r="K339">
        <f t="shared" si="37"/>
        <v>620474.30801342055</v>
      </c>
      <c r="L339">
        <f t="shared" si="38"/>
        <v>396.58458090729516</v>
      </c>
      <c r="M339">
        <f t="shared" si="39"/>
        <v>311207.50322474807</v>
      </c>
      <c r="N339">
        <f t="shared" si="40"/>
        <v>1400.9871187958208</v>
      </c>
      <c r="O339">
        <f t="shared" si="41"/>
        <v>516583.43603057292</v>
      </c>
      <c r="P339">
        <f t="shared" si="42"/>
        <v>1.2556</v>
      </c>
      <c r="Q339">
        <f t="shared" si="43"/>
        <v>1.3237000000000001</v>
      </c>
      <c r="R339">
        <f t="shared" si="44"/>
        <v>2.5792999999999999</v>
      </c>
    </row>
    <row r="340" spans="2:18" x14ac:dyDescent="0.3">
      <c r="B340" s="8">
        <v>1.486</v>
      </c>
      <c r="C340">
        <v>18</v>
      </c>
      <c r="D340" s="8">
        <f t="shared" si="30"/>
        <v>5.0794986788769016E-2</v>
      </c>
      <c r="E340" s="8">
        <f t="shared" si="31"/>
        <v>7.1766992187404677E-2</v>
      </c>
      <c r="F340" s="8">
        <f t="shared" si="32"/>
        <v>0.91717370124445408</v>
      </c>
      <c r="G340" s="8">
        <f t="shared" si="33"/>
        <v>2.0499999999999998</v>
      </c>
      <c r="H340">
        <f t="shared" si="34"/>
        <v>11.3</v>
      </c>
      <c r="I340">
        <f t="shared" si="35"/>
        <v>1788018.7905431981</v>
      </c>
      <c r="J340">
        <f t="shared" si="36"/>
        <v>627571.05791384354</v>
      </c>
      <c r="K340">
        <f t="shared" si="37"/>
        <v>621504.39121877938</v>
      </c>
      <c r="L340">
        <f t="shared" si="38"/>
        <v>397.23659750762516</v>
      </c>
      <c r="M340">
        <f t="shared" si="39"/>
        <v>311783.89934308099</v>
      </c>
      <c r="N340">
        <f t="shared" si="40"/>
        <v>1403.3129738447046</v>
      </c>
      <c r="O340">
        <f t="shared" si="41"/>
        <v>517446.70688127493</v>
      </c>
      <c r="P340">
        <f t="shared" si="42"/>
        <v>1.2563</v>
      </c>
      <c r="Q340">
        <f t="shared" si="43"/>
        <v>1.3259000000000001</v>
      </c>
      <c r="R340">
        <f t="shared" si="44"/>
        <v>2.5822000000000003</v>
      </c>
    </row>
    <row r="341" spans="2:18" x14ac:dyDescent="0.3">
      <c r="B341" s="8">
        <v>1.4890000000000001</v>
      </c>
      <c r="C341">
        <v>18</v>
      </c>
      <c r="D341" s="8">
        <f t="shared" si="30"/>
        <v>5.0814128523758023E-2</v>
      </c>
      <c r="E341" s="8">
        <f t="shared" si="31"/>
        <v>7.1764768429416134E-2</v>
      </c>
      <c r="F341" s="8">
        <f t="shared" si="32"/>
        <v>0.91714528187946665</v>
      </c>
      <c r="G341" s="8">
        <f t="shared" si="33"/>
        <v>2.0499999999999998</v>
      </c>
      <c r="H341">
        <f t="shared" si="34"/>
        <v>11.3</v>
      </c>
      <c r="I341">
        <f t="shared" si="35"/>
        <v>1788018.7905431981</v>
      </c>
      <c r="J341">
        <f t="shared" si="36"/>
        <v>628601.14111920248</v>
      </c>
      <c r="K341">
        <f t="shared" si="37"/>
        <v>622534.47442413832</v>
      </c>
      <c r="L341">
        <f t="shared" si="38"/>
        <v>397.88861410795528</v>
      </c>
      <c r="M341">
        <f t="shared" si="39"/>
        <v>312360.29546141409</v>
      </c>
      <c r="N341">
        <f t="shared" si="40"/>
        <v>1405.6388288935884</v>
      </c>
      <c r="O341">
        <f t="shared" si="41"/>
        <v>518309.97773197689</v>
      </c>
      <c r="P341">
        <f t="shared" si="42"/>
        <v>1.2569999999999999</v>
      </c>
      <c r="Q341">
        <f t="shared" si="43"/>
        <v>1.3281000000000001</v>
      </c>
      <c r="R341">
        <f t="shared" si="44"/>
        <v>2.5850999999999997</v>
      </c>
    </row>
    <row r="342" spans="2:18" x14ac:dyDescent="0.3">
      <c r="B342" s="8">
        <v>1.4930000000000001</v>
      </c>
      <c r="C342">
        <v>18</v>
      </c>
      <c r="D342" s="8">
        <f t="shared" si="30"/>
        <v>5.0839553462384432E-2</v>
      </c>
      <c r="E342" s="8">
        <f t="shared" si="31"/>
        <v>7.1761814760123832E-2</v>
      </c>
      <c r="F342" s="8">
        <f t="shared" si="32"/>
        <v>0.91710753433404912</v>
      </c>
      <c r="G342" s="8">
        <f t="shared" si="33"/>
        <v>2.0499999999999998</v>
      </c>
      <c r="H342">
        <f t="shared" si="34"/>
        <v>11.3</v>
      </c>
      <c r="I342">
        <f t="shared" si="35"/>
        <v>1788018.7905431981</v>
      </c>
      <c r="J342">
        <f t="shared" si="36"/>
        <v>629974.58539301436</v>
      </c>
      <c r="K342">
        <f t="shared" si="37"/>
        <v>623907.9186979502</v>
      </c>
      <c r="L342">
        <f t="shared" si="38"/>
        <v>398.75796957506196</v>
      </c>
      <c r="M342">
        <f t="shared" si="39"/>
        <v>313128.82361919136</v>
      </c>
      <c r="N342">
        <f t="shared" si="40"/>
        <v>1408.7399689587669</v>
      </c>
      <c r="O342">
        <f t="shared" si="41"/>
        <v>519461.00553291291</v>
      </c>
      <c r="P342">
        <f t="shared" si="42"/>
        <v>1.2579</v>
      </c>
      <c r="Q342">
        <f t="shared" si="43"/>
        <v>1.331</v>
      </c>
      <c r="R342">
        <f t="shared" si="44"/>
        <v>2.5888999999999998</v>
      </c>
    </row>
    <row r="343" spans="2:18" x14ac:dyDescent="0.3">
      <c r="B343" s="8">
        <v>1.496</v>
      </c>
      <c r="C343">
        <v>18</v>
      </c>
      <c r="D343" s="8">
        <f t="shared" si="30"/>
        <v>5.0858549532733173E-2</v>
      </c>
      <c r="E343" s="8">
        <f t="shared" si="31"/>
        <v>7.1759607967725875E-2</v>
      </c>
      <c r="F343" s="8">
        <f t="shared" si="32"/>
        <v>0.9170793317873096</v>
      </c>
      <c r="G343" s="8">
        <f t="shared" si="33"/>
        <v>2.0499999999999998</v>
      </c>
      <c r="H343">
        <f t="shared" si="34"/>
        <v>11.3</v>
      </c>
      <c r="I343">
        <f t="shared" si="35"/>
        <v>1788018.7905431981</v>
      </c>
      <c r="J343">
        <f t="shared" si="36"/>
        <v>631004.66859837319</v>
      </c>
      <c r="K343">
        <f t="shared" si="37"/>
        <v>624938.00190330902</v>
      </c>
      <c r="L343">
        <f t="shared" si="38"/>
        <v>399.40998617539202</v>
      </c>
      <c r="M343">
        <f t="shared" si="39"/>
        <v>313705.2197375244</v>
      </c>
      <c r="N343">
        <f t="shared" si="40"/>
        <v>1411.0658240076509</v>
      </c>
      <c r="O343">
        <f t="shared" si="41"/>
        <v>520324.27638361498</v>
      </c>
      <c r="P343">
        <f t="shared" si="42"/>
        <v>1.2585999999999999</v>
      </c>
      <c r="Q343">
        <f t="shared" si="43"/>
        <v>1.3331999999999999</v>
      </c>
      <c r="R343">
        <f t="shared" si="44"/>
        <v>2.5918000000000001</v>
      </c>
    </row>
    <row r="344" spans="2:18" x14ac:dyDescent="0.3">
      <c r="B344" s="8">
        <v>1.4990000000000001</v>
      </c>
      <c r="C344">
        <v>18</v>
      </c>
      <c r="D344" s="8">
        <f t="shared" si="30"/>
        <v>5.0877483683913781E-2</v>
      </c>
      <c r="E344" s="8">
        <f t="shared" si="31"/>
        <v>7.1757408386859095E-2</v>
      </c>
      <c r="F344" s="8">
        <f t="shared" si="32"/>
        <v>0.9170512214030887</v>
      </c>
      <c r="G344" s="8">
        <f t="shared" si="33"/>
        <v>2.06</v>
      </c>
      <c r="H344">
        <f t="shared" si="34"/>
        <v>11.3</v>
      </c>
      <c r="I344">
        <f t="shared" si="35"/>
        <v>1801394.4919604827</v>
      </c>
      <c r="J344">
        <f t="shared" si="36"/>
        <v>632034.75180373224</v>
      </c>
      <c r="K344">
        <f t="shared" si="37"/>
        <v>625968.08510866808</v>
      </c>
      <c r="L344">
        <f t="shared" si="38"/>
        <v>400.06200277572214</v>
      </c>
      <c r="M344">
        <f t="shared" si="39"/>
        <v>314281.61585585744</v>
      </c>
      <c r="N344">
        <f t="shared" si="40"/>
        <v>1413.3916790565349</v>
      </c>
      <c r="O344">
        <f t="shared" si="41"/>
        <v>521187.54723431705</v>
      </c>
      <c r="P344">
        <f t="shared" si="42"/>
        <v>1.2657</v>
      </c>
      <c r="Q344">
        <f t="shared" si="43"/>
        <v>1.3353999999999999</v>
      </c>
      <c r="R344">
        <f t="shared" si="44"/>
        <v>2.6010999999999997</v>
      </c>
    </row>
    <row r="345" spans="2:18" x14ac:dyDescent="0.3">
      <c r="B345" s="8">
        <v>1.502</v>
      </c>
      <c r="C345">
        <v>18</v>
      </c>
      <c r="D345" s="8">
        <f t="shared" si="30"/>
        <v>5.0896356218179152E-2</v>
      </c>
      <c r="E345" s="8">
        <f t="shared" si="31"/>
        <v>7.175521598219875E-2</v>
      </c>
      <c r="F345" s="8">
        <f t="shared" si="32"/>
        <v>0.9170232027299402</v>
      </c>
      <c r="G345" s="8">
        <f t="shared" si="33"/>
        <v>2.06</v>
      </c>
      <c r="H345">
        <f t="shared" si="34"/>
        <v>11.3</v>
      </c>
      <c r="I345">
        <f t="shared" si="35"/>
        <v>1801394.4919604827</v>
      </c>
      <c r="J345">
        <f t="shared" si="36"/>
        <v>633064.83500909107</v>
      </c>
      <c r="K345">
        <f t="shared" si="37"/>
        <v>626998.1683140269</v>
      </c>
      <c r="L345">
        <f t="shared" si="38"/>
        <v>400.71401937605219</v>
      </c>
      <c r="M345">
        <f t="shared" si="39"/>
        <v>314858.01197419048</v>
      </c>
      <c r="N345">
        <f t="shared" si="40"/>
        <v>1415.7175341054185</v>
      </c>
      <c r="O345">
        <f t="shared" si="41"/>
        <v>522050.81808501901</v>
      </c>
      <c r="P345">
        <f t="shared" si="42"/>
        <v>1.2664</v>
      </c>
      <c r="Q345">
        <f t="shared" si="43"/>
        <v>1.3375999999999999</v>
      </c>
      <c r="R345">
        <f t="shared" si="44"/>
        <v>2.6040000000000001</v>
      </c>
    </row>
    <row r="346" spans="2:18" x14ac:dyDescent="0.3">
      <c r="B346" s="8">
        <v>1.506</v>
      </c>
      <c r="C346">
        <v>17</v>
      </c>
      <c r="D346" s="8">
        <f t="shared" si="30"/>
        <v>5.0921424267401746E-2</v>
      </c>
      <c r="E346" s="8">
        <f t="shared" si="31"/>
        <v>7.1752303878349577E-2</v>
      </c>
      <c r="F346" s="8">
        <f t="shared" si="32"/>
        <v>0.91698598638598672</v>
      </c>
      <c r="G346" s="8">
        <f t="shared" si="33"/>
        <v>2.06</v>
      </c>
      <c r="H346">
        <f t="shared" si="34"/>
        <v>10.9</v>
      </c>
      <c r="I346">
        <f t="shared" si="35"/>
        <v>1705361.9645415274</v>
      </c>
      <c r="J346">
        <f t="shared" si="36"/>
        <v>634438.27928290295</v>
      </c>
      <c r="K346">
        <f t="shared" si="37"/>
        <v>628371.61258783878</v>
      </c>
      <c r="L346">
        <f t="shared" si="38"/>
        <v>401.58337484315888</v>
      </c>
      <c r="M346">
        <f t="shared" si="39"/>
        <v>315626.54013196781</v>
      </c>
      <c r="N346">
        <f t="shared" si="40"/>
        <v>1418.818674170597</v>
      </c>
      <c r="O346">
        <f t="shared" si="41"/>
        <v>523201.84588595491</v>
      </c>
      <c r="P346">
        <f t="shared" si="42"/>
        <v>1.2212000000000001</v>
      </c>
      <c r="Q346">
        <f t="shared" si="43"/>
        <v>1.3405</v>
      </c>
      <c r="R346">
        <f t="shared" si="44"/>
        <v>2.5617000000000001</v>
      </c>
    </row>
    <row r="347" spans="2:18" x14ac:dyDescent="0.3">
      <c r="B347" s="8">
        <v>1.5089999999999999</v>
      </c>
      <c r="C347">
        <v>17</v>
      </c>
      <c r="D347" s="8">
        <f t="shared" si="30"/>
        <v>5.0940154193290135E-2</v>
      </c>
      <c r="E347" s="8">
        <f t="shared" si="31"/>
        <v>7.175012808208997E-2</v>
      </c>
      <c r="F347" s="8">
        <f t="shared" si="32"/>
        <v>0.91695817996624207</v>
      </c>
      <c r="G347" s="8">
        <f t="shared" si="33"/>
        <v>2.06</v>
      </c>
      <c r="H347">
        <f t="shared" si="34"/>
        <v>10.9</v>
      </c>
      <c r="I347">
        <f t="shared" si="35"/>
        <v>1705361.9645415274</v>
      </c>
      <c r="J347">
        <f t="shared" si="36"/>
        <v>635468.36248826166</v>
      </c>
      <c r="K347">
        <f t="shared" si="37"/>
        <v>629401.69579319749</v>
      </c>
      <c r="L347">
        <f t="shared" si="38"/>
        <v>402.23539144348882</v>
      </c>
      <c r="M347">
        <f t="shared" si="39"/>
        <v>316202.93625030067</v>
      </c>
      <c r="N347">
        <f t="shared" si="40"/>
        <v>1421.1445292194805</v>
      </c>
      <c r="O347">
        <f t="shared" si="41"/>
        <v>524065.11673665687</v>
      </c>
      <c r="P347">
        <f t="shared" si="42"/>
        <v>1.2219</v>
      </c>
      <c r="Q347">
        <f t="shared" si="43"/>
        <v>1.3427</v>
      </c>
      <c r="R347">
        <f t="shared" si="44"/>
        <v>2.5646</v>
      </c>
    </row>
    <row r="348" spans="2:18" x14ac:dyDescent="0.3">
      <c r="B348" s="8">
        <v>1.512</v>
      </c>
      <c r="C348">
        <v>17</v>
      </c>
      <c r="D348" s="8">
        <f t="shared" si="30"/>
        <v>5.0958823495677492E-2</v>
      </c>
      <c r="E348" s="8">
        <f t="shared" si="31"/>
        <v>7.174795934594394E-2</v>
      </c>
      <c r="F348" s="8">
        <f t="shared" si="32"/>
        <v>0.91693046377391663</v>
      </c>
      <c r="G348" s="8">
        <f t="shared" si="33"/>
        <v>2.06</v>
      </c>
      <c r="H348">
        <f t="shared" si="34"/>
        <v>10.9</v>
      </c>
      <c r="I348">
        <f t="shared" si="35"/>
        <v>1705361.9645415274</v>
      </c>
      <c r="J348">
        <f t="shared" si="36"/>
        <v>636498.44569362071</v>
      </c>
      <c r="K348">
        <f t="shared" si="37"/>
        <v>630431.77899855655</v>
      </c>
      <c r="L348">
        <f t="shared" si="38"/>
        <v>402.88740804381899</v>
      </c>
      <c r="M348">
        <f t="shared" si="39"/>
        <v>316779.33236863383</v>
      </c>
      <c r="N348">
        <f t="shared" si="40"/>
        <v>1423.4703842683648</v>
      </c>
      <c r="O348">
        <f t="shared" si="41"/>
        <v>524928.38758735906</v>
      </c>
      <c r="P348">
        <f t="shared" si="42"/>
        <v>1.2225999999999999</v>
      </c>
      <c r="Q348">
        <f t="shared" si="43"/>
        <v>1.3449</v>
      </c>
      <c r="R348">
        <f t="shared" si="44"/>
        <v>2.5674999999999999</v>
      </c>
    </row>
    <row r="349" spans="2:18" x14ac:dyDescent="0.3">
      <c r="B349" s="8">
        <v>1.516</v>
      </c>
      <c r="C349">
        <v>17</v>
      </c>
      <c r="D349" s="8">
        <f t="shared" si="30"/>
        <v>5.0983622103263071E-2</v>
      </c>
      <c r="E349" s="8">
        <f t="shared" si="31"/>
        <v>7.1745078620830419E-2</v>
      </c>
      <c r="F349" s="8">
        <f t="shared" si="32"/>
        <v>0.91689364844650623</v>
      </c>
      <c r="G349" s="8">
        <f t="shared" si="33"/>
        <v>2.0699999999999998</v>
      </c>
      <c r="H349">
        <f t="shared" si="34"/>
        <v>10.9</v>
      </c>
      <c r="I349">
        <f t="shared" si="35"/>
        <v>1718014.2070878451</v>
      </c>
      <c r="J349">
        <f t="shared" si="36"/>
        <v>637871.88996743259</v>
      </c>
      <c r="K349">
        <f t="shared" si="37"/>
        <v>631805.22327236843</v>
      </c>
      <c r="L349">
        <f t="shared" si="38"/>
        <v>403.75676351092574</v>
      </c>
      <c r="M349">
        <f t="shared" si="39"/>
        <v>317547.86052641115</v>
      </c>
      <c r="N349">
        <f t="shared" si="40"/>
        <v>1426.5715243335433</v>
      </c>
      <c r="O349">
        <f t="shared" si="41"/>
        <v>526079.41538829508</v>
      </c>
      <c r="P349">
        <f t="shared" si="42"/>
        <v>1.2296</v>
      </c>
      <c r="Q349">
        <f t="shared" si="43"/>
        <v>1.3479000000000001</v>
      </c>
      <c r="R349">
        <f t="shared" si="44"/>
        <v>2.5775000000000001</v>
      </c>
    </row>
    <row r="350" spans="2:18" x14ac:dyDescent="0.3">
      <c r="B350" s="8">
        <v>1.5189999999999999</v>
      </c>
      <c r="C350">
        <v>17</v>
      </c>
      <c r="D350" s="8">
        <f t="shared" si="30"/>
        <v>5.100215109031396E-2</v>
      </c>
      <c r="E350" s="8">
        <f t="shared" si="31"/>
        <v>7.1742926225130343E-2</v>
      </c>
      <c r="F350" s="8">
        <f t="shared" si="32"/>
        <v>0.91686614108315423</v>
      </c>
      <c r="G350" s="8">
        <f t="shared" si="33"/>
        <v>2.0699999999999998</v>
      </c>
      <c r="H350">
        <f t="shared" si="34"/>
        <v>10.9</v>
      </c>
      <c r="I350">
        <f t="shared" si="35"/>
        <v>1718014.2070878451</v>
      </c>
      <c r="J350">
        <f t="shared" si="36"/>
        <v>638901.97317279142</v>
      </c>
      <c r="K350">
        <f t="shared" si="37"/>
        <v>632835.30647772725</v>
      </c>
      <c r="L350">
        <f t="shared" si="38"/>
        <v>404.40878011125568</v>
      </c>
      <c r="M350">
        <f t="shared" si="39"/>
        <v>318124.25664474408</v>
      </c>
      <c r="N350">
        <f t="shared" si="40"/>
        <v>1428.8973793824271</v>
      </c>
      <c r="O350">
        <f t="shared" si="41"/>
        <v>526942.68623899703</v>
      </c>
      <c r="P350">
        <f t="shared" si="42"/>
        <v>1.2302999999999999</v>
      </c>
      <c r="Q350">
        <f t="shared" si="43"/>
        <v>1.35</v>
      </c>
      <c r="R350">
        <f t="shared" si="44"/>
        <v>2.5803000000000003</v>
      </c>
    </row>
    <row r="351" spans="2:18" x14ac:dyDescent="0.3">
      <c r="B351" s="8">
        <v>1.522</v>
      </c>
      <c r="C351">
        <v>17</v>
      </c>
      <c r="D351" s="8">
        <f t="shared" si="30"/>
        <v>5.1020620426037222E-2</v>
      </c>
      <c r="E351" s="8">
        <f t="shared" si="31"/>
        <v>7.1740780775946325E-2</v>
      </c>
      <c r="F351" s="8">
        <f t="shared" si="32"/>
        <v>0.91683872249545861</v>
      </c>
      <c r="G351" s="8">
        <f t="shared" si="33"/>
        <v>2.0699999999999998</v>
      </c>
      <c r="H351">
        <f t="shared" si="34"/>
        <v>10.9</v>
      </c>
      <c r="I351">
        <f t="shared" si="35"/>
        <v>1718014.2070878451</v>
      </c>
      <c r="J351">
        <f t="shared" si="36"/>
        <v>639932.05637815036</v>
      </c>
      <c r="K351">
        <f t="shared" si="37"/>
        <v>633865.38968308619</v>
      </c>
      <c r="L351">
        <f t="shared" si="38"/>
        <v>405.06079671158585</v>
      </c>
      <c r="M351">
        <f t="shared" si="39"/>
        <v>318700.65276307717</v>
      </c>
      <c r="N351">
        <f t="shared" si="40"/>
        <v>1431.2232344313109</v>
      </c>
      <c r="O351">
        <f t="shared" si="41"/>
        <v>527805.95708969899</v>
      </c>
      <c r="P351">
        <f t="shared" si="42"/>
        <v>1.2310000000000001</v>
      </c>
      <c r="Q351">
        <f t="shared" si="43"/>
        <v>1.3522000000000001</v>
      </c>
      <c r="R351">
        <f t="shared" si="44"/>
        <v>2.5832000000000002</v>
      </c>
    </row>
    <row r="352" spans="2:18" x14ac:dyDescent="0.3">
      <c r="B352" s="8">
        <v>1.5249999999999999</v>
      </c>
      <c r="C352">
        <v>17</v>
      </c>
      <c r="D352" s="8">
        <f t="shared" si="30"/>
        <v>5.1039030398027818E-2</v>
      </c>
      <c r="E352" s="8">
        <f t="shared" si="31"/>
        <v>7.1738642239675882E-2</v>
      </c>
      <c r="F352" s="8">
        <f t="shared" si="32"/>
        <v>0.91681139225398378</v>
      </c>
      <c r="G352" s="8">
        <f t="shared" si="33"/>
        <v>2.0699999999999998</v>
      </c>
      <c r="H352">
        <f t="shared" si="34"/>
        <v>10.9</v>
      </c>
      <c r="I352">
        <f t="shared" si="35"/>
        <v>1718014.2070878451</v>
      </c>
      <c r="J352">
        <f t="shared" si="36"/>
        <v>640962.13958350918</v>
      </c>
      <c r="K352">
        <f t="shared" si="37"/>
        <v>634895.47288844502</v>
      </c>
      <c r="L352">
        <f t="shared" si="38"/>
        <v>405.7128133119158</v>
      </c>
      <c r="M352">
        <f t="shared" si="39"/>
        <v>319277.0488814101</v>
      </c>
      <c r="N352">
        <f t="shared" si="40"/>
        <v>1433.5490894801944</v>
      </c>
      <c r="O352">
        <f t="shared" si="41"/>
        <v>528669.22794040095</v>
      </c>
      <c r="P352">
        <f t="shared" si="42"/>
        <v>1.2317</v>
      </c>
      <c r="Q352">
        <f t="shared" si="43"/>
        <v>1.3544</v>
      </c>
      <c r="R352">
        <f t="shared" si="44"/>
        <v>2.5861000000000001</v>
      </c>
    </row>
    <row r="353" spans="2:18" x14ac:dyDescent="0.3">
      <c r="B353" s="8">
        <v>1.5289999999999999</v>
      </c>
      <c r="C353">
        <v>17</v>
      </c>
      <c r="D353" s="8">
        <f t="shared" si="30"/>
        <v>5.1063485177388013E-2</v>
      </c>
      <c r="E353" s="8">
        <f t="shared" si="31"/>
        <v>7.1735801553729717E-2</v>
      </c>
      <c r="F353" s="8">
        <f t="shared" si="32"/>
        <v>0.91677508862241297</v>
      </c>
      <c r="G353" s="8">
        <f t="shared" si="33"/>
        <v>2.0699999999999998</v>
      </c>
      <c r="H353">
        <f t="shared" si="34"/>
        <v>10.9</v>
      </c>
      <c r="I353">
        <f t="shared" si="35"/>
        <v>1718014.2070878451</v>
      </c>
      <c r="J353">
        <f t="shared" si="36"/>
        <v>642335.58385732106</v>
      </c>
      <c r="K353">
        <f t="shared" si="37"/>
        <v>636268.9171622569</v>
      </c>
      <c r="L353">
        <f t="shared" si="38"/>
        <v>406.58216877902254</v>
      </c>
      <c r="M353">
        <f t="shared" si="39"/>
        <v>320045.57703918748</v>
      </c>
      <c r="N353">
        <f t="shared" si="40"/>
        <v>1436.6502295453729</v>
      </c>
      <c r="O353">
        <f t="shared" si="41"/>
        <v>529820.25574133697</v>
      </c>
      <c r="P353">
        <f t="shared" si="42"/>
        <v>1.2325999999999999</v>
      </c>
      <c r="Q353">
        <f t="shared" si="43"/>
        <v>1.3573999999999999</v>
      </c>
      <c r="R353">
        <f t="shared" si="44"/>
        <v>2.59</v>
      </c>
    </row>
    <row r="354" spans="2:18" x14ac:dyDescent="0.3">
      <c r="B354" s="8">
        <v>1.532</v>
      </c>
      <c r="C354">
        <v>17</v>
      </c>
      <c r="D354" s="8">
        <f t="shared" si="30"/>
        <v>5.1081757742086696E-2</v>
      </c>
      <c r="E354" s="8">
        <f t="shared" si="31"/>
        <v>7.1733679018127772E-2</v>
      </c>
      <c r="F354" s="8">
        <f t="shared" si="32"/>
        <v>0.91674796286759552</v>
      </c>
      <c r="G354" s="8">
        <f t="shared" si="33"/>
        <v>2.0699999999999998</v>
      </c>
      <c r="H354">
        <f t="shared" si="34"/>
        <v>10.9</v>
      </c>
      <c r="I354">
        <f t="shared" si="35"/>
        <v>1718014.2070878451</v>
      </c>
      <c r="J354">
        <f t="shared" si="36"/>
        <v>643365.66706268</v>
      </c>
      <c r="K354">
        <f t="shared" si="37"/>
        <v>637299.00036761584</v>
      </c>
      <c r="L354">
        <f t="shared" si="38"/>
        <v>407.2341853793526</v>
      </c>
      <c r="M354">
        <f t="shared" si="39"/>
        <v>320621.97315752046</v>
      </c>
      <c r="N354">
        <f t="shared" si="40"/>
        <v>1438.9760845942571</v>
      </c>
      <c r="O354">
        <f t="shared" si="41"/>
        <v>530683.52659203904</v>
      </c>
      <c r="P354">
        <f t="shared" si="42"/>
        <v>1.2333000000000001</v>
      </c>
      <c r="Q354">
        <f t="shared" si="43"/>
        <v>1.3595999999999999</v>
      </c>
      <c r="R354">
        <f t="shared" si="44"/>
        <v>2.5929000000000002</v>
      </c>
    </row>
    <row r="355" spans="2:18" x14ac:dyDescent="0.3">
      <c r="B355" s="8">
        <v>1.5349999999999999</v>
      </c>
      <c r="C355">
        <v>17</v>
      </c>
      <c r="D355" s="8">
        <f t="shared" si="30"/>
        <v>5.1099971888454693E-2</v>
      </c>
      <c r="E355" s="8">
        <f t="shared" si="31"/>
        <v>7.1731563284986158E-2</v>
      </c>
      <c r="F355" s="8">
        <f t="shared" si="32"/>
        <v>0.91672092404741945</v>
      </c>
      <c r="G355" s="8">
        <f t="shared" si="33"/>
        <v>2.08</v>
      </c>
      <c r="H355">
        <f t="shared" si="34"/>
        <v>10.9</v>
      </c>
      <c r="I355">
        <f t="shared" si="35"/>
        <v>1730666.4496341629</v>
      </c>
      <c r="J355">
        <f t="shared" si="36"/>
        <v>644395.75026803883</v>
      </c>
      <c r="K355">
        <f t="shared" si="37"/>
        <v>638329.08357297466</v>
      </c>
      <c r="L355">
        <f t="shared" si="38"/>
        <v>407.8862019796826</v>
      </c>
      <c r="M355">
        <f t="shared" si="39"/>
        <v>321198.36927585345</v>
      </c>
      <c r="N355">
        <f t="shared" si="40"/>
        <v>1441.3019396431407</v>
      </c>
      <c r="O355">
        <f t="shared" si="41"/>
        <v>531546.79744274099</v>
      </c>
      <c r="P355">
        <f t="shared" si="42"/>
        <v>1.24</v>
      </c>
      <c r="Q355">
        <f t="shared" si="43"/>
        <v>1.3617999999999999</v>
      </c>
      <c r="R355">
        <f t="shared" si="44"/>
        <v>2.6017999999999999</v>
      </c>
    </row>
    <row r="356" spans="2:18" x14ac:dyDescent="0.3">
      <c r="B356" s="8">
        <v>1.5389999999999999</v>
      </c>
      <c r="C356">
        <v>17</v>
      </c>
      <c r="D356" s="8">
        <f t="shared" si="30"/>
        <v>5.1124167027165886E-2</v>
      </c>
      <c r="E356" s="8">
        <f t="shared" si="31"/>
        <v>7.1728752832622089E-2</v>
      </c>
      <c r="F356" s="8">
        <f t="shared" si="32"/>
        <v>0.91668500679746423</v>
      </c>
      <c r="G356" s="8">
        <f t="shared" si="33"/>
        <v>2.08</v>
      </c>
      <c r="H356">
        <f t="shared" si="34"/>
        <v>10.9</v>
      </c>
      <c r="I356">
        <f t="shared" si="35"/>
        <v>1730666.4496341629</v>
      </c>
      <c r="J356">
        <f t="shared" si="36"/>
        <v>645769.19454185071</v>
      </c>
      <c r="K356">
        <f t="shared" si="37"/>
        <v>639702.52784678654</v>
      </c>
      <c r="L356">
        <f t="shared" si="38"/>
        <v>408.75555744678934</v>
      </c>
      <c r="M356">
        <f t="shared" si="39"/>
        <v>321966.89743363077</v>
      </c>
      <c r="N356">
        <f t="shared" si="40"/>
        <v>1444.403079708319</v>
      </c>
      <c r="O356">
        <f t="shared" si="41"/>
        <v>532697.8252436769</v>
      </c>
      <c r="P356">
        <f t="shared" si="42"/>
        <v>1.2410000000000001</v>
      </c>
      <c r="Q356">
        <f t="shared" si="43"/>
        <v>1.3647</v>
      </c>
      <c r="R356">
        <f t="shared" si="44"/>
        <v>2.6057000000000001</v>
      </c>
    </row>
    <row r="357" spans="2:18" x14ac:dyDescent="0.3">
      <c r="B357" s="8">
        <v>1.542</v>
      </c>
      <c r="C357">
        <v>17</v>
      </c>
      <c r="D357" s="8">
        <f t="shared" si="30"/>
        <v>5.1142245948748354E-2</v>
      </c>
      <c r="E357" s="8">
        <f t="shared" si="31"/>
        <v>7.1726652845176292E-2</v>
      </c>
      <c r="F357" s="8">
        <f t="shared" si="32"/>
        <v>0.91665816920542476</v>
      </c>
      <c r="G357" s="8">
        <f t="shared" si="33"/>
        <v>2.08</v>
      </c>
      <c r="H357">
        <f t="shared" si="34"/>
        <v>10.9</v>
      </c>
      <c r="I357">
        <f t="shared" si="35"/>
        <v>1730666.4496341629</v>
      </c>
      <c r="J357">
        <f t="shared" si="36"/>
        <v>646799.27774720965</v>
      </c>
      <c r="K357">
        <f t="shared" si="37"/>
        <v>640732.61105214548</v>
      </c>
      <c r="L357">
        <f t="shared" si="38"/>
        <v>409.40757404711945</v>
      </c>
      <c r="M357">
        <f t="shared" si="39"/>
        <v>322543.29355196387</v>
      </c>
      <c r="N357">
        <f t="shared" si="40"/>
        <v>1446.7289347572032</v>
      </c>
      <c r="O357">
        <f t="shared" si="41"/>
        <v>533561.09609437909</v>
      </c>
      <c r="P357">
        <f t="shared" si="42"/>
        <v>1.2417</v>
      </c>
      <c r="Q357">
        <f t="shared" si="43"/>
        <v>1.3669</v>
      </c>
      <c r="R357">
        <f t="shared" si="44"/>
        <v>2.6086</v>
      </c>
    </row>
    <row r="358" spans="2:18" x14ac:dyDescent="0.3">
      <c r="B358" s="8">
        <v>1.5449999999999999</v>
      </c>
      <c r="C358">
        <v>17</v>
      </c>
      <c r="D358" s="8">
        <f t="shared" si="30"/>
        <v>5.1160267377433406E-2</v>
      </c>
      <c r="E358" s="8">
        <f t="shared" si="31"/>
        <v>7.1724559552082193E-2</v>
      </c>
      <c r="F358" s="8">
        <f t="shared" si="32"/>
        <v>0.91663141716641083</v>
      </c>
      <c r="G358" s="8">
        <f t="shared" si="33"/>
        <v>2.08</v>
      </c>
      <c r="H358">
        <f t="shared" si="34"/>
        <v>10.9</v>
      </c>
      <c r="I358">
        <f t="shared" si="35"/>
        <v>1730666.4496341629</v>
      </c>
      <c r="J358">
        <f t="shared" si="36"/>
        <v>647829.36095256859</v>
      </c>
      <c r="K358">
        <f t="shared" si="37"/>
        <v>641762.69425750442</v>
      </c>
      <c r="L358">
        <f t="shared" si="38"/>
        <v>410.05959064744951</v>
      </c>
      <c r="M358">
        <f t="shared" si="39"/>
        <v>323119.68967029685</v>
      </c>
      <c r="N358">
        <f t="shared" si="40"/>
        <v>1449.054789806087</v>
      </c>
      <c r="O358">
        <f t="shared" si="41"/>
        <v>534424.36694508104</v>
      </c>
      <c r="P358">
        <f t="shared" si="42"/>
        <v>1.2423</v>
      </c>
      <c r="Q358">
        <f t="shared" si="43"/>
        <v>1.3691</v>
      </c>
      <c r="R358">
        <f t="shared" si="44"/>
        <v>2.6113999999999997</v>
      </c>
    </row>
    <row r="359" spans="2:18" x14ac:dyDescent="0.3">
      <c r="B359" s="8">
        <v>1.548</v>
      </c>
      <c r="C359">
        <v>17</v>
      </c>
      <c r="D359" s="8">
        <f t="shared" si="30"/>
        <v>5.1178231587035987E-2</v>
      </c>
      <c r="E359" s="8">
        <f t="shared" si="31"/>
        <v>7.1722472921355085E-2</v>
      </c>
      <c r="F359" s="8">
        <f t="shared" si="32"/>
        <v>0.91660475027166188</v>
      </c>
      <c r="G359" s="8">
        <f t="shared" si="33"/>
        <v>2.08</v>
      </c>
      <c r="H359">
        <f t="shared" si="34"/>
        <v>10.9</v>
      </c>
      <c r="I359">
        <f t="shared" si="35"/>
        <v>1730666.4496341629</v>
      </c>
      <c r="J359">
        <f t="shared" si="36"/>
        <v>648859.44415792753</v>
      </c>
      <c r="K359">
        <f t="shared" si="37"/>
        <v>642792.77746286336</v>
      </c>
      <c r="L359">
        <f t="shared" si="38"/>
        <v>410.71160724777957</v>
      </c>
      <c r="M359">
        <f t="shared" si="39"/>
        <v>323696.08578862989</v>
      </c>
      <c r="N359">
        <f t="shared" si="40"/>
        <v>1451.380644854971</v>
      </c>
      <c r="O359">
        <f t="shared" si="41"/>
        <v>535287.63779578311</v>
      </c>
      <c r="P359">
        <f t="shared" si="42"/>
        <v>1.2430000000000001</v>
      </c>
      <c r="Q359">
        <f t="shared" si="43"/>
        <v>1.3713</v>
      </c>
      <c r="R359">
        <f t="shared" si="44"/>
        <v>2.6143000000000001</v>
      </c>
    </row>
    <row r="360" spans="2:18" x14ac:dyDescent="0.3">
      <c r="B360" s="8">
        <v>1.552</v>
      </c>
      <c r="C360">
        <v>17</v>
      </c>
      <c r="D360" s="8">
        <f t="shared" si="30"/>
        <v>5.1202095329056035E-2</v>
      </c>
      <c r="E360" s="8">
        <f t="shared" si="31"/>
        <v>7.1719701055833529E-2</v>
      </c>
      <c r="F360" s="8">
        <f t="shared" si="32"/>
        <v>0.91656932615700604</v>
      </c>
      <c r="G360" s="8">
        <f t="shared" si="33"/>
        <v>2.08</v>
      </c>
      <c r="H360">
        <f t="shared" si="34"/>
        <v>10.9</v>
      </c>
      <c r="I360">
        <f t="shared" si="35"/>
        <v>1730666.4496341629</v>
      </c>
      <c r="J360">
        <f t="shared" si="36"/>
        <v>650232.88843173929</v>
      </c>
      <c r="K360">
        <f t="shared" si="37"/>
        <v>644166.22173667513</v>
      </c>
      <c r="L360">
        <f t="shared" si="38"/>
        <v>411.58096271488625</v>
      </c>
      <c r="M360">
        <f t="shared" si="39"/>
        <v>324464.61394640716</v>
      </c>
      <c r="N360">
        <f t="shared" si="40"/>
        <v>1454.4817849201495</v>
      </c>
      <c r="O360">
        <f t="shared" si="41"/>
        <v>536438.66559671913</v>
      </c>
      <c r="P360">
        <f t="shared" si="42"/>
        <v>1.244</v>
      </c>
      <c r="Q360">
        <f t="shared" si="43"/>
        <v>1.3742000000000001</v>
      </c>
      <c r="R360">
        <f t="shared" si="44"/>
        <v>2.6181999999999999</v>
      </c>
    </row>
    <row r="361" spans="2:18" x14ac:dyDescent="0.3">
      <c r="B361" s="8">
        <v>1.5549999999999999</v>
      </c>
      <c r="C361">
        <v>17</v>
      </c>
      <c r="D361" s="8">
        <f t="shared" si="30"/>
        <v>5.1219927082576097E-2</v>
      </c>
      <c r="E361" s="8">
        <f t="shared" si="31"/>
        <v>7.1717629847386291E-2</v>
      </c>
      <c r="F361" s="8">
        <f t="shared" si="32"/>
        <v>0.91654285635717592</v>
      </c>
      <c r="G361" s="8">
        <f t="shared" si="33"/>
        <v>2.09</v>
      </c>
      <c r="H361">
        <f t="shared" si="34"/>
        <v>10.9</v>
      </c>
      <c r="I361">
        <f t="shared" si="35"/>
        <v>1743318.6921804813</v>
      </c>
      <c r="J361">
        <f t="shared" si="36"/>
        <v>651262.97163709824</v>
      </c>
      <c r="K361">
        <f t="shared" si="37"/>
        <v>645196.30494203407</v>
      </c>
      <c r="L361">
        <f t="shared" si="38"/>
        <v>412.23297931521631</v>
      </c>
      <c r="M361">
        <f t="shared" si="39"/>
        <v>325041.0100647402</v>
      </c>
      <c r="N361">
        <f t="shared" si="40"/>
        <v>1456.8076399690333</v>
      </c>
      <c r="O361">
        <f t="shared" si="41"/>
        <v>537301.93644742109</v>
      </c>
      <c r="P361">
        <f t="shared" si="42"/>
        <v>1.2506999999999999</v>
      </c>
      <c r="Q361">
        <f t="shared" si="43"/>
        <v>1.3764000000000001</v>
      </c>
      <c r="R361">
        <f t="shared" si="44"/>
        <v>2.6271</v>
      </c>
    </row>
    <row r="362" spans="2:18" x14ac:dyDescent="0.3">
      <c r="B362" s="8">
        <v>1.5580000000000001</v>
      </c>
      <c r="C362">
        <v>17</v>
      </c>
      <c r="D362" s="8">
        <f t="shared" si="30"/>
        <v>5.1237702517269286E-2</v>
      </c>
      <c r="E362" s="8">
        <f t="shared" si="31"/>
        <v>7.1715565196153158E-2</v>
      </c>
      <c r="F362" s="8">
        <f t="shared" si="32"/>
        <v>0.9165164703577694</v>
      </c>
      <c r="G362" s="8">
        <f t="shared" si="33"/>
        <v>2.09</v>
      </c>
      <c r="H362">
        <f t="shared" si="34"/>
        <v>10.9</v>
      </c>
      <c r="I362">
        <f t="shared" si="35"/>
        <v>1743318.6921804813</v>
      </c>
      <c r="J362">
        <f t="shared" si="36"/>
        <v>652293.05484245718</v>
      </c>
      <c r="K362">
        <f t="shared" si="37"/>
        <v>646226.38814739301</v>
      </c>
      <c r="L362">
        <f t="shared" si="38"/>
        <v>412.88499591554643</v>
      </c>
      <c r="M362">
        <f t="shared" si="39"/>
        <v>325617.40618307324</v>
      </c>
      <c r="N362">
        <f t="shared" si="40"/>
        <v>1459.1334950179171</v>
      </c>
      <c r="O362">
        <f t="shared" si="41"/>
        <v>538165.20729812304</v>
      </c>
      <c r="P362">
        <f t="shared" si="42"/>
        <v>1.2514000000000001</v>
      </c>
      <c r="Q362">
        <f t="shared" si="43"/>
        <v>1.3786</v>
      </c>
      <c r="R362">
        <f t="shared" si="44"/>
        <v>2.63</v>
      </c>
    </row>
    <row r="363" spans="2:18" x14ac:dyDescent="0.3">
      <c r="B363" s="8">
        <v>1.5609999999999999</v>
      </c>
      <c r="C363">
        <v>17</v>
      </c>
      <c r="D363" s="8">
        <f t="shared" si="30"/>
        <v>5.1255421899526289E-2</v>
      </c>
      <c r="E363" s="8">
        <f t="shared" si="31"/>
        <v>7.171350707102081E-2</v>
      </c>
      <c r="F363" s="8">
        <f t="shared" si="32"/>
        <v>0.91649016776116166</v>
      </c>
      <c r="G363" s="8">
        <f t="shared" si="33"/>
        <v>2.09</v>
      </c>
      <c r="H363">
        <f t="shared" si="34"/>
        <v>10.9</v>
      </c>
      <c r="I363">
        <f t="shared" si="35"/>
        <v>1743318.6921804813</v>
      </c>
      <c r="J363">
        <f t="shared" si="36"/>
        <v>653323.138047816</v>
      </c>
      <c r="K363">
        <f t="shared" si="37"/>
        <v>647256.47135275183</v>
      </c>
      <c r="L363">
        <f t="shared" si="38"/>
        <v>413.53701251587643</v>
      </c>
      <c r="M363">
        <f t="shared" si="39"/>
        <v>326193.80230140622</v>
      </c>
      <c r="N363">
        <f t="shared" si="40"/>
        <v>1461.4593500668009</v>
      </c>
      <c r="O363">
        <f t="shared" si="41"/>
        <v>539028.47814882512</v>
      </c>
      <c r="P363">
        <f t="shared" si="42"/>
        <v>1.2521</v>
      </c>
      <c r="Q363">
        <f t="shared" si="43"/>
        <v>1.3808</v>
      </c>
      <c r="R363">
        <f t="shared" si="44"/>
        <v>2.6329000000000002</v>
      </c>
    </row>
    <row r="364" spans="2:18" x14ac:dyDescent="0.3">
      <c r="B364" s="8">
        <v>1.5649999999999999</v>
      </c>
      <c r="C364">
        <v>17</v>
      </c>
      <c r="D364" s="8">
        <f t="shared" si="30"/>
        <v>5.1278961007146406E-2</v>
      </c>
      <c r="E364" s="8">
        <f t="shared" si="31"/>
        <v>7.1710773002482367E-2</v>
      </c>
      <c r="F364" s="8">
        <f t="shared" si="32"/>
        <v>0.91645522668749491</v>
      </c>
      <c r="G364" s="8">
        <f t="shared" si="33"/>
        <v>2.09</v>
      </c>
      <c r="H364">
        <f t="shared" si="34"/>
        <v>10.9</v>
      </c>
      <c r="I364">
        <f t="shared" si="35"/>
        <v>1743318.6921804813</v>
      </c>
      <c r="J364">
        <f t="shared" si="36"/>
        <v>654696.58232162788</v>
      </c>
      <c r="K364">
        <f t="shared" si="37"/>
        <v>648629.91562656371</v>
      </c>
      <c r="L364">
        <f t="shared" si="38"/>
        <v>414.40636798298317</v>
      </c>
      <c r="M364">
        <f t="shared" si="39"/>
        <v>326962.33045918361</v>
      </c>
      <c r="N364">
        <f t="shared" si="40"/>
        <v>1464.5604901319793</v>
      </c>
      <c r="O364">
        <f t="shared" si="41"/>
        <v>540179.50594976114</v>
      </c>
      <c r="P364">
        <f t="shared" si="42"/>
        <v>1.2529999999999999</v>
      </c>
      <c r="Q364">
        <f t="shared" si="43"/>
        <v>1.3836999999999999</v>
      </c>
      <c r="R364">
        <f t="shared" si="44"/>
        <v>2.6366999999999998</v>
      </c>
    </row>
    <row r="365" spans="2:18" x14ac:dyDescent="0.3">
      <c r="B365" s="8">
        <v>1.5680000000000001</v>
      </c>
      <c r="C365">
        <v>17</v>
      </c>
      <c r="D365" s="8">
        <f t="shared" si="30"/>
        <v>5.1296550626951848E-2</v>
      </c>
      <c r="E365" s="8">
        <f t="shared" si="31"/>
        <v>7.1708729985025324E-2</v>
      </c>
      <c r="F365" s="8">
        <f t="shared" si="32"/>
        <v>0.9164291171651967</v>
      </c>
      <c r="G365" s="8">
        <f t="shared" si="33"/>
        <v>2.09</v>
      </c>
      <c r="H365">
        <f t="shared" si="34"/>
        <v>10.9</v>
      </c>
      <c r="I365">
        <f t="shared" si="35"/>
        <v>1743318.6921804813</v>
      </c>
      <c r="J365">
        <f t="shared" si="36"/>
        <v>655726.66552698682</v>
      </c>
      <c r="K365">
        <f t="shared" si="37"/>
        <v>649659.99883192265</v>
      </c>
      <c r="L365">
        <f t="shared" si="38"/>
        <v>415.05838458331323</v>
      </c>
      <c r="M365">
        <f t="shared" si="39"/>
        <v>327538.72657751659</v>
      </c>
      <c r="N365">
        <f t="shared" si="40"/>
        <v>1466.8863451808631</v>
      </c>
      <c r="O365">
        <f t="shared" si="41"/>
        <v>541042.77680046309</v>
      </c>
      <c r="P365">
        <f t="shared" si="42"/>
        <v>1.2537</v>
      </c>
      <c r="Q365">
        <f t="shared" si="43"/>
        <v>1.3858999999999999</v>
      </c>
      <c r="R365">
        <f t="shared" si="44"/>
        <v>2.6395999999999997</v>
      </c>
    </row>
    <row r="366" spans="2:18" x14ac:dyDescent="0.3">
      <c r="B366" s="8">
        <v>1.571</v>
      </c>
      <c r="C366">
        <v>17</v>
      </c>
      <c r="D366" s="8">
        <f t="shared" si="30"/>
        <v>5.1314085070249454E-2</v>
      </c>
      <c r="E366" s="8">
        <f t="shared" si="31"/>
        <v>7.1706693391371104E-2</v>
      </c>
      <c r="F366" s="8">
        <f t="shared" si="32"/>
        <v>0.91640308973834161</v>
      </c>
      <c r="G366" s="8">
        <f t="shared" si="33"/>
        <v>2.09</v>
      </c>
      <c r="H366">
        <f t="shared" si="34"/>
        <v>10.9</v>
      </c>
      <c r="I366">
        <f t="shared" si="35"/>
        <v>1743318.6921804813</v>
      </c>
      <c r="J366">
        <f t="shared" si="36"/>
        <v>656756.74873234576</v>
      </c>
      <c r="K366">
        <f t="shared" si="37"/>
        <v>650690.08203728159</v>
      </c>
      <c r="L366">
        <f t="shared" si="38"/>
        <v>415.71040118364334</v>
      </c>
      <c r="M366">
        <f t="shared" si="39"/>
        <v>328115.12269584968</v>
      </c>
      <c r="N366">
        <f t="shared" si="40"/>
        <v>1469.2122002297472</v>
      </c>
      <c r="O366">
        <f t="shared" si="41"/>
        <v>541906.04765116517</v>
      </c>
      <c r="P366">
        <f t="shared" si="42"/>
        <v>1.2544</v>
      </c>
      <c r="Q366">
        <f t="shared" si="43"/>
        <v>1.3880999999999999</v>
      </c>
      <c r="R366">
        <f t="shared" si="44"/>
        <v>2.6425000000000001</v>
      </c>
    </row>
    <row r="367" spans="2:18" x14ac:dyDescent="0.3">
      <c r="B367" s="8">
        <v>1.575</v>
      </c>
      <c r="C367">
        <v>17</v>
      </c>
      <c r="D367" s="8">
        <f t="shared" si="30"/>
        <v>5.1337378945651005E-2</v>
      </c>
      <c r="E367" s="8">
        <f t="shared" si="31"/>
        <v>7.1703987873454098E-2</v>
      </c>
      <c r="F367" s="8">
        <f t="shared" si="32"/>
        <v>0.91636851353825166</v>
      </c>
      <c r="G367" s="8">
        <f t="shared" si="33"/>
        <v>2.1</v>
      </c>
      <c r="H367">
        <f t="shared" si="34"/>
        <v>10.9</v>
      </c>
      <c r="I367">
        <f t="shared" si="35"/>
        <v>1755970.9347267994</v>
      </c>
      <c r="J367">
        <f t="shared" si="36"/>
        <v>658130.19300615764</v>
      </c>
      <c r="K367">
        <f t="shared" si="37"/>
        <v>652063.52631109348</v>
      </c>
      <c r="L367">
        <f t="shared" si="38"/>
        <v>416.57975665075003</v>
      </c>
      <c r="M367">
        <f t="shared" si="39"/>
        <v>328883.65085362695</v>
      </c>
      <c r="N367">
        <f t="shared" si="40"/>
        <v>1472.3133402949256</v>
      </c>
      <c r="O367">
        <f t="shared" si="41"/>
        <v>543057.07545210118</v>
      </c>
      <c r="P367">
        <f t="shared" si="42"/>
        <v>1.2614000000000001</v>
      </c>
      <c r="Q367">
        <f t="shared" si="43"/>
        <v>1.3911</v>
      </c>
      <c r="R367">
        <f t="shared" si="44"/>
        <v>2.6524999999999999</v>
      </c>
    </row>
    <row r="368" spans="2:18" x14ac:dyDescent="0.3">
      <c r="B368" s="8">
        <v>1.5780000000000001</v>
      </c>
      <c r="C368">
        <v>17</v>
      </c>
      <c r="D368" s="8">
        <f t="shared" si="30"/>
        <v>5.1354785649027478E-2</v>
      </c>
      <c r="E368" s="8">
        <f t="shared" si="31"/>
        <v>7.1701966151279495E-2</v>
      </c>
      <c r="F368" s="8">
        <f t="shared" si="32"/>
        <v>0.91634267616715315</v>
      </c>
      <c r="G368" s="8">
        <f t="shared" si="33"/>
        <v>2.1</v>
      </c>
      <c r="H368">
        <f t="shared" si="34"/>
        <v>10.9</v>
      </c>
      <c r="I368">
        <f t="shared" si="35"/>
        <v>1755970.9347267994</v>
      </c>
      <c r="J368">
        <f t="shared" si="36"/>
        <v>659160.27621151647</v>
      </c>
      <c r="K368">
        <f t="shared" si="37"/>
        <v>653093.6095164523</v>
      </c>
      <c r="L368">
        <f t="shared" si="38"/>
        <v>417.23177325108009</v>
      </c>
      <c r="M368">
        <f t="shared" si="39"/>
        <v>329460.04697195999</v>
      </c>
      <c r="N368">
        <f t="shared" si="40"/>
        <v>1474.6391953438094</v>
      </c>
      <c r="O368">
        <f t="shared" si="41"/>
        <v>543920.34630280314</v>
      </c>
      <c r="P368">
        <f t="shared" si="42"/>
        <v>1.2621</v>
      </c>
      <c r="Q368">
        <f t="shared" si="43"/>
        <v>1.3933</v>
      </c>
      <c r="R368">
        <f t="shared" si="44"/>
        <v>2.6554000000000002</v>
      </c>
    </row>
    <row r="369" spans="2:18" x14ac:dyDescent="0.3">
      <c r="B369" s="8">
        <v>1.581</v>
      </c>
      <c r="C369">
        <v>17</v>
      </c>
      <c r="D369" s="8">
        <f t="shared" si="30"/>
        <v>5.1372138033668295E-2</v>
      </c>
      <c r="E369" s="8">
        <f t="shared" si="31"/>
        <v>7.1699950752740008E-2</v>
      </c>
      <c r="F369" s="8">
        <f t="shared" si="32"/>
        <v>0.91631691961136608</v>
      </c>
      <c r="G369" s="8">
        <f t="shared" si="33"/>
        <v>2.1</v>
      </c>
      <c r="H369">
        <f t="shared" si="34"/>
        <v>10.9</v>
      </c>
      <c r="I369">
        <f t="shared" si="35"/>
        <v>1755970.9347267994</v>
      </c>
      <c r="J369">
        <f t="shared" si="36"/>
        <v>660190.35941687541</v>
      </c>
      <c r="K369">
        <f t="shared" si="37"/>
        <v>654123.69272181124</v>
      </c>
      <c r="L369">
        <f t="shared" si="38"/>
        <v>417.88378985141014</v>
      </c>
      <c r="M369">
        <f t="shared" si="39"/>
        <v>330036.44309029297</v>
      </c>
      <c r="N369">
        <f t="shared" si="40"/>
        <v>1476.9650503926932</v>
      </c>
      <c r="O369">
        <f t="shared" si="41"/>
        <v>544783.6171535051</v>
      </c>
      <c r="P369">
        <f t="shared" si="42"/>
        <v>1.2627999999999999</v>
      </c>
      <c r="Q369">
        <f t="shared" si="43"/>
        <v>1.3955</v>
      </c>
      <c r="R369">
        <f t="shared" si="44"/>
        <v>2.6582999999999997</v>
      </c>
    </row>
    <row r="370" spans="2:18" x14ac:dyDescent="0.3">
      <c r="B370" s="8">
        <v>1.5840000000000001</v>
      </c>
      <c r="C370">
        <v>17</v>
      </c>
      <c r="D370" s="8">
        <f t="shared" si="30"/>
        <v>5.1389436353435007E-2</v>
      </c>
      <c r="E370" s="8">
        <f t="shared" si="31"/>
        <v>7.1697941648192529E-2</v>
      </c>
      <c r="F370" s="8">
        <f t="shared" si="32"/>
        <v>0.91629124349205504</v>
      </c>
      <c r="G370" s="8">
        <f t="shared" si="33"/>
        <v>2.1</v>
      </c>
      <c r="H370">
        <f t="shared" si="34"/>
        <v>10.9</v>
      </c>
      <c r="I370">
        <f t="shared" si="35"/>
        <v>1755970.9347267994</v>
      </c>
      <c r="J370">
        <f t="shared" si="36"/>
        <v>661220.44262223423</v>
      </c>
      <c r="K370">
        <f t="shared" si="37"/>
        <v>655153.77592717006</v>
      </c>
      <c r="L370">
        <f t="shared" si="38"/>
        <v>418.5358064517402</v>
      </c>
      <c r="M370">
        <f t="shared" si="39"/>
        <v>330612.83920862601</v>
      </c>
      <c r="N370">
        <f t="shared" si="40"/>
        <v>1479.290905441577</v>
      </c>
      <c r="O370">
        <f t="shared" si="41"/>
        <v>545646.88800420705</v>
      </c>
      <c r="P370">
        <f t="shared" si="42"/>
        <v>1.2635000000000001</v>
      </c>
      <c r="Q370">
        <f t="shared" si="43"/>
        <v>1.3976999999999999</v>
      </c>
      <c r="R370">
        <f t="shared" si="44"/>
        <v>2.6612</v>
      </c>
    </row>
    <row r="371" spans="2:18" x14ac:dyDescent="0.3">
      <c r="B371" s="8">
        <v>1.5880000000000001</v>
      </c>
      <c r="C371">
        <v>17</v>
      </c>
      <c r="D371" s="8">
        <f t="shared" si="30"/>
        <v>5.1412417114692556E-2</v>
      </c>
      <c r="E371" s="8">
        <f t="shared" si="31"/>
        <v>7.1695272581894912E-2</v>
      </c>
      <c r="F371" s="8">
        <f t="shared" si="32"/>
        <v>0.91625713313936452</v>
      </c>
      <c r="G371" s="8">
        <f t="shared" si="33"/>
        <v>2.1</v>
      </c>
      <c r="H371">
        <f t="shared" si="34"/>
        <v>10.9</v>
      </c>
      <c r="I371">
        <f t="shared" si="35"/>
        <v>1755970.9347267994</v>
      </c>
      <c r="J371">
        <f t="shared" si="36"/>
        <v>662593.88689604611</v>
      </c>
      <c r="K371">
        <f t="shared" si="37"/>
        <v>656527.22020098194</v>
      </c>
      <c r="L371">
        <f t="shared" si="38"/>
        <v>419.40516191884689</v>
      </c>
      <c r="M371">
        <f t="shared" si="39"/>
        <v>331381.36736640328</v>
      </c>
      <c r="N371">
        <f t="shared" si="40"/>
        <v>1482.3920455067555</v>
      </c>
      <c r="O371">
        <f t="shared" si="41"/>
        <v>546797.91580514307</v>
      </c>
      <c r="P371">
        <f t="shared" si="42"/>
        <v>1.2644</v>
      </c>
      <c r="Q371">
        <f t="shared" si="43"/>
        <v>1.4006000000000001</v>
      </c>
      <c r="R371">
        <f t="shared" si="44"/>
        <v>2.665</v>
      </c>
    </row>
    <row r="372" spans="2:18" x14ac:dyDescent="0.3">
      <c r="B372" s="8">
        <v>1.591</v>
      </c>
      <c r="C372">
        <v>17</v>
      </c>
      <c r="D372" s="8">
        <f t="shared" si="30"/>
        <v>5.142959026147647E-2</v>
      </c>
      <c r="E372" s="8">
        <f t="shared" si="31"/>
        <v>7.1693278049087414E-2</v>
      </c>
      <c r="F372" s="8">
        <f t="shared" si="32"/>
        <v>0.91623164324517292</v>
      </c>
      <c r="G372" s="8">
        <f t="shared" si="33"/>
        <v>2.11</v>
      </c>
      <c r="H372">
        <f t="shared" si="34"/>
        <v>10.9</v>
      </c>
      <c r="I372">
        <f t="shared" si="35"/>
        <v>1768623.1772731175</v>
      </c>
      <c r="J372">
        <f t="shared" si="36"/>
        <v>663623.97010140517</v>
      </c>
      <c r="K372">
        <f t="shared" si="37"/>
        <v>657557.303406341</v>
      </c>
      <c r="L372">
        <f t="shared" si="38"/>
        <v>420.05717851917706</v>
      </c>
      <c r="M372">
        <f t="shared" si="39"/>
        <v>331957.76348473644</v>
      </c>
      <c r="N372">
        <f t="shared" si="40"/>
        <v>1484.7179005556397</v>
      </c>
      <c r="O372">
        <f t="shared" si="41"/>
        <v>547661.18665584526</v>
      </c>
      <c r="P372">
        <f t="shared" si="42"/>
        <v>1.2712000000000001</v>
      </c>
      <c r="Q372">
        <f t="shared" si="43"/>
        <v>1.4028</v>
      </c>
      <c r="R372">
        <f t="shared" si="44"/>
        <v>2.6740000000000004</v>
      </c>
    </row>
    <row r="373" spans="2:18" x14ac:dyDescent="0.3">
      <c r="B373" s="8">
        <v>1.5940000000000001</v>
      </c>
      <c r="C373">
        <v>17</v>
      </c>
      <c r="D373" s="8">
        <f t="shared" si="30"/>
        <v>5.1446710178253002E-2</v>
      </c>
      <c r="E373" s="8">
        <f t="shared" si="31"/>
        <v>7.1691289712791179E-2</v>
      </c>
      <c r="F373" s="8">
        <f t="shared" si="32"/>
        <v>0.91620623254166489</v>
      </c>
      <c r="G373" s="8">
        <f t="shared" si="33"/>
        <v>2.11</v>
      </c>
      <c r="H373">
        <f t="shared" si="34"/>
        <v>10.9</v>
      </c>
      <c r="I373">
        <f t="shared" si="35"/>
        <v>1768623.1772731175</v>
      </c>
      <c r="J373">
        <f t="shared" si="36"/>
        <v>664654.05330676388</v>
      </c>
      <c r="K373">
        <f t="shared" si="37"/>
        <v>658587.38661169971</v>
      </c>
      <c r="L373">
        <f t="shared" si="38"/>
        <v>420.70919511950694</v>
      </c>
      <c r="M373">
        <f t="shared" si="39"/>
        <v>332534.1596030693</v>
      </c>
      <c r="N373">
        <f t="shared" si="40"/>
        <v>1487.0437556045233</v>
      </c>
      <c r="O373">
        <f t="shared" si="41"/>
        <v>548524.45750654722</v>
      </c>
      <c r="P373">
        <f t="shared" si="42"/>
        <v>1.2718</v>
      </c>
      <c r="Q373">
        <f t="shared" si="43"/>
        <v>1.405</v>
      </c>
      <c r="R373">
        <f t="shared" si="44"/>
        <v>2.6768000000000001</v>
      </c>
    </row>
    <row r="374" spans="2:18" x14ac:dyDescent="0.3">
      <c r="B374" s="8">
        <v>1.5980000000000001</v>
      </c>
      <c r="C374">
        <v>17</v>
      </c>
      <c r="D374" s="8">
        <f t="shared" si="30"/>
        <v>5.1469454358596546E-2</v>
      </c>
      <c r="E374" s="8">
        <f t="shared" si="31"/>
        <v>7.168864818690722E-2</v>
      </c>
      <c r="F374" s="8">
        <f t="shared" si="32"/>
        <v>0.91617247415221481</v>
      </c>
      <c r="G374" s="8">
        <f t="shared" si="33"/>
        <v>2.11</v>
      </c>
      <c r="H374">
        <f t="shared" si="34"/>
        <v>10.9</v>
      </c>
      <c r="I374">
        <f t="shared" si="35"/>
        <v>1768623.1772731175</v>
      </c>
      <c r="J374">
        <f t="shared" si="36"/>
        <v>666027.49758057576</v>
      </c>
      <c r="K374">
        <f t="shared" si="37"/>
        <v>659960.83088551159</v>
      </c>
      <c r="L374">
        <f t="shared" si="38"/>
        <v>421.57855058661374</v>
      </c>
      <c r="M374">
        <f t="shared" si="39"/>
        <v>333302.68776084669</v>
      </c>
      <c r="N374">
        <f t="shared" si="40"/>
        <v>1490.1448956697018</v>
      </c>
      <c r="O374">
        <f t="shared" si="41"/>
        <v>549675.48530748312</v>
      </c>
      <c r="P374">
        <f t="shared" si="42"/>
        <v>1.2727999999999999</v>
      </c>
      <c r="Q374">
        <f t="shared" si="43"/>
        <v>1.4078999999999999</v>
      </c>
      <c r="R374">
        <f t="shared" si="44"/>
        <v>2.6806999999999999</v>
      </c>
    </row>
    <row r="375" spans="2:18" x14ac:dyDescent="0.3">
      <c r="B375" s="8">
        <v>1.601</v>
      </c>
      <c r="C375">
        <v>17</v>
      </c>
      <c r="D375" s="8">
        <f t="shared" si="30"/>
        <v>5.1486451030349371E-2</v>
      </c>
      <c r="E375" s="8">
        <f t="shared" si="31"/>
        <v>7.1686674197249001E-2</v>
      </c>
      <c r="F375" s="8">
        <f t="shared" si="32"/>
        <v>0.91614724679704973</v>
      </c>
      <c r="G375" s="8">
        <f t="shared" si="33"/>
        <v>2.11</v>
      </c>
      <c r="H375">
        <f t="shared" si="34"/>
        <v>10.9</v>
      </c>
      <c r="I375">
        <f t="shared" si="35"/>
        <v>1768623.1772731175</v>
      </c>
      <c r="J375">
        <f t="shared" si="36"/>
        <v>667057.58078593481</v>
      </c>
      <c r="K375">
        <f t="shared" si="37"/>
        <v>660990.91409087065</v>
      </c>
      <c r="L375">
        <f t="shared" si="38"/>
        <v>422.23056718694386</v>
      </c>
      <c r="M375">
        <f t="shared" si="39"/>
        <v>333879.08387917973</v>
      </c>
      <c r="N375">
        <f t="shared" si="40"/>
        <v>1492.4707507185858</v>
      </c>
      <c r="O375">
        <f t="shared" si="41"/>
        <v>550538.75615818519</v>
      </c>
      <c r="P375">
        <f t="shared" si="42"/>
        <v>1.2735000000000001</v>
      </c>
      <c r="Q375">
        <f t="shared" si="43"/>
        <v>1.4100999999999999</v>
      </c>
      <c r="R375">
        <f t="shared" si="44"/>
        <v>2.6836000000000002</v>
      </c>
    </row>
    <row r="376" spans="2:18" x14ac:dyDescent="0.3">
      <c r="B376" s="8">
        <v>1.6040000000000001</v>
      </c>
      <c r="C376">
        <v>17</v>
      </c>
      <c r="D376" s="8">
        <f t="shared" si="30"/>
        <v>5.1503395289860331E-2</v>
      </c>
      <c r="E376" s="8">
        <f t="shared" si="31"/>
        <v>7.1684706308626805E-2</v>
      </c>
      <c r="F376" s="8">
        <f t="shared" si="32"/>
        <v>0.9161220974124058</v>
      </c>
      <c r="G376" s="8">
        <f t="shared" si="33"/>
        <v>2.11</v>
      </c>
      <c r="H376">
        <f t="shared" si="34"/>
        <v>10.9</v>
      </c>
      <c r="I376">
        <f t="shared" si="35"/>
        <v>1768623.1772731175</v>
      </c>
      <c r="J376">
        <f t="shared" si="36"/>
        <v>668087.66399129364</v>
      </c>
      <c r="K376">
        <f t="shared" si="37"/>
        <v>662020.99729622947</v>
      </c>
      <c r="L376">
        <f t="shared" si="38"/>
        <v>422.88258378727392</v>
      </c>
      <c r="M376">
        <f t="shared" si="39"/>
        <v>334455.47999751277</v>
      </c>
      <c r="N376">
        <f t="shared" si="40"/>
        <v>1494.7966057674694</v>
      </c>
      <c r="O376">
        <f t="shared" si="41"/>
        <v>551402.02700888715</v>
      </c>
      <c r="P376">
        <f t="shared" si="42"/>
        <v>1.2742</v>
      </c>
      <c r="Q376">
        <f t="shared" si="43"/>
        <v>1.4123000000000001</v>
      </c>
      <c r="R376">
        <f t="shared" si="44"/>
        <v>2.6865000000000001</v>
      </c>
    </row>
    <row r="377" spans="2:18" x14ac:dyDescent="0.3">
      <c r="B377" s="8">
        <v>1.607</v>
      </c>
      <c r="C377">
        <v>17</v>
      </c>
      <c r="D377" s="8">
        <f t="shared" si="30"/>
        <v>5.1520287379189809E-2</v>
      </c>
      <c r="E377" s="8">
        <f t="shared" si="31"/>
        <v>7.168274449278153E-2</v>
      </c>
      <c r="F377" s="8">
        <f t="shared" si="32"/>
        <v>0.91609702563713513</v>
      </c>
      <c r="G377" s="8">
        <f t="shared" si="33"/>
        <v>2.11</v>
      </c>
      <c r="H377">
        <f t="shared" si="34"/>
        <v>10.9</v>
      </c>
      <c r="I377">
        <f t="shared" si="35"/>
        <v>1768623.1772731175</v>
      </c>
      <c r="J377">
        <f t="shared" si="36"/>
        <v>669117.74719665258</v>
      </c>
      <c r="K377">
        <f t="shared" si="37"/>
        <v>663051.08050158841</v>
      </c>
      <c r="L377">
        <f t="shared" si="38"/>
        <v>423.53460038760397</v>
      </c>
      <c r="M377">
        <f t="shared" si="39"/>
        <v>335031.87611584581</v>
      </c>
      <c r="N377">
        <f t="shared" si="40"/>
        <v>1497.1224608163536</v>
      </c>
      <c r="O377">
        <f t="shared" si="41"/>
        <v>552265.29785958934</v>
      </c>
      <c r="P377">
        <f t="shared" si="42"/>
        <v>1.2747999999999999</v>
      </c>
      <c r="Q377">
        <f t="shared" si="43"/>
        <v>1.4145000000000001</v>
      </c>
      <c r="R377">
        <f t="shared" si="44"/>
        <v>2.6893000000000002</v>
      </c>
    </row>
    <row r="378" spans="2:18" x14ac:dyDescent="0.3">
      <c r="B378" s="8">
        <v>1.611</v>
      </c>
      <c r="C378">
        <v>17</v>
      </c>
      <c r="D378" s="8">
        <f t="shared" si="30"/>
        <v>5.1542729426937557E-2</v>
      </c>
      <c r="E378" s="8">
        <f t="shared" si="31"/>
        <v>7.1680138136346522E-2</v>
      </c>
      <c r="F378" s="8">
        <f t="shared" si="32"/>
        <v>0.91606371670909736</v>
      </c>
      <c r="G378" s="8">
        <f t="shared" si="33"/>
        <v>2.12</v>
      </c>
      <c r="H378">
        <f t="shared" si="34"/>
        <v>10.9</v>
      </c>
      <c r="I378">
        <f t="shared" si="35"/>
        <v>1781275.4198194356</v>
      </c>
      <c r="J378">
        <f t="shared" si="36"/>
        <v>670491.19147046446</v>
      </c>
      <c r="K378">
        <f t="shared" si="37"/>
        <v>664424.52477540029</v>
      </c>
      <c r="L378">
        <f t="shared" si="38"/>
        <v>424.40395585471072</v>
      </c>
      <c r="M378">
        <f t="shared" si="39"/>
        <v>335800.40427362313</v>
      </c>
      <c r="N378">
        <f t="shared" si="40"/>
        <v>1500.2236008815321</v>
      </c>
      <c r="O378">
        <f t="shared" si="41"/>
        <v>553416.32566052536</v>
      </c>
      <c r="P378">
        <f t="shared" si="42"/>
        <v>1.2818000000000001</v>
      </c>
      <c r="Q378">
        <f t="shared" si="43"/>
        <v>1.4174</v>
      </c>
      <c r="R378">
        <f t="shared" si="44"/>
        <v>2.6992000000000003</v>
      </c>
    </row>
    <row r="379" spans="2:18" x14ac:dyDescent="0.3">
      <c r="B379" s="8">
        <v>1.6140000000000001</v>
      </c>
      <c r="C379">
        <v>17</v>
      </c>
      <c r="D379" s="8">
        <f t="shared" si="30"/>
        <v>5.1559500718850876E-2</v>
      </c>
      <c r="E379" s="8">
        <f t="shared" si="31"/>
        <v>7.1678190381394849E-2</v>
      </c>
      <c r="F379" s="8">
        <f t="shared" si="32"/>
        <v>0.91603882463038966</v>
      </c>
      <c r="G379" s="8">
        <f t="shared" si="33"/>
        <v>2.12</v>
      </c>
      <c r="H379">
        <f t="shared" si="34"/>
        <v>10.9</v>
      </c>
      <c r="I379">
        <f t="shared" si="35"/>
        <v>1781275.4198194356</v>
      </c>
      <c r="J379">
        <f t="shared" si="36"/>
        <v>671521.2746758234</v>
      </c>
      <c r="K379">
        <f t="shared" si="37"/>
        <v>665454.60798075923</v>
      </c>
      <c r="L379">
        <f t="shared" si="38"/>
        <v>425.05597245504077</v>
      </c>
      <c r="M379">
        <f t="shared" si="39"/>
        <v>336376.80039195617</v>
      </c>
      <c r="N379">
        <f t="shared" si="40"/>
        <v>1502.5494559304159</v>
      </c>
      <c r="O379">
        <f t="shared" si="41"/>
        <v>554279.59651122731</v>
      </c>
      <c r="P379">
        <f t="shared" si="42"/>
        <v>1.2825</v>
      </c>
      <c r="Q379">
        <f t="shared" si="43"/>
        <v>1.4196</v>
      </c>
      <c r="R379">
        <f t="shared" si="44"/>
        <v>2.7020999999999997</v>
      </c>
    </row>
    <row r="380" spans="2:18" x14ac:dyDescent="0.3">
      <c r="B380" s="8">
        <v>1.617</v>
      </c>
      <c r="C380">
        <v>17</v>
      </c>
      <c r="D380" s="8">
        <f t="shared" si="30"/>
        <v>5.1576220636765938E-2</v>
      </c>
      <c r="E380" s="8">
        <f t="shared" si="31"/>
        <v>7.1676248606275514E-2</v>
      </c>
      <c r="F380" s="8">
        <f t="shared" si="32"/>
        <v>0.91601400897323448</v>
      </c>
      <c r="G380" s="8">
        <f t="shared" si="33"/>
        <v>2.12</v>
      </c>
      <c r="H380">
        <f t="shared" si="34"/>
        <v>10.9</v>
      </c>
      <c r="I380">
        <f t="shared" si="35"/>
        <v>1781275.4198194356</v>
      </c>
      <c r="J380">
        <f t="shared" si="36"/>
        <v>672551.35788118222</v>
      </c>
      <c r="K380">
        <f t="shared" si="37"/>
        <v>666484.69118611806</v>
      </c>
      <c r="L380">
        <f t="shared" si="38"/>
        <v>425.70798905537072</v>
      </c>
      <c r="M380">
        <f t="shared" si="39"/>
        <v>336953.1965102891</v>
      </c>
      <c r="N380">
        <f t="shared" si="40"/>
        <v>1504.8753109792995</v>
      </c>
      <c r="O380">
        <f t="shared" si="41"/>
        <v>555142.86736192915</v>
      </c>
      <c r="P380">
        <f t="shared" si="42"/>
        <v>1.2831999999999999</v>
      </c>
      <c r="Q380">
        <f t="shared" si="43"/>
        <v>1.4218</v>
      </c>
      <c r="R380">
        <f t="shared" si="44"/>
        <v>2.7050000000000001</v>
      </c>
    </row>
    <row r="381" spans="2:18" x14ac:dyDescent="0.3">
      <c r="B381" s="8">
        <v>1.62</v>
      </c>
      <c r="C381">
        <v>17</v>
      </c>
      <c r="D381" s="8">
        <f t="shared" si="30"/>
        <v>5.1592889416375874E-2</v>
      </c>
      <c r="E381" s="8">
        <f t="shared" si="31"/>
        <v>7.1674312783475941E-2</v>
      </c>
      <c r="F381" s="8">
        <f t="shared" si="32"/>
        <v>0.91598926938602421</v>
      </c>
      <c r="G381" s="8">
        <f t="shared" si="33"/>
        <v>2.12</v>
      </c>
      <c r="H381">
        <f t="shared" si="34"/>
        <v>10.9</v>
      </c>
      <c r="I381">
        <f t="shared" si="35"/>
        <v>1781275.4198194356</v>
      </c>
      <c r="J381">
        <f t="shared" si="36"/>
        <v>673581.44108654116</v>
      </c>
      <c r="K381">
        <f t="shared" si="37"/>
        <v>667514.774391477</v>
      </c>
      <c r="L381">
        <f t="shared" si="38"/>
        <v>426.36000565570083</v>
      </c>
      <c r="M381">
        <f t="shared" si="39"/>
        <v>337529.59262862214</v>
      </c>
      <c r="N381">
        <f t="shared" si="40"/>
        <v>1507.2011660281837</v>
      </c>
      <c r="O381">
        <f t="shared" si="41"/>
        <v>556006.13821263134</v>
      </c>
      <c r="P381">
        <f t="shared" si="42"/>
        <v>1.2839</v>
      </c>
      <c r="Q381">
        <f t="shared" si="43"/>
        <v>1.4239999999999999</v>
      </c>
      <c r="R381">
        <f t="shared" si="44"/>
        <v>2.7079</v>
      </c>
    </row>
    <row r="382" spans="2:18" x14ac:dyDescent="0.3">
      <c r="B382" s="8">
        <v>1.6240000000000001</v>
      </c>
      <c r="C382">
        <v>17</v>
      </c>
      <c r="D382" s="8">
        <f t="shared" si="30"/>
        <v>5.1615035312057779E-2</v>
      </c>
      <c r="E382" s="8">
        <f t="shared" si="31"/>
        <v>7.1671740898336903E-2</v>
      </c>
      <c r="F382" s="8">
        <f t="shared" si="32"/>
        <v>0.91595640099708597</v>
      </c>
      <c r="G382" s="8">
        <f t="shared" si="33"/>
        <v>2.12</v>
      </c>
      <c r="H382">
        <f t="shared" si="34"/>
        <v>10.9</v>
      </c>
      <c r="I382">
        <f t="shared" si="35"/>
        <v>1781275.4198194356</v>
      </c>
      <c r="J382">
        <f t="shared" si="36"/>
        <v>674954.88536035304</v>
      </c>
      <c r="K382">
        <f t="shared" si="37"/>
        <v>668888.21866528888</v>
      </c>
      <c r="L382">
        <f t="shared" si="38"/>
        <v>427.22936112280752</v>
      </c>
      <c r="M382">
        <f t="shared" si="39"/>
        <v>338298.12078639946</v>
      </c>
      <c r="N382">
        <f t="shared" si="40"/>
        <v>1510.3023060933622</v>
      </c>
      <c r="O382">
        <f t="shared" si="41"/>
        <v>557157.16601356736</v>
      </c>
      <c r="P382">
        <f t="shared" si="42"/>
        <v>1.2847999999999999</v>
      </c>
      <c r="Q382">
        <f t="shared" si="43"/>
        <v>1.427</v>
      </c>
      <c r="R382">
        <f t="shared" si="44"/>
        <v>2.7118000000000002</v>
      </c>
    </row>
    <row r="383" spans="2:18" x14ac:dyDescent="0.3">
      <c r="B383" s="8">
        <v>1.627</v>
      </c>
      <c r="C383">
        <v>17</v>
      </c>
      <c r="D383" s="8">
        <f t="shared" si="30"/>
        <v>5.1631585677474064E-2</v>
      </c>
      <c r="E383" s="8">
        <f t="shared" si="31"/>
        <v>7.1669818858235104E-2</v>
      </c>
      <c r="F383" s="8">
        <f t="shared" si="32"/>
        <v>0.91593183755112872</v>
      </c>
      <c r="G383" s="8">
        <f t="shared" si="33"/>
        <v>2.12</v>
      </c>
      <c r="H383">
        <f t="shared" si="34"/>
        <v>10.9</v>
      </c>
      <c r="I383">
        <f t="shared" si="35"/>
        <v>1781275.4198194356</v>
      </c>
      <c r="J383">
        <f t="shared" si="36"/>
        <v>675984.96856571187</v>
      </c>
      <c r="K383">
        <f t="shared" si="37"/>
        <v>669918.3018706477</v>
      </c>
      <c r="L383">
        <f t="shared" si="38"/>
        <v>427.88137772313758</v>
      </c>
      <c r="M383">
        <f t="shared" si="39"/>
        <v>338874.51690473245</v>
      </c>
      <c r="N383">
        <f t="shared" si="40"/>
        <v>1512.6281611422457</v>
      </c>
      <c r="O383">
        <f t="shared" si="41"/>
        <v>558020.43686426932</v>
      </c>
      <c r="P383">
        <f t="shared" si="42"/>
        <v>1.2855000000000001</v>
      </c>
      <c r="Q383">
        <f t="shared" si="43"/>
        <v>1.4292</v>
      </c>
      <c r="R383">
        <f t="shared" si="44"/>
        <v>2.7147000000000001</v>
      </c>
    </row>
    <row r="384" spans="2:18" x14ac:dyDescent="0.3">
      <c r="B384" s="8">
        <v>1.63</v>
      </c>
      <c r="C384">
        <v>17</v>
      </c>
      <c r="D384" s="8">
        <f t="shared" si="30"/>
        <v>5.1648085679893485E-2</v>
      </c>
      <c r="E384" s="8">
        <f t="shared" si="31"/>
        <v>7.1667902679955681E-2</v>
      </c>
      <c r="F384" s="8">
        <f t="shared" si="32"/>
        <v>0.91590734901857052</v>
      </c>
      <c r="G384" s="8">
        <f t="shared" si="33"/>
        <v>2.13</v>
      </c>
      <c r="H384">
        <f t="shared" si="34"/>
        <v>10.9</v>
      </c>
      <c r="I384">
        <f t="shared" si="35"/>
        <v>1793927.6623657537</v>
      </c>
      <c r="J384">
        <f t="shared" si="36"/>
        <v>677015.05177107069</v>
      </c>
      <c r="K384">
        <f t="shared" si="37"/>
        <v>670948.38507600653</v>
      </c>
      <c r="L384">
        <f t="shared" si="38"/>
        <v>428.53339432346758</v>
      </c>
      <c r="M384">
        <f t="shared" si="39"/>
        <v>339450.91302306543</v>
      </c>
      <c r="N384">
        <f t="shared" si="40"/>
        <v>1514.9540161911295</v>
      </c>
      <c r="O384">
        <f t="shared" si="41"/>
        <v>558883.70771497127</v>
      </c>
      <c r="P384">
        <f t="shared" si="42"/>
        <v>1.2923</v>
      </c>
      <c r="Q384">
        <f t="shared" si="43"/>
        <v>1.4314</v>
      </c>
      <c r="R384">
        <f t="shared" si="44"/>
        <v>2.7237</v>
      </c>
    </row>
    <row r="385" spans="2:18" x14ac:dyDescent="0.3">
      <c r="B385" s="8">
        <v>1.6339999999999999</v>
      </c>
      <c r="C385">
        <v>16</v>
      </c>
      <c r="D385" s="8">
        <f t="shared" ref="D385:D448" si="45">(($B$12*(B385*$B$20)*$B$4*$B$14/3600)/($B$12*(B385*$B$20+1)*$B$4*$B$14/3600))*SQRT($B$25/$B$26)</f>
        <v>5.1670007737204038E-2</v>
      </c>
      <c r="E385" s="8">
        <f t="shared" si="31"/>
        <v>7.1665356847692097E-2</v>
      </c>
      <c r="F385" s="8">
        <f t="shared" si="32"/>
        <v>0.91587481358230982</v>
      </c>
      <c r="G385" s="8">
        <f t="shared" si="33"/>
        <v>2.13</v>
      </c>
      <c r="H385">
        <f t="shared" si="34"/>
        <v>10.4</v>
      </c>
      <c r="I385">
        <f t="shared" si="35"/>
        <v>1690994.7499086091</v>
      </c>
      <c r="J385">
        <f t="shared" si="36"/>
        <v>678388.49604488257</v>
      </c>
      <c r="K385">
        <f t="shared" si="37"/>
        <v>672321.82934981841</v>
      </c>
      <c r="L385">
        <f t="shared" si="38"/>
        <v>429.40274979057432</v>
      </c>
      <c r="M385">
        <f t="shared" si="39"/>
        <v>340219.44118084275</v>
      </c>
      <c r="N385">
        <f t="shared" si="40"/>
        <v>1518.055156256308</v>
      </c>
      <c r="O385">
        <f t="shared" si="41"/>
        <v>560034.73551590729</v>
      </c>
      <c r="P385">
        <f t="shared" si="42"/>
        <v>1.2438</v>
      </c>
      <c r="Q385">
        <f t="shared" si="43"/>
        <v>1.4342999999999999</v>
      </c>
      <c r="R385">
        <f t="shared" si="44"/>
        <v>2.6780999999999997</v>
      </c>
    </row>
    <row r="386" spans="2:18" x14ac:dyDescent="0.3">
      <c r="B386" s="8">
        <v>1.637</v>
      </c>
      <c r="C386">
        <v>16</v>
      </c>
      <c r="D386" s="8">
        <f t="shared" si="45"/>
        <v>5.1686391116189723E-2</v>
      </c>
      <c r="E386" s="8">
        <f t="shared" si="31"/>
        <v>7.1663454243094116E-2</v>
      </c>
      <c r="F386" s="8">
        <f t="shared" si="32"/>
        <v>0.91585049851980049</v>
      </c>
      <c r="G386" s="8">
        <f t="shared" si="33"/>
        <v>2.13</v>
      </c>
      <c r="H386">
        <f t="shared" si="34"/>
        <v>10.4</v>
      </c>
      <c r="I386">
        <f t="shared" si="35"/>
        <v>1690994.7499086091</v>
      </c>
      <c r="J386">
        <f t="shared" si="36"/>
        <v>679418.57925024151</v>
      </c>
      <c r="K386">
        <f t="shared" si="37"/>
        <v>673351.91255517735</v>
      </c>
      <c r="L386">
        <f t="shared" si="38"/>
        <v>430.05476639090438</v>
      </c>
      <c r="M386">
        <f t="shared" si="39"/>
        <v>340795.83729917579</v>
      </c>
      <c r="N386">
        <f t="shared" si="40"/>
        <v>1520.3810113051918</v>
      </c>
      <c r="O386">
        <f t="shared" si="41"/>
        <v>560898.00636660925</v>
      </c>
      <c r="P386">
        <f t="shared" si="42"/>
        <v>1.2444999999999999</v>
      </c>
      <c r="Q386">
        <f t="shared" si="43"/>
        <v>1.4365000000000001</v>
      </c>
      <c r="R386">
        <f t="shared" si="44"/>
        <v>2.681</v>
      </c>
    </row>
    <row r="387" spans="2:18" x14ac:dyDescent="0.3">
      <c r="B387" s="8">
        <v>1.64</v>
      </c>
      <c r="C387">
        <v>16</v>
      </c>
      <c r="D387" s="8">
        <f t="shared" si="45"/>
        <v>5.1702724891893127E-2</v>
      </c>
      <c r="E387" s="8">
        <f t="shared" si="31"/>
        <v>7.1661557411648799E-2</v>
      </c>
      <c r="F387" s="8">
        <f t="shared" si="32"/>
        <v>0.91582625723750188</v>
      </c>
      <c r="G387" s="8">
        <f t="shared" si="33"/>
        <v>2.13</v>
      </c>
      <c r="H387">
        <f t="shared" si="34"/>
        <v>10.4</v>
      </c>
      <c r="I387">
        <f t="shared" si="35"/>
        <v>1690994.7499086091</v>
      </c>
      <c r="J387">
        <f t="shared" si="36"/>
        <v>680448.66245560045</v>
      </c>
      <c r="K387">
        <f t="shared" si="37"/>
        <v>674381.99576053629</v>
      </c>
      <c r="L387">
        <f t="shared" si="38"/>
        <v>430.70678299123449</v>
      </c>
      <c r="M387">
        <f t="shared" si="39"/>
        <v>341372.23341750883</v>
      </c>
      <c r="N387">
        <f t="shared" si="40"/>
        <v>1522.7068663540756</v>
      </c>
      <c r="O387">
        <f t="shared" si="41"/>
        <v>561761.2772173112</v>
      </c>
      <c r="P387">
        <f t="shared" si="42"/>
        <v>1.2452000000000001</v>
      </c>
      <c r="Q387">
        <f t="shared" si="43"/>
        <v>1.4387000000000001</v>
      </c>
      <c r="R387">
        <f t="shared" si="44"/>
        <v>2.6839000000000004</v>
      </c>
    </row>
    <row r="388" spans="2:18" x14ac:dyDescent="0.3">
      <c r="B388" s="8">
        <v>1.643</v>
      </c>
      <c r="C388">
        <v>16</v>
      </c>
      <c r="D388" s="8">
        <f t="shared" si="45"/>
        <v>5.1719009289246484E-2</v>
      </c>
      <c r="E388" s="8">
        <f t="shared" si="31"/>
        <v>7.1659666327104646E-2</v>
      </c>
      <c r="F388" s="8">
        <f t="shared" si="32"/>
        <v>0.9158020893999228</v>
      </c>
      <c r="G388" s="8">
        <f t="shared" si="33"/>
        <v>2.13</v>
      </c>
      <c r="H388">
        <f t="shared" si="34"/>
        <v>10.4</v>
      </c>
      <c r="I388">
        <f t="shared" si="35"/>
        <v>1690994.7499086091</v>
      </c>
      <c r="J388">
        <f t="shared" si="36"/>
        <v>681478.74566095928</v>
      </c>
      <c r="K388">
        <f t="shared" si="37"/>
        <v>675412.07896589511</v>
      </c>
      <c r="L388">
        <f t="shared" si="38"/>
        <v>431.35879959156449</v>
      </c>
      <c r="M388">
        <f t="shared" si="39"/>
        <v>341948.62953584181</v>
      </c>
      <c r="N388">
        <f t="shared" si="40"/>
        <v>1525.0327214029596</v>
      </c>
      <c r="O388">
        <f t="shared" si="41"/>
        <v>562624.54806801328</v>
      </c>
      <c r="P388">
        <f t="shared" si="42"/>
        <v>1.2459</v>
      </c>
      <c r="Q388">
        <f t="shared" si="43"/>
        <v>1.4409000000000001</v>
      </c>
      <c r="R388">
        <f t="shared" si="44"/>
        <v>2.6867999999999999</v>
      </c>
    </row>
    <row r="389" spans="2:18" x14ac:dyDescent="0.3">
      <c r="B389" s="8">
        <v>1.647</v>
      </c>
      <c r="C389">
        <v>16</v>
      </c>
      <c r="D389" s="8">
        <f t="shared" si="45"/>
        <v>5.1740645394514555E-2</v>
      </c>
      <c r="E389" s="8">
        <f t="shared" si="31"/>
        <v>7.1657153775595034E-2</v>
      </c>
      <c r="F389" s="8">
        <f t="shared" si="32"/>
        <v>0.91576997928777526</v>
      </c>
      <c r="G389" s="8">
        <f t="shared" si="33"/>
        <v>2.13</v>
      </c>
      <c r="H389">
        <f t="shared" si="34"/>
        <v>10.4</v>
      </c>
      <c r="I389">
        <f t="shared" si="35"/>
        <v>1690994.7499086091</v>
      </c>
      <c r="J389">
        <f t="shared" si="36"/>
        <v>682852.18993477116</v>
      </c>
      <c r="K389">
        <f t="shared" si="37"/>
        <v>676785.52323970699</v>
      </c>
      <c r="L389">
        <f t="shared" si="38"/>
        <v>432.22815505867123</v>
      </c>
      <c r="M389">
        <f t="shared" si="39"/>
        <v>342717.15769361914</v>
      </c>
      <c r="N389">
        <f t="shared" si="40"/>
        <v>1528.1338614681379</v>
      </c>
      <c r="O389">
        <f t="shared" si="41"/>
        <v>563775.57586894918</v>
      </c>
      <c r="P389">
        <f t="shared" si="42"/>
        <v>1.2467999999999999</v>
      </c>
      <c r="Q389">
        <f t="shared" si="43"/>
        <v>1.4438</v>
      </c>
      <c r="R389">
        <f t="shared" si="44"/>
        <v>2.6905999999999999</v>
      </c>
    </row>
    <row r="390" spans="2:18" x14ac:dyDescent="0.3">
      <c r="B390" s="8">
        <v>1.65</v>
      </c>
      <c r="C390">
        <v>16</v>
      </c>
      <c r="D390" s="8">
        <f t="shared" si="45"/>
        <v>5.1756815442845452E-2</v>
      </c>
      <c r="E390" s="8">
        <f t="shared" si="31"/>
        <v>7.1655275999289919E-2</v>
      </c>
      <c r="F390" s="8">
        <f t="shared" si="32"/>
        <v>0.91574598152792241</v>
      </c>
      <c r="G390" s="8">
        <f t="shared" si="33"/>
        <v>2.14</v>
      </c>
      <c r="H390">
        <f t="shared" si="34"/>
        <v>10.4</v>
      </c>
      <c r="I390">
        <f t="shared" si="35"/>
        <v>1702914.91305372</v>
      </c>
      <c r="J390">
        <f t="shared" si="36"/>
        <v>683882.2731401301</v>
      </c>
      <c r="K390">
        <f t="shared" si="37"/>
        <v>677815.60644506593</v>
      </c>
      <c r="L390">
        <f t="shared" si="38"/>
        <v>432.88017165900129</v>
      </c>
      <c r="M390">
        <f t="shared" si="39"/>
        <v>343293.55381195218</v>
      </c>
      <c r="N390">
        <f t="shared" si="40"/>
        <v>1530.4597165170219</v>
      </c>
      <c r="O390">
        <f t="shared" si="41"/>
        <v>564638.84671965125</v>
      </c>
      <c r="P390">
        <f t="shared" si="42"/>
        <v>1.2532000000000001</v>
      </c>
      <c r="Q390">
        <f t="shared" si="43"/>
        <v>1.446</v>
      </c>
      <c r="R390">
        <f t="shared" si="44"/>
        <v>2.6992000000000003</v>
      </c>
    </row>
    <row r="391" spans="2:18" x14ac:dyDescent="0.3">
      <c r="B391" s="8">
        <v>1.653</v>
      </c>
      <c r="C391">
        <v>16</v>
      </c>
      <c r="D391" s="8">
        <f t="shared" si="45"/>
        <v>5.1772936852850393E-2</v>
      </c>
      <c r="E391" s="8">
        <f t="shared" si="31"/>
        <v>7.1653403883523759E-2</v>
      </c>
      <c r="F391" s="8">
        <f t="shared" si="32"/>
        <v>0.91572205610909019</v>
      </c>
      <c r="G391" s="8">
        <f t="shared" si="33"/>
        <v>2.14</v>
      </c>
      <c r="H391">
        <f t="shared" si="34"/>
        <v>10.4</v>
      </c>
      <c r="I391">
        <f t="shared" si="35"/>
        <v>1702914.91305372</v>
      </c>
      <c r="J391">
        <f t="shared" si="36"/>
        <v>684912.35634548904</v>
      </c>
      <c r="K391">
        <f t="shared" si="37"/>
        <v>678845.68965042487</v>
      </c>
      <c r="L391">
        <f t="shared" si="38"/>
        <v>433.53218825933141</v>
      </c>
      <c r="M391">
        <f t="shared" si="39"/>
        <v>343869.94993028522</v>
      </c>
      <c r="N391">
        <f t="shared" si="40"/>
        <v>1532.7855715659059</v>
      </c>
      <c r="O391">
        <f t="shared" si="41"/>
        <v>565502.11757035332</v>
      </c>
      <c r="P391">
        <f t="shared" si="42"/>
        <v>1.2539</v>
      </c>
      <c r="Q391">
        <f t="shared" si="43"/>
        <v>1.4481999999999999</v>
      </c>
      <c r="R391">
        <f t="shared" si="44"/>
        <v>2.7020999999999997</v>
      </c>
    </row>
    <row r="392" spans="2:18" x14ac:dyDescent="0.3">
      <c r="B392" s="8">
        <v>1.657</v>
      </c>
      <c r="C392">
        <v>16</v>
      </c>
      <c r="D392" s="8">
        <f t="shared" si="45"/>
        <v>5.1794356785110796E-2</v>
      </c>
      <c r="E392" s="8">
        <f t="shared" si="31"/>
        <v>7.1650916490277952E-2</v>
      </c>
      <c r="F392" s="8">
        <f t="shared" si="32"/>
        <v>0.91569026751658866</v>
      </c>
      <c r="G392" s="8">
        <f t="shared" si="33"/>
        <v>2.14</v>
      </c>
      <c r="H392">
        <f t="shared" si="34"/>
        <v>10.4</v>
      </c>
      <c r="I392">
        <f t="shared" si="35"/>
        <v>1702914.91305372</v>
      </c>
      <c r="J392">
        <f t="shared" si="36"/>
        <v>686285.8006193008</v>
      </c>
      <c r="K392">
        <f t="shared" si="37"/>
        <v>680219.13392423664</v>
      </c>
      <c r="L392">
        <f t="shared" si="38"/>
        <v>434.40154372643804</v>
      </c>
      <c r="M392">
        <f t="shared" si="39"/>
        <v>344638.47808806249</v>
      </c>
      <c r="N392">
        <f t="shared" si="40"/>
        <v>1535.8867116310842</v>
      </c>
      <c r="O392">
        <f t="shared" si="41"/>
        <v>566653.14537128923</v>
      </c>
      <c r="P392">
        <f t="shared" si="42"/>
        <v>1.2547999999999999</v>
      </c>
      <c r="Q392">
        <f t="shared" si="43"/>
        <v>1.4511000000000001</v>
      </c>
      <c r="R392">
        <f t="shared" si="44"/>
        <v>2.7058999999999997</v>
      </c>
    </row>
    <row r="393" spans="2:18" x14ac:dyDescent="0.3">
      <c r="B393" s="8">
        <v>1.66</v>
      </c>
      <c r="C393">
        <v>16</v>
      </c>
      <c r="D393" s="8">
        <f t="shared" si="45"/>
        <v>5.1810365555556619E-2</v>
      </c>
      <c r="E393" s="8">
        <f t="shared" si="31"/>
        <v>7.1649057483261114E-2</v>
      </c>
      <c r="F393" s="8">
        <f t="shared" si="32"/>
        <v>0.9156665096260278</v>
      </c>
      <c r="G393" s="8">
        <f t="shared" si="33"/>
        <v>2.14</v>
      </c>
      <c r="H393">
        <f t="shared" si="34"/>
        <v>10.4</v>
      </c>
      <c r="I393">
        <f t="shared" si="35"/>
        <v>1702914.91305372</v>
      </c>
      <c r="J393">
        <f t="shared" si="36"/>
        <v>687315.88382465974</v>
      </c>
      <c r="K393">
        <f t="shared" si="37"/>
        <v>681249.21712959558</v>
      </c>
      <c r="L393">
        <f t="shared" si="38"/>
        <v>435.05356032676815</v>
      </c>
      <c r="M393">
        <f t="shared" si="39"/>
        <v>345214.87420639559</v>
      </c>
      <c r="N393">
        <f t="shared" si="40"/>
        <v>1538.2125666799679</v>
      </c>
      <c r="O393">
        <f t="shared" si="41"/>
        <v>567516.4162219913</v>
      </c>
      <c r="P393">
        <f t="shared" si="42"/>
        <v>1.2555000000000001</v>
      </c>
      <c r="Q393">
        <f t="shared" si="43"/>
        <v>1.4533</v>
      </c>
      <c r="R393">
        <f t="shared" si="44"/>
        <v>2.7088000000000001</v>
      </c>
    </row>
    <row r="394" spans="2:18" x14ac:dyDescent="0.3">
      <c r="B394" s="8">
        <v>1.663</v>
      </c>
      <c r="C394">
        <v>16</v>
      </c>
      <c r="D394" s="8">
        <f t="shared" si="45"/>
        <v>5.1826326412986713E-2</v>
      </c>
      <c r="E394" s="8">
        <f t="shared" si="31"/>
        <v>7.1647204052144836E-2</v>
      </c>
      <c r="F394" s="8">
        <f t="shared" si="32"/>
        <v>0.91564282299481881</v>
      </c>
      <c r="G394" s="8">
        <f t="shared" si="33"/>
        <v>2.14</v>
      </c>
      <c r="H394">
        <f t="shared" si="34"/>
        <v>10.4</v>
      </c>
      <c r="I394">
        <f t="shared" si="35"/>
        <v>1702914.91305372</v>
      </c>
      <c r="J394">
        <f t="shared" si="36"/>
        <v>688345.96703001868</v>
      </c>
      <c r="K394">
        <f t="shared" si="37"/>
        <v>682279.30033495452</v>
      </c>
      <c r="L394">
        <f t="shared" si="38"/>
        <v>435.70557692709821</v>
      </c>
      <c r="M394">
        <f t="shared" si="39"/>
        <v>345791.27032472857</v>
      </c>
      <c r="N394">
        <f t="shared" si="40"/>
        <v>1540.5384217288522</v>
      </c>
      <c r="O394">
        <f t="shared" si="41"/>
        <v>568379.68707269337</v>
      </c>
      <c r="P394">
        <f t="shared" si="42"/>
        <v>1.2562</v>
      </c>
      <c r="Q394">
        <f t="shared" si="43"/>
        <v>1.4555</v>
      </c>
      <c r="R394">
        <f t="shared" si="44"/>
        <v>2.7117</v>
      </c>
    </row>
    <row r="395" spans="2:18" x14ac:dyDescent="0.3">
      <c r="B395" s="8">
        <v>1.6659999999999999</v>
      </c>
      <c r="C395">
        <v>16</v>
      </c>
      <c r="D395" s="8">
        <f t="shared" si="45"/>
        <v>5.1842239572179608E-2</v>
      </c>
      <c r="E395" s="8">
        <f t="shared" si="31"/>
        <v>7.1645356171867375E-2</v>
      </c>
      <c r="F395" s="8">
        <f t="shared" si="32"/>
        <v>0.91561920730267576</v>
      </c>
      <c r="G395" s="8">
        <f t="shared" si="33"/>
        <v>2.14</v>
      </c>
      <c r="H395">
        <f t="shared" si="34"/>
        <v>10.4</v>
      </c>
      <c r="I395">
        <f t="shared" si="35"/>
        <v>1702914.91305372</v>
      </c>
      <c r="J395">
        <f t="shared" si="36"/>
        <v>689376.05023537751</v>
      </c>
      <c r="K395">
        <f t="shared" si="37"/>
        <v>683309.38354031334</v>
      </c>
      <c r="L395">
        <f t="shared" si="38"/>
        <v>436.35759352742815</v>
      </c>
      <c r="M395">
        <f t="shared" si="39"/>
        <v>346367.66644306149</v>
      </c>
      <c r="N395">
        <f t="shared" si="40"/>
        <v>1542.8642767777358</v>
      </c>
      <c r="O395">
        <f t="shared" si="41"/>
        <v>569242.95792339533</v>
      </c>
      <c r="P395">
        <f t="shared" si="42"/>
        <v>1.2568999999999999</v>
      </c>
      <c r="Q395">
        <f t="shared" si="43"/>
        <v>1.4577</v>
      </c>
      <c r="R395">
        <f t="shared" si="44"/>
        <v>2.7145999999999999</v>
      </c>
    </row>
    <row r="396" spans="2:18" x14ac:dyDescent="0.3">
      <c r="B396" s="8">
        <v>1.67</v>
      </c>
      <c r="C396">
        <v>16</v>
      </c>
      <c r="D396" s="8">
        <f t="shared" si="45"/>
        <v>5.1863383289335555E-2</v>
      </c>
      <c r="E396" s="8">
        <f t="shared" si="31"/>
        <v>7.1642900923099981E-2</v>
      </c>
      <c r="F396" s="8">
        <f t="shared" si="32"/>
        <v>0.91558782951281947</v>
      </c>
      <c r="G396" s="8">
        <f t="shared" si="33"/>
        <v>2.15</v>
      </c>
      <c r="H396">
        <f t="shared" si="34"/>
        <v>10.4</v>
      </c>
      <c r="I396">
        <f t="shared" si="35"/>
        <v>1714835.0761988307</v>
      </c>
      <c r="J396">
        <f t="shared" si="36"/>
        <v>690749.49450918939</v>
      </c>
      <c r="K396">
        <f t="shared" si="37"/>
        <v>684682.82781412522</v>
      </c>
      <c r="L396">
        <f t="shared" si="38"/>
        <v>437.22694899453495</v>
      </c>
      <c r="M396">
        <f t="shared" si="39"/>
        <v>347136.19460083888</v>
      </c>
      <c r="N396">
        <f t="shared" si="40"/>
        <v>1545.9654168429142</v>
      </c>
      <c r="O396">
        <f t="shared" si="41"/>
        <v>570393.98572433135</v>
      </c>
      <c r="P396">
        <f t="shared" si="42"/>
        <v>1.2635000000000001</v>
      </c>
      <c r="Q396">
        <f t="shared" si="43"/>
        <v>1.4607000000000001</v>
      </c>
      <c r="R396">
        <f t="shared" si="44"/>
        <v>2.7242000000000002</v>
      </c>
    </row>
    <row r="397" spans="2:18" x14ac:dyDescent="0.3">
      <c r="B397" s="8">
        <v>1.673</v>
      </c>
      <c r="C397">
        <v>16</v>
      </c>
      <c r="D397" s="8">
        <f t="shared" si="45"/>
        <v>5.1879185980709175E-2</v>
      </c>
      <c r="E397" s="8">
        <f t="shared" si="31"/>
        <v>7.1641065898158607E-2</v>
      </c>
      <c r="F397" s="8">
        <f t="shared" si="32"/>
        <v>0.9155643781103564</v>
      </c>
      <c r="G397" s="8">
        <f t="shared" si="33"/>
        <v>2.15</v>
      </c>
      <c r="H397">
        <f t="shared" si="34"/>
        <v>10.4</v>
      </c>
      <c r="I397">
        <f t="shared" si="35"/>
        <v>1714835.0761988307</v>
      </c>
      <c r="J397">
        <f t="shared" si="36"/>
        <v>691779.57771454833</v>
      </c>
      <c r="K397">
        <f t="shared" si="37"/>
        <v>685712.91101948416</v>
      </c>
      <c r="L397">
        <f t="shared" si="38"/>
        <v>437.87896559486506</v>
      </c>
      <c r="M397">
        <f t="shared" si="39"/>
        <v>347712.59071917197</v>
      </c>
      <c r="N397">
        <f t="shared" si="40"/>
        <v>1548.291271891798</v>
      </c>
      <c r="O397">
        <f t="shared" si="41"/>
        <v>571257.2565750333</v>
      </c>
      <c r="P397">
        <f t="shared" si="42"/>
        <v>1.2642</v>
      </c>
      <c r="Q397">
        <f t="shared" si="43"/>
        <v>1.4629000000000001</v>
      </c>
      <c r="R397">
        <f t="shared" si="44"/>
        <v>2.7271000000000001</v>
      </c>
    </row>
    <row r="398" spans="2:18" x14ac:dyDescent="0.3">
      <c r="B398" s="8">
        <v>1.6759999999999999</v>
      </c>
      <c r="C398">
        <v>16</v>
      </c>
      <c r="D398" s="8">
        <f t="shared" si="45"/>
        <v>5.1894941680570107E-2</v>
      </c>
      <c r="E398" s="8">
        <f t="shared" si="31"/>
        <v>7.1639236341594914E-2</v>
      </c>
      <c r="F398" s="8">
        <f t="shared" si="32"/>
        <v>0.91554099659311539</v>
      </c>
      <c r="G398" s="8">
        <f t="shared" si="33"/>
        <v>2.15</v>
      </c>
      <c r="H398">
        <f t="shared" si="34"/>
        <v>10.4</v>
      </c>
      <c r="I398">
        <f t="shared" si="35"/>
        <v>1714835.0761988307</v>
      </c>
      <c r="J398">
        <f t="shared" si="36"/>
        <v>692809.66091990715</v>
      </c>
      <c r="K398">
        <f t="shared" si="37"/>
        <v>686742.99422484299</v>
      </c>
      <c r="L398">
        <f t="shared" si="38"/>
        <v>438.53098219519501</v>
      </c>
      <c r="M398">
        <f t="shared" si="39"/>
        <v>348288.9868375049</v>
      </c>
      <c r="N398">
        <f t="shared" si="40"/>
        <v>1550.6171269406818</v>
      </c>
      <c r="O398">
        <f t="shared" si="41"/>
        <v>572120.52742573526</v>
      </c>
      <c r="P398">
        <f t="shared" si="42"/>
        <v>1.2648999999999999</v>
      </c>
      <c r="Q398">
        <f t="shared" si="43"/>
        <v>1.4651000000000001</v>
      </c>
      <c r="R398">
        <f t="shared" si="44"/>
        <v>2.73</v>
      </c>
    </row>
    <row r="399" spans="2:18" x14ac:dyDescent="0.3">
      <c r="B399" s="8">
        <v>1.68</v>
      </c>
      <c r="C399">
        <v>16</v>
      </c>
      <c r="D399" s="8">
        <f t="shared" si="45"/>
        <v>5.1915876544037405E-2</v>
      </c>
      <c r="E399" s="8">
        <f t="shared" ref="E399:E462" si="46">EXP(INDEX(TS_array,MATCH($B$41,Tray_space,0),1)*((LN(D399))^3)+INDEX(TS_array,MATCH($B$41,Tray_space,0),2)*((LN(D399))^2)+INDEX(TS_array,MATCH($B$41,Tray_space,0),3)*(LN(D399))+INDEX(TS_array,MATCH($B$41,Tray_space,0),4)-1.188)</f>
        <v>7.1636805397023454E-2</v>
      </c>
      <c r="F399" s="8">
        <f t="shared" si="32"/>
        <v>0.91550992940801867</v>
      </c>
      <c r="G399" s="8">
        <f t="shared" si="33"/>
        <v>2.15</v>
      </c>
      <c r="H399">
        <f t="shared" si="34"/>
        <v>10.4</v>
      </c>
      <c r="I399">
        <f t="shared" si="35"/>
        <v>1714835.0761988307</v>
      </c>
      <c r="J399">
        <f t="shared" si="36"/>
        <v>694183.10519371904</v>
      </c>
      <c r="K399">
        <f t="shared" si="37"/>
        <v>688116.43849865487</v>
      </c>
      <c r="L399">
        <f t="shared" si="38"/>
        <v>439.40033766230181</v>
      </c>
      <c r="M399">
        <f t="shared" si="39"/>
        <v>349057.51499528228</v>
      </c>
      <c r="N399">
        <f t="shared" si="40"/>
        <v>1553.7182670058603</v>
      </c>
      <c r="O399">
        <f t="shared" si="41"/>
        <v>573271.55522667128</v>
      </c>
      <c r="P399">
        <f t="shared" si="42"/>
        <v>1.2658</v>
      </c>
      <c r="Q399">
        <f t="shared" si="43"/>
        <v>1.468</v>
      </c>
      <c r="R399">
        <f t="shared" si="44"/>
        <v>2.7338</v>
      </c>
    </row>
    <row r="400" spans="2:18" x14ac:dyDescent="0.3">
      <c r="B400" s="8">
        <v>1.6830000000000001</v>
      </c>
      <c r="C400">
        <v>16</v>
      </c>
      <c r="D400" s="8">
        <f t="shared" si="45"/>
        <v>5.1931523408807294E-2</v>
      </c>
      <c r="E400" s="8">
        <f t="shared" si="46"/>
        <v>7.1634988505294997E-2</v>
      </c>
      <c r="F400" s="8">
        <f t="shared" ref="F400:F463" si="47">$B$47*(($B$48/20)^0.2)*E400*SQRT(($B$26-$B$25)/$B$25)</f>
        <v>0.91548670974587931</v>
      </c>
      <c r="G400" s="8">
        <f t="shared" ref="G400:G463" si="48">10^-3*ROUND(ROUND(((4*($B$12*(B400*$B$20+1)*$B$4*$B$14/3600))/($B$25*PI()*(1-$B$56)*F400))^0.5,2)*1000+HLOOKUP(ROUND(((4*($B$12*(B400*$B$20+1)*$B$4*$B$14/3600))/($B$25*PI()*(1-$B$56)*F400))^0.5,2)*1000,$B$64:$E$65,2),0)</f>
        <v>2.15</v>
      </c>
      <c r="H400">
        <f t="shared" ref="H400:H463" si="49">ROUND((((C400-ROUND(C400/10,0)-1)*$B$41)+1.5*$B$41+$B$78+ROUND(C400/10,0)*1200+2*$B$41)*10^-3,1)</f>
        <v>10.4</v>
      </c>
      <c r="I400">
        <f t="shared" ref="I400:I463" si="50">(PI()*(G400)*($B$88*10^-3)*$B$89*$B$90*H400)+(_xlfn.FORECAST.LINEAR(39.3701*G400,$B$94:$B$98,$A$94:$A$98))*C400</f>
        <v>1714835.0761988307</v>
      </c>
      <c r="J400">
        <f t="shared" ref="J400:J463" si="51">$B$114*($B$20*B400+1)/($B$20*$B$21+1)</f>
        <v>695213.18839907798</v>
      </c>
      <c r="K400">
        <f t="shared" ref="K400:K463" si="52">J400+($B$132-$B$114)</f>
        <v>689146.52170401381</v>
      </c>
      <c r="L400">
        <f t="shared" ref="L400:L463" si="53">(J400/($B$118*$B$117))*10.7639</f>
        <v>440.05235426263187</v>
      </c>
      <c r="M400">
        <f t="shared" ref="M400:M463" si="54">_xlfn.FORECAST.LINEAR(L400,$B$139:$B$143,$A$139:$A$143)</f>
        <v>349633.91111361526</v>
      </c>
      <c r="N400">
        <f t="shared" ref="N400:N463" si="55">(K400/($B$134*$B$133))*10.7639</f>
        <v>1556.0441220547441</v>
      </c>
      <c r="O400">
        <f t="shared" ref="O400:O463" si="56">_xlfn.FORECAST.LINEAR(N400,$B$149:$B$154,$A$149:$A$154)</f>
        <v>574134.82607737335</v>
      </c>
      <c r="P400">
        <f t="shared" ref="P400:P463" si="57">ROUND((2*1.2*(O400+M400+I400)*$B$161)*10^-6,4)</f>
        <v>1.2665</v>
      </c>
      <c r="Q400">
        <f t="shared" ref="Q400:Q463" si="58">ROUND(($B$167*(K400/(2700*10^3))*60*60*8000)*10^-6,4)</f>
        <v>1.4702</v>
      </c>
      <c r="R400">
        <f t="shared" ref="R400:R463" si="59">(Q400+P400)</f>
        <v>2.7366999999999999</v>
      </c>
    </row>
    <row r="401" spans="2:18" x14ac:dyDescent="0.3">
      <c r="B401" s="8">
        <v>1.6859999999999999</v>
      </c>
      <c r="C401">
        <v>16</v>
      </c>
      <c r="D401" s="8">
        <f t="shared" si="45"/>
        <v>5.1947123974896044E-2</v>
      </c>
      <c r="E401" s="8">
        <f t="shared" si="46"/>
        <v>7.1633177001110201E-2</v>
      </c>
      <c r="F401" s="8">
        <f t="shared" si="47"/>
        <v>0.91546355893591291</v>
      </c>
      <c r="G401" s="8">
        <f t="shared" si="48"/>
        <v>2.15</v>
      </c>
      <c r="H401">
        <f t="shared" si="49"/>
        <v>10.4</v>
      </c>
      <c r="I401">
        <f t="shared" si="50"/>
        <v>1714835.0761988307</v>
      </c>
      <c r="J401">
        <f t="shared" si="51"/>
        <v>696243.2716044368</v>
      </c>
      <c r="K401">
        <f t="shared" si="52"/>
        <v>690176.60490937263</v>
      </c>
      <c r="L401">
        <f t="shared" si="53"/>
        <v>440.70437086296181</v>
      </c>
      <c r="M401">
        <f t="shared" si="54"/>
        <v>350210.30723194819</v>
      </c>
      <c r="N401">
        <f t="shared" si="55"/>
        <v>1558.3699771036281</v>
      </c>
      <c r="O401">
        <f t="shared" si="56"/>
        <v>574998.09692807542</v>
      </c>
      <c r="P401">
        <f t="shared" si="57"/>
        <v>1.2672000000000001</v>
      </c>
      <c r="Q401">
        <f t="shared" si="58"/>
        <v>1.4723999999999999</v>
      </c>
      <c r="R401">
        <f t="shared" si="59"/>
        <v>2.7396000000000003</v>
      </c>
    </row>
    <row r="402" spans="2:18" x14ac:dyDescent="0.3">
      <c r="B402" s="8">
        <v>1.6890000000000001</v>
      </c>
      <c r="C402">
        <v>16</v>
      </c>
      <c r="D402" s="8">
        <f t="shared" si="45"/>
        <v>5.1962678447495053E-2</v>
      </c>
      <c r="E402" s="8">
        <f t="shared" si="46"/>
        <v>7.1631370860530105E-2</v>
      </c>
      <c r="F402" s="8">
        <f t="shared" si="47"/>
        <v>0.91544047667218242</v>
      </c>
      <c r="G402" s="8">
        <f t="shared" si="48"/>
        <v>2.16</v>
      </c>
      <c r="H402">
        <f t="shared" si="49"/>
        <v>10.4</v>
      </c>
      <c r="I402">
        <f t="shared" si="50"/>
        <v>1726755.2393439417</v>
      </c>
      <c r="J402">
        <f t="shared" si="51"/>
        <v>697273.35480979574</v>
      </c>
      <c r="K402">
        <f t="shared" si="52"/>
        <v>691206.68811473157</v>
      </c>
      <c r="L402">
        <f t="shared" si="53"/>
        <v>441.35638746329192</v>
      </c>
      <c r="M402">
        <f t="shared" si="54"/>
        <v>350786.70335028128</v>
      </c>
      <c r="N402">
        <f t="shared" si="55"/>
        <v>1560.6958321525119</v>
      </c>
      <c r="O402">
        <f t="shared" si="56"/>
        <v>575861.36777877738</v>
      </c>
      <c r="P402">
        <f t="shared" si="57"/>
        <v>1.2736000000000001</v>
      </c>
      <c r="Q402">
        <f t="shared" si="58"/>
        <v>1.4745999999999999</v>
      </c>
      <c r="R402">
        <f t="shared" si="59"/>
        <v>2.7481999999999998</v>
      </c>
    </row>
    <row r="403" spans="2:18" x14ac:dyDescent="0.3">
      <c r="B403" s="8">
        <v>1.6930000000000001</v>
      </c>
      <c r="C403">
        <v>16</v>
      </c>
      <c r="D403" s="8">
        <f t="shared" si="45"/>
        <v>5.198334639569549E-2</v>
      </c>
      <c r="E403" s="8">
        <f t="shared" si="46"/>
        <v>7.1628970975364539E-2</v>
      </c>
      <c r="F403" s="8">
        <f t="shared" si="47"/>
        <v>0.91540980642263214</v>
      </c>
      <c r="G403" s="8">
        <f t="shared" si="48"/>
        <v>2.16</v>
      </c>
      <c r="H403">
        <f t="shared" si="49"/>
        <v>10.4</v>
      </c>
      <c r="I403">
        <f t="shared" si="50"/>
        <v>1726755.2393439417</v>
      </c>
      <c r="J403">
        <f t="shared" si="51"/>
        <v>698646.79908360762</v>
      </c>
      <c r="K403">
        <f t="shared" si="52"/>
        <v>692580.13238854345</v>
      </c>
      <c r="L403">
        <f t="shared" si="53"/>
        <v>442.22574293039872</v>
      </c>
      <c r="M403">
        <f t="shared" si="54"/>
        <v>351555.23150805867</v>
      </c>
      <c r="N403">
        <f t="shared" si="55"/>
        <v>1563.7969722176904</v>
      </c>
      <c r="O403">
        <f t="shared" si="56"/>
        <v>577012.3955797134</v>
      </c>
      <c r="P403">
        <f t="shared" si="57"/>
        <v>1.2746</v>
      </c>
      <c r="Q403">
        <f t="shared" si="58"/>
        <v>1.4775</v>
      </c>
      <c r="R403">
        <f t="shared" si="59"/>
        <v>2.7521</v>
      </c>
    </row>
    <row r="404" spans="2:18" x14ac:dyDescent="0.3">
      <c r="B404" s="8">
        <v>1.696</v>
      </c>
      <c r="C404">
        <v>16</v>
      </c>
      <c r="D404" s="8">
        <f t="shared" si="45"/>
        <v>5.1998794108000526E-2</v>
      </c>
      <c r="E404" s="8">
        <f t="shared" si="46"/>
        <v>7.1627177257560709E-2</v>
      </c>
      <c r="F404" s="8">
        <f t="shared" si="47"/>
        <v>0.91538688292051806</v>
      </c>
      <c r="G404" s="8">
        <f t="shared" si="48"/>
        <v>2.16</v>
      </c>
      <c r="H404">
        <f t="shared" si="49"/>
        <v>10.4</v>
      </c>
      <c r="I404">
        <f t="shared" si="50"/>
        <v>1726755.2393439417</v>
      </c>
      <c r="J404">
        <f t="shared" si="51"/>
        <v>699676.88228896644</v>
      </c>
      <c r="K404">
        <f t="shared" si="52"/>
        <v>693610.21559390228</v>
      </c>
      <c r="L404">
        <f t="shared" si="53"/>
        <v>442.87775953072867</v>
      </c>
      <c r="M404">
        <f t="shared" si="54"/>
        <v>352131.62762639159</v>
      </c>
      <c r="N404">
        <f t="shared" si="55"/>
        <v>1566.1228272665742</v>
      </c>
      <c r="O404">
        <f t="shared" si="56"/>
        <v>577875.66643041535</v>
      </c>
      <c r="P404">
        <f t="shared" si="57"/>
        <v>1.2751999999999999</v>
      </c>
      <c r="Q404">
        <f t="shared" si="58"/>
        <v>1.4797</v>
      </c>
      <c r="R404">
        <f t="shared" si="59"/>
        <v>2.7549000000000001</v>
      </c>
    </row>
    <row r="405" spans="2:18" x14ac:dyDescent="0.3">
      <c r="B405" s="8">
        <v>1.6990000000000001</v>
      </c>
      <c r="C405">
        <v>16</v>
      </c>
      <c r="D405" s="8">
        <f t="shared" si="45"/>
        <v>5.201419640209283E-2</v>
      </c>
      <c r="E405" s="8">
        <f t="shared" si="46"/>
        <v>7.1625388824583247E-2</v>
      </c>
      <c r="F405" s="8">
        <f t="shared" si="47"/>
        <v>0.91536402695786201</v>
      </c>
      <c r="G405" s="8">
        <f t="shared" si="48"/>
        <v>2.16</v>
      </c>
      <c r="H405">
        <f t="shared" si="49"/>
        <v>10.4</v>
      </c>
      <c r="I405">
        <f t="shared" si="50"/>
        <v>1726755.2393439417</v>
      </c>
      <c r="J405">
        <f t="shared" si="51"/>
        <v>700706.96549432538</v>
      </c>
      <c r="K405">
        <f t="shared" si="52"/>
        <v>694640.29879926122</v>
      </c>
      <c r="L405">
        <f t="shared" si="53"/>
        <v>443.52977613105872</v>
      </c>
      <c r="M405">
        <f t="shared" si="54"/>
        <v>352708.02374472457</v>
      </c>
      <c r="N405">
        <f t="shared" si="55"/>
        <v>1568.448682315458</v>
      </c>
      <c r="O405">
        <f t="shared" si="56"/>
        <v>578738.93728111731</v>
      </c>
      <c r="P405">
        <f t="shared" si="57"/>
        <v>1.2759</v>
      </c>
      <c r="Q405">
        <f t="shared" si="58"/>
        <v>1.4819</v>
      </c>
      <c r="R405">
        <f t="shared" si="59"/>
        <v>2.7578</v>
      </c>
    </row>
    <row r="406" spans="2:18" x14ac:dyDescent="0.3">
      <c r="B406" s="8">
        <v>1.702</v>
      </c>
      <c r="C406">
        <v>16</v>
      </c>
      <c r="D406" s="8">
        <f t="shared" si="45"/>
        <v>5.202955347798123E-2</v>
      </c>
      <c r="E406" s="8">
        <f t="shared" si="46"/>
        <v>7.1623605653100067E-2</v>
      </c>
      <c r="F406" s="8">
        <f t="shared" si="47"/>
        <v>0.91534123823648283</v>
      </c>
      <c r="G406" s="8">
        <f t="shared" si="48"/>
        <v>2.16</v>
      </c>
      <c r="H406">
        <f t="shared" si="49"/>
        <v>10.4</v>
      </c>
      <c r="I406">
        <f t="shared" si="50"/>
        <v>1726755.2393439417</v>
      </c>
      <c r="J406">
        <f t="shared" si="51"/>
        <v>701737.04869968432</v>
      </c>
      <c r="K406">
        <f t="shared" si="52"/>
        <v>695670.38200462016</v>
      </c>
      <c r="L406">
        <f t="shared" si="53"/>
        <v>444.18179273138884</v>
      </c>
      <c r="M406">
        <f t="shared" si="54"/>
        <v>353284.41986305767</v>
      </c>
      <c r="N406">
        <f t="shared" si="55"/>
        <v>1570.774537364342</v>
      </c>
      <c r="O406">
        <f t="shared" si="56"/>
        <v>579602.20813181938</v>
      </c>
      <c r="P406">
        <f t="shared" si="57"/>
        <v>1.2766</v>
      </c>
      <c r="Q406">
        <f t="shared" si="58"/>
        <v>1.4841</v>
      </c>
      <c r="R406">
        <f t="shared" si="59"/>
        <v>2.7606999999999999</v>
      </c>
    </row>
    <row r="407" spans="2:18" x14ac:dyDescent="0.3">
      <c r="B407" s="8">
        <v>1.706</v>
      </c>
      <c r="C407">
        <v>16</v>
      </c>
      <c r="D407" s="8">
        <f t="shared" si="45"/>
        <v>5.2049959583237194E-2</v>
      </c>
      <c r="E407" s="8">
        <f t="shared" si="46"/>
        <v>7.1621236235599031E-2</v>
      </c>
      <c r="F407" s="8">
        <f t="shared" si="47"/>
        <v>0.91531095736009416</v>
      </c>
      <c r="G407" s="8">
        <f t="shared" si="48"/>
        <v>2.17</v>
      </c>
      <c r="H407">
        <f t="shared" si="49"/>
        <v>10.4</v>
      </c>
      <c r="I407">
        <f t="shared" si="50"/>
        <v>1738675.4024890526</v>
      </c>
      <c r="J407">
        <f t="shared" si="51"/>
        <v>703110.49297349609</v>
      </c>
      <c r="K407">
        <f t="shared" si="52"/>
        <v>697043.82627843192</v>
      </c>
      <c r="L407">
        <f t="shared" si="53"/>
        <v>445.05114819849553</v>
      </c>
      <c r="M407">
        <f t="shared" si="54"/>
        <v>354052.94802083494</v>
      </c>
      <c r="N407">
        <f t="shared" si="55"/>
        <v>1573.8756774295205</v>
      </c>
      <c r="O407">
        <f t="shared" si="56"/>
        <v>580753.2359327554</v>
      </c>
      <c r="P407">
        <f t="shared" si="57"/>
        <v>1.2833000000000001</v>
      </c>
      <c r="Q407">
        <f t="shared" si="58"/>
        <v>1.4870000000000001</v>
      </c>
      <c r="R407">
        <f t="shared" si="59"/>
        <v>2.7703000000000002</v>
      </c>
    </row>
    <row r="408" spans="2:18" x14ac:dyDescent="0.3">
      <c r="B408" s="8">
        <v>1.7090000000000001</v>
      </c>
      <c r="C408">
        <v>16</v>
      </c>
      <c r="D408" s="8">
        <f t="shared" si="45"/>
        <v>5.2065211921224319E-2</v>
      </c>
      <c r="E408" s="8">
        <f t="shared" si="46"/>
        <v>7.1619465250969169E-2</v>
      </c>
      <c r="F408" s="8">
        <f t="shared" si="47"/>
        <v>0.91528832438526397</v>
      </c>
      <c r="G408" s="8">
        <f t="shared" si="48"/>
        <v>2.17</v>
      </c>
      <c r="H408">
        <f t="shared" si="49"/>
        <v>10.4</v>
      </c>
      <c r="I408">
        <f t="shared" si="50"/>
        <v>1738675.4024890526</v>
      </c>
      <c r="J408">
        <f t="shared" si="51"/>
        <v>704140.57617885515</v>
      </c>
      <c r="K408">
        <f t="shared" si="52"/>
        <v>698073.90948379098</v>
      </c>
      <c r="L408">
        <f t="shared" si="53"/>
        <v>445.70316479882564</v>
      </c>
      <c r="M408">
        <f t="shared" si="54"/>
        <v>354629.34413916804</v>
      </c>
      <c r="N408">
        <f t="shared" si="55"/>
        <v>1576.2015324784045</v>
      </c>
      <c r="O408">
        <f t="shared" si="56"/>
        <v>581616.50678345747</v>
      </c>
      <c r="P408">
        <f t="shared" si="57"/>
        <v>1.284</v>
      </c>
      <c r="Q408">
        <f t="shared" si="58"/>
        <v>1.4892000000000001</v>
      </c>
      <c r="R408">
        <f t="shared" si="59"/>
        <v>2.7732000000000001</v>
      </c>
    </row>
    <row r="409" spans="2:18" x14ac:dyDescent="0.3">
      <c r="B409" s="8">
        <v>1.712</v>
      </c>
      <c r="C409">
        <v>16</v>
      </c>
      <c r="D409" s="8">
        <f t="shared" si="45"/>
        <v>5.2080419699282607E-2</v>
      </c>
      <c r="E409" s="8">
        <f t="shared" si="46"/>
        <v>7.1617699451045944E-2</v>
      </c>
      <c r="F409" s="8">
        <f t="shared" si="47"/>
        <v>0.91526575767037344</v>
      </c>
      <c r="G409" s="8">
        <f t="shared" si="48"/>
        <v>2.17</v>
      </c>
      <c r="H409">
        <f t="shared" si="49"/>
        <v>10.4</v>
      </c>
      <c r="I409">
        <f t="shared" si="50"/>
        <v>1738675.4024890526</v>
      </c>
      <c r="J409">
        <f t="shared" si="51"/>
        <v>705170.65938421397</v>
      </c>
      <c r="K409">
        <f t="shared" si="52"/>
        <v>699103.9926891498</v>
      </c>
      <c r="L409">
        <f t="shared" si="53"/>
        <v>446.35518139915564</v>
      </c>
      <c r="M409">
        <f t="shared" si="54"/>
        <v>355205.74025750102</v>
      </c>
      <c r="N409">
        <f t="shared" si="55"/>
        <v>1578.5273875272881</v>
      </c>
      <c r="O409">
        <f t="shared" si="56"/>
        <v>582479.77763415943</v>
      </c>
      <c r="P409">
        <f t="shared" si="57"/>
        <v>1.2847</v>
      </c>
      <c r="Q409">
        <f t="shared" si="58"/>
        <v>1.4914000000000001</v>
      </c>
      <c r="R409">
        <f t="shared" si="59"/>
        <v>2.7761</v>
      </c>
    </row>
    <row r="410" spans="2:18" x14ac:dyDescent="0.3">
      <c r="B410" s="8">
        <v>1.716</v>
      </c>
      <c r="C410">
        <v>16</v>
      </c>
      <c r="D410" s="8">
        <f t="shared" si="45"/>
        <v>5.2100627758102827E-2</v>
      </c>
      <c r="E410" s="8">
        <f t="shared" si="46"/>
        <v>7.1615353076955171E-2</v>
      </c>
      <c r="F410" s="8">
        <f t="shared" si="47"/>
        <v>0.91523577128605182</v>
      </c>
      <c r="G410" s="8">
        <f t="shared" si="48"/>
        <v>2.17</v>
      </c>
      <c r="H410">
        <f t="shared" si="49"/>
        <v>10.4</v>
      </c>
      <c r="I410">
        <f t="shared" si="50"/>
        <v>1738675.4024890526</v>
      </c>
      <c r="J410">
        <f t="shared" si="51"/>
        <v>706544.10365802585</v>
      </c>
      <c r="K410">
        <f t="shared" si="52"/>
        <v>700477.43696296168</v>
      </c>
      <c r="L410">
        <f t="shared" si="53"/>
        <v>447.22453686626238</v>
      </c>
      <c r="M410">
        <f t="shared" si="54"/>
        <v>355974.26841527835</v>
      </c>
      <c r="N410">
        <f t="shared" si="55"/>
        <v>1581.6285275924665</v>
      </c>
      <c r="O410">
        <f t="shared" si="56"/>
        <v>583630.80543509545</v>
      </c>
      <c r="P410">
        <f t="shared" si="57"/>
        <v>1.2856000000000001</v>
      </c>
      <c r="Q410">
        <f t="shared" si="58"/>
        <v>1.4944</v>
      </c>
      <c r="R410">
        <f t="shared" si="59"/>
        <v>2.7800000000000002</v>
      </c>
    </row>
    <row r="411" spans="2:18" x14ac:dyDescent="0.3">
      <c r="B411" s="8">
        <v>1.7190000000000001</v>
      </c>
      <c r="C411">
        <v>16</v>
      </c>
      <c r="D411" s="8">
        <f t="shared" si="45"/>
        <v>5.2115732319321678E-2</v>
      </c>
      <c r="E411" s="8">
        <f t="shared" si="46"/>
        <v>7.1613599286459773E-2</v>
      </c>
      <c r="F411" s="8">
        <f t="shared" si="47"/>
        <v>0.91521335805023352</v>
      </c>
      <c r="G411" s="8">
        <f t="shared" si="48"/>
        <v>2.17</v>
      </c>
      <c r="H411">
        <f t="shared" si="49"/>
        <v>10.4</v>
      </c>
      <c r="I411">
        <f t="shared" si="50"/>
        <v>1738675.4024890526</v>
      </c>
      <c r="J411">
        <f t="shared" si="51"/>
        <v>707574.18686338479</v>
      </c>
      <c r="K411">
        <f t="shared" si="52"/>
        <v>701507.52016832063</v>
      </c>
      <c r="L411">
        <f t="shared" si="53"/>
        <v>447.87655346659244</v>
      </c>
      <c r="M411">
        <f t="shared" si="54"/>
        <v>356550.66453361139</v>
      </c>
      <c r="N411">
        <f t="shared" si="55"/>
        <v>1583.9543826413508</v>
      </c>
      <c r="O411">
        <f t="shared" si="56"/>
        <v>584494.07628579752</v>
      </c>
      <c r="P411">
        <f t="shared" si="57"/>
        <v>1.2863</v>
      </c>
      <c r="Q411">
        <f t="shared" si="58"/>
        <v>1.4964999999999999</v>
      </c>
      <c r="R411">
        <f t="shared" si="59"/>
        <v>2.7827999999999999</v>
      </c>
    </row>
    <row r="412" spans="2:18" x14ac:dyDescent="0.3">
      <c r="B412" s="8">
        <v>1.722</v>
      </c>
      <c r="C412">
        <v>16</v>
      </c>
      <c r="D412" s="8">
        <f t="shared" si="45"/>
        <v>5.2130792966171124E-2</v>
      </c>
      <c r="E412" s="8">
        <f t="shared" si="46"/>
        <v>7.1611850605371757E-2</v>
      </c>
      <c r="F412" s="8">
        <f t="shared" si="47"/>
        <v>0.91519101011203929</v>
      </c>
      <c r="G412" s="8">
        <f t="shared" si="48"/>
        <v>2.17</v>
      </c>
      <c r="H412">
        <f t="shared" si="49"/>
        <v>10.4</v>
      </c>
      <c r="I412">
        <f t="shared" si="50"/>
        <v>1738675.4024890526</v>
      </c>
      <c r="J412">
        <f t="shared" si="51"/>
        <v>708604.27006874362</v>
      </c>
      <c r="K412">
        <f t="shared" si="52"/>
        <v>702537.60337367945</v>
      </c>
      <c r="L412">
        <f t="shared" si="53"/>
        <v>448.5285700669225</v>
      </c>
      <c r="M412">
        <f t="shared" si="54"/>
        <v>357127.06065194437</v>
      </c>
      <c r="N412">
        <f t="shared" si="55"/>
        <v>1586.2802376902343</v>
      </c>
      <c r="O412">
        <f t="shared" si="56"/>
        <v>585357.34713649948</v>
      </c>
      <c r="P412">
        <f t="shared" si="57"/>
        <v>1.2869999999999999</v>
      </c>
      <c r="Q412">
        <f t="shared" si="58"/>
        <v>1.4986999999999999</v>
      </c>
      <c r="R412">
        <f t="shared" si="59"/>
        <v>2.7856999999999998</v>
      </c>
    </row>
    <row r="413" spans="2:18" x14ac:dyDescent="0.3">
      <c r="B413" s="8">
        <v>1.7250000000000001</v>
      </c>
      <c r="C413">
        <v>16</v>
      </c>
      <c r="D413" s="8">
        <f t="shared" si="45"/>
        <v>5.2145809889885403E-2</v>
      </c>
      <c r="E413" s="8">
        <f t="shared" si="46"/>
        <v>7.1610107011386148E-2</v>
      </c>
      <c r="F413" s="8">
        <f t="shared" si="47"/>
        <v>0.91516872718641407</v>
      </c>
      <c r="G413" s="8">
        <f t="shared" si="48"/>
        <v>2.17</v>
      </c>
      <c r="H413">
        <f t="shared" si="49"/>
        <v>10.4</v>
      </c>
      <c r="I413">
        <f t="shared" si="50"/>
        <v>1738675.4024890526</v>
      </c>
      <c r="J413">
        <f t="shared" si="51"/>
        <v>709634.35327410256</v>
      </c>
      <c r="K413">
        <f t="shared" si="52"/>
        <v>703567.68657903839</v>
      </c>
      <c r="L413">
        <f t="shared" si="53"/>
        <v>449.18058666725256</v>
      </c>
      <c r="M413">
        <f t="shared" si="54"/>
        <v>357703.45677027741</v>
      </c>
      <c r="N413">
        <f t="shared" si="55"/>
        <v>1588.6060927391181</v>
      </c>
      <c r="O413">
        <f t="shared" si="56"/>
        <v>586220.61798720143</v>
      </c>
      <c r="P413">
        <f t="shared" si="57"/>
        <v>1.2876000000000001</v>
      </c>
      <c r="Q413">
        <f t="shared" si="58"/>
        <v>1.5008999999999999</v>
      </c>
      <c r="R413">
        <f t="shared" si="59"/>
        <v>2.7885</v>
      </c>
    </row>
    <row r="414" spans="2:18" x14ac:dyDescent="0.3">
      <c r="B414" s="8">
        <v>1.7290000000000001</v>
      </c>
      <c r="C414">
        <v>16</v>
      </c>
      <c r="D414" s="8">
        <f t="shared" si="45"/>
        <v>5.2165764769525107E-2</v>
      </c>
      <c r="E414" s="8">
        <f t="shared" si="46"/>
        <v>7.1607790094366949E-2</v>
      </c>
      <c r="F414" s="8">
        <f t="shared" si="47"/>
        <v>0.91513911725999519</v>
      </c>
      <c r="G414" s="8">
        <f t="shared" si="48"/>
        <v>2.1800000000000002</v>
      </c>
      <c r="H414">
        <f t="shared" si="49"/>
        <v>10.4</v>
      </c>
      <c r="I414">
        <f t="shared" si="50"/>
        <v>1750595.5656341633</v>
      </c>
      <c r="J414">
        <f t="shared" si="51"/>
        <v>711007.79754791444</v>
      </c>
      <c r="K414">
        <f t="shared" si="52"/>
        <v>704941.13085285027</v>
      </c>
      <c r="L414">
        <f t="shared" si="53"/>
        <v>450.0499421343593</v>
      </c>
      <c r="M414">
        <f t="shared" si="54"/>
        <v>358471.98492805474</v>
      </c>
      <c r="N414">
        <f t="shared" si="55"/>
        <v>1591.7072328042966</v>
      </c>
      <c r="O414">
        <f t="shared" si="56"/>
        <v>587371.64578813745</v>
      </c>
      <c r="P414">
        <f t="shared" si="57"/>
        <v>1.2943</v>
      </c>
      <c r="Q414">
        <f t="shared" si="58"/>
        <v>1.5039</v>
      </c>
      <c r="R414">
        <f t="shared" si="59"/>
        <v>2.7982</v>
      </c>
    </row>
    <row r="415" spans="2:18" x14ac:dyDescent="0.3">
      <c r="B415" s="8">
        <v>1.732</v>
      </c>
      <c r="C415">
        <v>16</v>
      </c>
      <c r="D415" s="8">
        <f t="shared" si="45"/>
        <v>5.2180680410066023E-2</v>
      </c>
      <c r="E415" s="8">
        <f t="shared" si="46"/>
        <v>7.1606058284272925E-2</v>
      </c>
      <c r="F415" s="8">
        <f t="shared" si="47"/>
        <v>0.9151169849311156</v>
      </c>
      <c r="G415" s="8">
        <f t="shared" si="48"/>
        <v>2.1800000000000002</v>
      </c>
      <c r="H415">
        <f t="shared" si="49"/>
        <v>10.4</v>
      </c>
      <c r="I415">
        <f t="shared" si="50"/>
        <v>1750595.5656341633</v>
      </c>
      <c r="J415">
        <f t="shared" si="51"/>
        <v>712037.88075327326</v>
      </c>
      <c r="K415">
        <f t="shared" si="52"/>
        <v>705971.21405820909</v>
      </c>
      <c r="L415">
        <f t="shared" si="53"/>
        <v>450.7019587346893</v>
      </c>
      <c r="M415">
        <f t="shared" si="54"/>
        <v>359048.38104638772</v>
      </c>
      <c r="N415">
        <f t="shared" si="55"/>
        <v>1594.0330878531804</v>
      </c>
      <c r="O415">
        <f t="shared" si="56"/>
        <v>588234.91663883941</v>
      </c>
      <c r="P415">
        <f t="shared" si="57"/>
        <v>1.2949999999999999</v>
      </c>
      <c r="Q415">
        <f t="shared" si="58"/>
        <v>1.5061</v>
      </c>
      <c r="R415">
        <f t="shared" si="59"/>
        <v>2.8010999999999999</v>
      </c>
    </row>
    <row r="416" spans="2:18" x14ac:dyDescent="0.3">
      <c r="B416" s="8">
        <v>1.7350000000000001</v>
      </c>
      <c r="C416">
        <v>16</v>
      </c>
      <c r="D416" s="8">
        <f t="shared" si="45"/>
        <v>5.2195552956956444E-2</v>
      </c>
      <c r="E416" s="8">
        <f t="shared" si="46"/>
        <v>7.1604331487863604E-2</v>
      </c>
      <c r="F416" s="8">
        <f t="shared" si="47"/>
        <v>0.91509491667653564</v>
      </c>
      <c r="G416" s="8">
        <f t="shared" si="48"/>
        <v>2.1800000000000002</v>
      </c>
      <c r="H416">
        <f t="shared" si="49"/>
        <v>10.4</v>
      </c>
      <c r="I416">
        <f t="shared" si="50"/>
        <v>1750595.5656341633</v>
      </c>
      <c r="J416">
        <f t="shared" si="51"/>
        <v>713067.96395863232</v>
      </c>
      <c r="K416">
        <f t="shared" si="52"/>
        <v>707001.29726356815</v>
      </c>
      <c r="L416">
        <f t="shared" si="53"/>
        <v>451.35397533501947</v>
      </c>
      <c r="M416">
        <f t="shared" si="54"/>
        <v>359624.77716472081</v>
      </c>
      <c r="N416">
        <f t="shared" si="55"/>
        <v>1596.3589429020647</v>
      </c>
      <c r="O416">
        <f t="shared" si="56"/>
        <v>589098.1874895416</v>
      </c>
      <c r="P416">
        <f t="shared" si="57"/>
        <v>1.2957000000000001</v>
      </c>
      <c r="Q416">
        <f t="shared" si="58"/>
        <v>1.5083</v>
      </c>
      <c r="R416">
        <f t="shared" si="59"/>
        <v>2.8040000000000003</v>
      </c>
    </row>
    <row r="417" spans="2:18" x14ac:dyDescent="0.3">
      <c r="B417" s="8">
        <v>1.7390000000000001</v>
      </c>
      <c r="C417">
        <v>16</v>
      </c>
      <c r="D417" s="8">
        <f t="shared" si="45"/>
        <v>5.2215316307078131E-2</v>
      </c>
      <c r="E417" s="8">
        <f t="shared" si="46"/>
        <v>7.1602036854142945E-2</v>
      </c>
      <c r="F417" s="8">
        <f t="shared" si="47"/>
        <v>0.91506559152804567</v>
      </c>
      <c r="G417" s="8">
        <f t="shared" si="48"/>
        <v>2.1800000000000002</v>
      </c>
      <c r="H417">
        <f t="shared" si="49"/>
        <v>10.4</v>
      </c>
      <c r="I417">
        <f t="shared" si="50"/>
        <v>1750595.5656341633</v>
      </c>
      <c r="J417">
        <f t="shared" si="51"/>
        <v>714441.40823244408</v>
      </c>
      <c r="K417">
        <f t="shared" si="52"/>
        <v>708374.74153737992</v>
      </c>
      <c r="L417">
        <f t="shared" si="53"/>
        <v>452.2233308021261</v>
      </c>
      <c r="M417">
        <f t="shared" si="54"/>
        <v>360393.30532249808</v>
      </c>
      <c r="N417">
        <f t="shared" si="55"/>
        <v>1599.4600829672427</v>
      </c>
      <c r="O417">
        <f t="shared" si="56"/>
        <v>590249.21529047738</v>
      </c>
      <c r="P417">
        <f t="shared" si="57"/>
        <v>1.2966</v>
      </c>
      <c r="Q417">
        <f t="shared" si="58"/>
        <v>1.5112000000000001</v>
      </c>
      <c r="R417">
        <f t="shared" si="59"/>
        <v>2.8078000000000003</v>
      </c>
    </row>
    <row r="418" spans="2:18" x14ac:dyDescent="0.3">
      <c r="B418" s="8">
        <v>1.742</v>
      </c>
      <c r="C418">
        <v>16</v>
      </c>
      <c r="D418" s="8">
        <f t="shared" si="45"/>
        <v>5.2230089025489271E-2</v>
      </c>
      <c r="E418" s="8">
        <f t="shared" si="46"/>
        <v>7.1600321671967712E-2</v>
      </c>
      <c r="F418" s="8">
        <f t="shared" si="47"/>
        <v>0.91504367170200829</v>
      </c>
      <c r="G418" s="8">
        <f t="shared" si="48"/>
        <v>2.1800000000000002</v>
      </c>
      <c r="H418">
        <f t="shared" si="49"/>
        <v>10.4</v>
      </c>
      <c r="I418">
        <f t="shared" si="50"/>
        <v>1750595.5656341633</v>
      </c>
      <c r="J418">
        <f t="shared" si="51"/>
        <v>715471.49143780291</v>
      </c>
      <c r="K418">
        <f t="shared" si="52"/>
        <v>709404.82474273874</v>
      </c>
      <c r="L418">
        <f t="shared" si="53"/>
        <v>452.87534740245616</v>
      </c>
      <c r="M418">
        <f t="shared" si="54"/>
        <v>360969.70144083112</v>
      </c>
      <c r="N418">
        <f t="shared" si="55"/>
        <v>1601.7859380161265</v>
      </c>
      <c r="O418">
        <f t="shared" si="56"/>
        <v>591112.48614117946</v>
      </c>
      <c r="P418">
        <f t="shared" si="57"/>
        <v>1.2972999999999999</v>
      </c>
      <c r="Q418">
        <f t="shared" si="58"/>
        <v>1.5134000000000001</v>
      </c>
      <c r="R418">
        <f t="shared" si="59"/>
        <v>2.8106999999999998</v>
      </c>
    </row>
    <row r="419" spans="2:18" x14ac:dyDescent="0.3">
      <c r="B419" s="8">
        <v>1.7450000000000001</v>
      </c>
      <c r="C419">
        <v>16</v>
      </c>
      <c r="D419" s="8">
        <f t="shared" si="45"/>
        <v>5.2244819267708673E-2</v>
      </c>
      <c r="E419" s="8">
        <f t="shared" si="46"/>
        <v>7.1598611431466883E-2</v>
      </c>
      <c r="F419" s="8">
        <f t="shared" si="47"/>
        <v>0.91502181502998758</v>
      </c>
      <c r="G419" s="8">
        <f t="shared" si="48"/>
        <v>2.1800000000000002</v>
      </c>
      <c r="H419">
        <f t="shared" si="49"/>
        <v>10.4</v>
      </c>
      <c r="I419">
        <f t="shared" si="50"/>
        <v>1750595.5656341633</v>
      </c>
      <c r="J419">
        <f t="shared" si="51"/>
        <v>716501.57464316196</v>
      </c>
      <c r="K419">
        <f t="shared" si="52"/>
        <v>710434.9079480978</v>
      </c>
      <c r="L419">
        <f t="shared" si="53"/>
        <v>453.52736400278627</v>
      </c>
      <c r="M419">
        <f t="shared" si="54"/>
        <v>361546.09755916416</v>
      </c>
      <c r="N419">
        <f t="shared" si="55"/>
        <v>1604.1117930650107</v>
      </c>
      <c r="O419">
        <f t="shared" si="56"/>
        <v>591975.75699188153</v>
      </c>
      <c r="P419">
        <f t="shared" si="57"/>
        <v>1.298</v>
      </c>
      <c r="Q419">
        <f t="shared" si="58"/>
        <v>1.5156000000000001</v>
      </c>
      <c r="R419">
        <f t="shared" si="59"/>
        <v>2.8136000000000001</v>
      </c>
    </row>
    <row r="420" spans="2:18" x14ac:dyDescent="0.3">
      <c r="B420" s="8">
        <v>1.748</v>
      </c>
      <c r="C420">
        <v>16</v>
      </c>
      <c r="D420" s="8">
        <f t="shared" si="45"/>
        <v>5.2259507216671865E-2</v>
      </c>
      <c r="E420" s="8">
        <f t="shared" si="46"/>
        <v>7.1596906111306688E-2</v>
      </c>
      <c r="F420" s="8">
        <f t="shared" si="47"/>
        <v>0.91500002123933999</v>
      </c>
      <c r="G420" s="8">
        <f t="shared" si="48"/>
        <v>2.19</v>
      </c>
      <c r="H420">
        <f t="shared" si="49"/>
        <v>10.4</v>
      </c>
      <c r="I420">
        <f t="shared" si="50"/>
        <v>1762515.7287792738</v>
      </c>
      <c r="J420">
        <f t="shared" si="51"/>
        <v>717531.65784852079</v>
      </c>
      <c r="K420">
        <f t="shared" si="52"/>
        <v>711464.99115345662</v>
      </c>
      <c r="L420">
        <f t="shared" si="53"/>
        <v>454.17938060311621</v>
      </c>
      <c r="M420">
        <f t="shared" si="54"/>
        <v>362122.49367749708</v>
      </c>
      <c r="N420">
        <f t="shared" si="55"/>
        <v>1606.4376481138943</v>
      </c>
      <c r="O420">
        <f t="shared" si="56"/>
        <v>592839.02784258348</v>
      </c>
      <c r="P420">
        <f t="shared" si="57"/>
        <v>1.3044</v>
      </c>
      <c r="Q420">
        <f t="shared" si="58"/>
        <v>1.5178</v>
      </c>
      <c r="R420">
        <f t="shared" si="59"/>
        <v>2.8222</v>
      </c>
    </row>
    <row r="421" spans="2:18" x14ac:dyDescent="0.3">
      <c r="B421" s="8">
        <v>1.752</v>
      </c>
      <c r="C421">
        <v>16</v>
      </c>
      <c r="D421" s="8">
        <f t="shared" si="45"/>
        <v>5.2279025673334791E-2</v>
      </c>
      <c r="E421" s="8">
        <f t="shared" si="46"/>
        <v>7.159463996831282E-2</v>
      </c>
      <c r="F421" s="8">
        <f t="shared" si="47"/>
        <v>0.91497106019898022</v>
      </c>
      <c r="G421" s="8">
        <f t="shared" si="48"/>
        <v>2.19</v>
      </c>
      <c r="H421">
        <f t="shared" si="49"/>
        <v>10.4</v>
      </c>
      <c r="I421">
        <f t="shared" si="50"/>
        <v>1762515.7287792738</v>
      </c>
      <c r="J421">
        <f t="shared" si="51"/>
        <v>718905.10212233255</v>
      </c>
      <c r="K421">
        <f t="shared" si="52"/>
        <v>712838.43542726838</v>
      </c>
      <c r="L421">
        <f t="shared" si="53"/>
        <v>455.0487360702229</v>
      </c>
      <c r="M421">
        <f t="shared" si="54"/>
        <v>362891.02183527435</v>
      </c>
      <c r="N421">
        <f t="shared" si="55"/>
        <v>1609.5387881790728</v>
      </c>
      <c r="O421">
        <f t="shared" si="56"/>
        <v>593990.0556435195</v>
      </c>
      <c r="P421">
        <f t="shared" si="57"/>
        <v>1.3052999999999999</v>
      </c>
      <c r="Q421">
        <f t="shared" si="58"/>
        <v>1.5206999999999999</v>
      </c>
      <c r="R421">
        <f t="shared" si="59"/>
        <v>2.8259999999999996</v>
      </c>
    </row>
    <row r="422" spans="2:18" x14ac:dyDescent="0.3">
      <c r="B422" s="8">
        <v>1.7549999999999999</v>
      </c>
      <c r="C422">
        <v>16</v>
      </c>
      <c r="D422" s="8">
        <f t="shared" si="45"/>
        <v>5.2293615643571101E-2</v>
      </c>
      <c r="E422" s="8">
        <f t="shared" si="46"/>
        <v>7.15929460466707E-2</v>
      </c>
      <c r="F422" s="8">
        <f t="shared" si="47"/>
        <v>0.91494941208005021</v>
      </c>
      <c r="G422" s="8">
        <f t="shared" si="48"/>
        <v>2.19</v>
      </c>
      <c r="H422">
        <f t="shared" si="49"/>
        <v>10.4</v>
      </c>
      <c r="I422">
        <f t="shared" si="50"/>
        <v>1762515.7287792738</v>
      </c>
      <c r="J422">
        <f t="shared" si="51"/>
        <v>719935.18532769149</v>
      </c>
      <c r="K422">
        <f t="shared" si="52"/>
        <v>713868.51863262733</v>
      </c>
      <c r="L422">
        <f t="shared" si="53"/>
        <v>455.70075267055307</v>
      </c>
      <c r="M422">
        <f t="shared" si="54"/>
        <v>363467.41795360751</v>
      </c>
      <c r="N422">
        <f t="shared" si="55"/>
        <v>1611.8646432279565</v>
      </c>
      <c r="O422">
        <f t="shared" si="56"/>
        <v>594853.32649422146</v>
      </c>
      <c r="P422">
        <f t="shared" si="57"/>
        <v>1.306</v>
      </c>
      <c r="Q422">
        <f t="shared" si="58"/>
        <v>1.5228999999999999</v>
      </c>
      <c r="R422">
        <f t="shared" si="59"/>
        <v>2.8289</v>
      </c>
    </row>
    <row r="423" spans="2:18" x14ac:dyDescent="0.3">
      <c r="B423" s="8">
        <v>1.758</v>
      </c>
      <c r="C423">
        <v>16</v>
      </c>
      <c r="D423" s="8">
        <f t="shared" si="45"/>
        <v>5.2308163922802416E-2</v>
      </c>
      <c r="E423" s="8">
        <f t="shared" si="46"/>
        <v>7.1591256975138295E-2</v>
      </c>
      <c r="F423" s="8">
        <f t="shared" si="47"/>
        <v>0.91492782594495081</v>
      </c>
      <c r="G423" s="8">
        <f t="shared" si="48"/>
        <v>2.19</v>
      </c>
      <c r="H423">
        <f t="shared" si="49"/>
        <v>10.4</v>
      </c>
      <c r="I423">
        <f t="shared" si="50"/>
        <v>1762515.7287792738</v>
      </c>
      <c r="J423">
        <f t="shared" si="51"/>
        <v>720965.26853305043</v>
      </c>
      <c r="K423">
        <f t="shared" si="52"/>
        <v>714898.60183798627</v>
      </c>
      <c r="L423">
        <f t="shared" si="53"/>
        <v>456.35276927088313</v>
      </c>
      <c r="M423">
        <f t="shared" si="54"/>
        <v>364043.81407194049</v>
      </c>
      <c r="N423">
        <f t="shared" si="55"/>
        <v>1614.1904982768403</v>
      </c>
      <c r="O423">
        <f t="shared" si="56"/>
        <v>595716.59734492342</v>
      </c>
      <c r="P423">
        <f t="shared" si="57"/>
        <v>1.3067</v>
      </c>
      <c r="Q423">
        <f t="shared" si="58"/>
        <v>1.5250999999999999</v>
      </c>
      <c r="R423">
        <f t="shared" si="59"/>
        <v>2.8317999999999999</v>
      </c>
    </row>
    <row r="424" spans="2:18" x14ac:dyDescent="0.3">
      <c r="B424" s="8">
        <v>1.7609999999999999</v>
      </c>
      <c r="C424">
        <v>16</v>
      </c>
      <c r="D424" s="8">
        <f t="shared" si="45"/>
        <v>5.232267068947255E-2</v>
      </c>
      <c r="E424" s="8">
        <f t="shared" si="46"/>
        <v>7.1589572732907406E-2</v>
      </c>
      <c r="F424" s="8">
        <f t="shared" si="47"/>
        <v>0.91490630152775543</v>
      </c>
      <c r="G424" s="8">
        <f t="shared" si="48"/>
        <v>2.19</v>
      </c>
      <c r="H424">
        <f t="shared" si="49"/>
        <v>10.4</v>
      </c>
      <c r="I424">
        <f t="shared" si="50"/>
        <v>1762515.7287792738</v>
      </c>
      <c r="J424">
        <f t="shared" si="51"/>
        <v>721995.35173840926</v>
      </c>
      <c r="K424">
        <f t="shared" si="52"/>
        <v>715928.68504334509</v>
      </c>
      <c r="L424">
        <f t="shared" si="53"/>
        <v>457.00478587121307</v>
      </c>
      <c r="M424">
        <f t="shared" si="54"/>
        <v>364620.21019027341</v>
      </c>
      <c r="N424">
        <f t="shared" si="55"/>
        <v>1616.5163533257244</v>
      </c>
      <c r="O424">
        <f t="shared" si="56"/>
        <v>596579.86819562549</v>
      </c>
      <c r="P424">
        <f t="shared" si="57"/>
        <v>1.3073999999999999</v>
      </c>
      <c r="Q424">
        <f t="shared" si="58"/>
        <v>1.5273000000000001</v>
      </c>
      <c r="R424">
        <f t="shared" si="59"/>
        <v>2.8346999999999998</v>
      </c>
    </row>
    <row r="425" spans="2:18" x14ac:dyDescent="0.3">
      <c r="B425" s="8">
        <v>1.7649999999999999</v>
      </c>
      <c r="C425">
        <v>16</v>
      </c>
      <c r="D425" s="8">
        <f t="shared" si="45"/>
        <v>5.2341948776455823E-2</v>
      </c>
      <c r="E425" s="8">
        <f t="shared" si="46"/>
        <v>7.1587334553104315E-2</v>
      </c>
      <c r="F425" s="8">
        <f t="shared" si="47"/>
        <v>0.91487769785367801</v>
      </c>
      <c r="G425" s="8">
        <f t="shared" si="48"/>
        <v>2.2000000000000002</v>
      </c>
      <c r="H425">
        <f t="shared" si="49"/>
        <v>10.4</v>
      </c>
      <c r="I425">
        <f t="shared" si="50"/>
        <v>1774435.8919243852</v>
      </c>
      <c r="J425">
        <f t="shared" si="51"/>
        <v>723368.79601222114</v>
      </c>
      <c r="K425">
        <f t="shared" si="52"/>
        <v>717302.12931715697</v>
      </c>
      <c r="L425">
        <f t="shared" si="53"/>
        <v>457.87414133831982</v>
      </c>
      <c r="M425">
        <f t="shared" si="54"/>
        <v>365388.7383480508</v>
      </c>
      <c r="N425">
        <f t="shared" si="55"/>
        <v>1619.6174933909028</v>
      </c>
      <c r="O425">
        <f t="shared" si="56"/>
        <v>597730.89599656151</v>
      </c>
      <c r="P425">
        <f t="shared" si="57"/>
        <v>1.3140000000000001</v>
      </c>
      <c r="Q425">
        <f t="shared" si="58"/>
        <v>1.5302</v>
      </c>
      <c r="R425">
        <f t="shared" si="59"/>
        <v>2.8441999999999998</v>
      </c>
    </row>
    <row r="426" spans="2:18" x14ac:dyDescent="0.3">
      <c r="B426" s="8">
        <v>1.768</v>
      </c>
      <c r="C426">
        <v>16</v>
      </c>
      <c r="D426" s="8">
        <f t="shared" si="45"/>
        <v>5.2356359368732716E-2</v>
      </c>
      <c r="E426" s="8">
        <f t="shared" si="46"/>
        <v>7.1585661498989664E-2</v>
      </c>
      <c r="F426" s="8">
        <f t="shared" si="47"/>
        <v>0.91485631641928933</v>
      </c>
      <c r="G426" s="8">
        <f t="shared" si="48"/>
        <v>2.2000000000000002</v>
      </c>
      <c r="H426">
        <f t="shared" si="49"/>
        <v>10.4</v>
      </c>
      <c r="I426">
        <f t="shared" si="50"/>
        <v>1774435.8919243852</v>
      </c>
      <c r="J426">
        <f t="shared" si="51"/>
        <v>724398.87921758008</v>
      </c>
      <c r="K426">
        <f t="shared" si="52"/>
        <v>718332.21252251591</v>
      </c>
      <c r="L426">
        <f t="shared" si="53"/>
        <v>458.52615793864987</v>
      </c>
      <c r="M426">
        <f t="shared" si="54"/>
        <v>365965.13446638378</v>
      </c>
      <c r="N426">
        <f t="shared" si="55"/>
        <v>1621.9433484397866</v>
      </c>
      <c r="O426">
        <f t="shared" si="56"/>
        <v>598594.16684726346</v>
      </c>
      <c r="P426">
        <f t="shared" si="57"/>
        <v>1.3147</v>
      </c>
      <c r="Q426">
        <f t="shared" si="58"/>
        <v>1.5324</v>
      </c>
      <c r="R426">
        <f t="shared" si="59"/>
        <v>2.8471000000000002</v>
      </c>
    </row>
    <row r="427" spans="2:18" x14ac:dyDescent="0.3">
      <c r="B427" s="8">
        <v>1.7709999999999999</v>
      </c>
      <c r="C427">
        <v>16</v>
      </c>
      <c r="D427" s="8">
        <f t="shared" si="45"/>
        <v>5.2370729035957395E-2</v>
      </c>
      <c r="E427" s="8">
        <f t="shared" si="46"/>
        <v>7.1583993205670396E-2</v>
      </c>
      <c r="F427" s="8">
        <f t="shared" si="47"/>
        <v>0.91483499582730476</v>
      </c>
      <c r="G427" s="8">
        <f t="shared" si="48"/>
        <v>2.2000000000000002</v>
      </c>
      <c r="H427">
        <f t="shared" si="49"/>
        <v>10.4</v>
      </c>
      <c r="I427">
        <f t="shared" si="50"/>
        <v>1774435.8919243852</v>
      </c>
      <c r="J427">
        <f t="shared" si="51"/>
        <v>725428.9624229389</v>
      </c>
      <c r="K427">
        <f t="shared" si="52"/>
        <v>719362.29572787473</v>
      </c>
      <c r="L427">
        <f t="shared" si="53"/>
        <v>459.17817453897993</v>
      </c>
      <c r="M427">
        <f t="shared" si="54"/>
        <v>366541.53058471682</v>
      </c>
      <c r="N427">
        <f t="shared" si="55"/>
        <v>1624.2692034886704</v>
      </c>
      <c r="O427">
        <f t="shared" si="56"/>
        <v>599457.43769796554</v>
      </c>
      <c r="P427">
        <f t="shared" si="57"/>
        <v>1.3153999999999999</v>
      </c>
      <c r="Q427">
        <f t="shared" si="58"/>
        <v>1.5346</v>
      </c>
      <c r="R427">
        <f t="shared" si="59"/>
        <v>2.8499999999999996</v>
      </c>
    </row>
    <row r="428" spans="2:18" x14ac:dyDescent="0.3">
      <c r="B428" s="8">
        <v>1.7749999999999999</v>
      </c>
      <c r="C428">
        <v>16</v>
      </c>
      <c r="D428" s="8">
        <f t="shared" si="45"/>
        <v>5.2389825231817309E-2</v>
      </c>
      <c r="E428" s="8">
        <f t="shared" si="46"/>
        <v>7.1581776185192056E-2</v>
      </c>
      <c r="F428" s="8">
        <f t="shared" si="47"/>
        <v>0.91480666256690357</v>
      </c>
      <c r="G428" s="8">
        <f t="shared" si="48"/>
        <v>2.2000000000000002</v>
      </c>
      <c r="H428">
        <f t="shared" si="49"/>
        <v>10.4</v>
      </c>
      <c r="I428">
        <f t="shared" si="50"/>
        <v>1774435.8919243852</v>
      </c>
      <c r="J428">
        <f t="shared" si="51"/>
        <v>726802.40669675078</v>
      </c>
      <c r="K428">
        <f t="shared" si="52"/>
        <v>720735.74000168662</v>
      </c>
      <c r="L428">
        <f t="shared" si="53"/>
        <v>460.04753000608667</v>
      </c>
      <c r="M428">
        <f t="shared" si="54"/>
        <v>367310.05874249415</v>
      </c>
      <c r="N428">
        <f t="shared" si="55"/>
        <v>1627.3703435538489</v>
      </c>
      <c r="O428">
        <f t="shared" si="56"/>
        <v>600608.46549890155</v>
      </c>
      <c r="P428">
        <f t="shared" si="57"/>
        <v>1.3163</v>
      </c>
      <c r="Q428">
        <f t="shared" si="58"/>
        <v>1.5376000000000001</v>
      </c>
      <c r="R428">
        <f t="shared" si="59"/>
        <v>2.8539000000000003</v>
      </c>
    </row>
    <row r="429" spans="2:18" x14ac:dyDescent="0.3">
      <c r="B429" s="8">
        <v>1.778</v>
      </c>
      <c r="C429">
        <v>16</v>
      </c>
      <c r="D429" s="8">
        <f t="shared" si="45"/>
        <v>5.2404100082563576E-2</v>
      </c>
      <c r="E429" s="8">
        <f t="shared" si="46"/>
        <v>7.1580118921654945E-2</v>
      </c>
      <c r="F429" s="8">
        <f t="shared" si="47"/>
        <v>0.91478548293423478</v>
      </c>
      <c r="G429" s="8">
        <f t="shared" si="48"/>
        <v>2.2000000000000002</v>
      </c>
      <c r="H429">
        <f t="shared" si="49"/>
        <v>10.4</v>
      </c>
      <c r="I429">
        <f t="shared" si="50"/>
        <v>1774435.8919243852</v>
      </c>
      <c r="J429">
        <f t="shared" si="51"/>
        <v>727832.48990210972</v>
      </c>
      <c r="K429">
        <f t="shared" si="52"/>
        <v>721765.82320704556</v>
      </c>
      <c r="L429">
        <f t="shared" si="53"/>
        <v>460.69954660641673</v>
      </c>
      <c r="M429">
        <f t="shared" si="54"/>
        <v>367886.45486082719</v>
      </c>
      <c r="N429">
        <f t="shared" si="55"/>
        <v>1629.6961986027327</v>
      </c>
      <c r="O429">
        <f t="shared" si="56"/>
        <v>601471.73634960351</v>
      </c>
      <c r="P429">
        <f t="shared" si="57"/>
        <v>1.3169999999999999</v>
      </c>
      <c r="Q429">
        <f t="shared" si="58"/>
        <v>1.5398000000000001</v>
      </c>
      <c r="R429">
        <f t="shared" si="59"/>
        <v>2.8567999999999998</v>
      </c>
    </row>
    <row r="430" spans="2:18" x14ac:dyDescent="0.3">
      <c r="B430" s="8">
        <v>1.7809999999999999</v>
      </c>
      <c r="C430">
        <v>16</v>
      </c>
      <c r="D430" s="8">
        <f t="shared" si="45"/>
        <v>5.2418334584732371E-2</v>
      </c>
      <c r="E430" s="8">
        <f t="shared" si="46"/>
        <v>7.1578466351697831E-2</v>
      </c>
      <c r="F430" s="8">
        <f t="shared" si="47"/>
        <v>0.91476436328496524</v>
      </c>
      <c r="G430" s="8">
        <f t="shared" si="48"/>
        <v>2.2000000000000002</v>
      </c>
      <c r="H430">
        <f t="shared" si="49"/>
        <v>10.4</v>
      </c>
      <c r="I430">
        <f t="shared" si="50"/>
        <v>1774435.8919243852</v>
      </c>
      <c r="J430">
        <f t="shared" si="51"/>
        <v>728862.57310746855</v>
      </c>
      <c r="K430">
        <f t="shared" si="52"/>
        <v>722795.90641240438</v>
      </c>
      <c r="L430">
        <f t="shared" si="53"/>
        <v>461.35156320674673</v>
      </c>
      <c r="M430">
        <f t="shared" si="54"/>
        <v>368462.85097916011</v>
      </c>
      <c r="N430">
        <f t="shared" si="55"/>
        <v>1632.0220536516163</v>
      </c>
      <c r="O430">
        <f t="shared" si="56"/>
        <v>602335.00720030535</v>
      </c>
      <c r="P430">
        <f t="shared" si="57"/>
        <v>1.3177000000000001</v>
      </c>
      <c r="Q430">
        <f t="shared" si="58"/>
        <v>1.542</v>
      </c>
      <c r="R430">
        <f t="shared" si="59"/>
        <v>2.8597000000000001</v>
      </c>
    </row>
    <row r="431" spans="2:18" x14ac:dyDescent="0.3">
      <c r="B431" s="8">
        <v>1.784</v>
      </c>
      <c r="C431">
        <v>16</v>
      </c>
      <c r="D431" s="8">
        <f t="shared" si="45"/>
        <v>5.2432528909153106E-2</v>
      </c>
      <c r="E431" s="8">
        <f t="shared" si="46"/>
        <v>7.1576818455403174E-2</v>
      </c>
      <c r="F431" s="8">
        <f t="shared" si="47"/>
        <v>0.9147433033645509</v>
      </c>
      <c r="G431" s="8">
        <f t="shared" si="48"/>
        <v>2.2000000000000002</v>
      </c>
      <c r="H431">
        <f t="shared" si="49"/>
        <v>10.4</v>
      </c>
      <c r="I431">
        <f t="shared" si="50"/>
        <v>1774435.8919243852</v>
      </c>
      <c r="J431">
        <f t="shared" si="51"/>
        <v>729892.6563128276</v>
      </c>
      <c r="K431">
        <f t="shared" si="52"/>
        <v>723825.98961776344</v>
      </c>
      <c r="L431">
        <f t="shared" si="53"/>
        <v>462.0035798070769</v>
      </c>
      <c r="M431">
        <f t="shared" si="54"/>
        <v>369039.24709749327</v>
      </c>
      <c r="N431">
        <f t="shared" si="55"/>
        <v>1634.3479087005007</v>
      </c>
      <c r="O431">
        <f t="shared" si="56"/>
        <v>603198.27805100766</v>
      </c>
      <c r="P431">
        <f t="shared" si="57"/>
        <v>1.3184</v>
      </c>
      <c r="Q431">
        <f t="shared" si="58"/>
        <v>1.5442</v>
      </c>
      <c r="R431">
        <f t="shared" si="59"/>
        <v>2.8626</v>
      </c>
    </row>
    <row r="432" spans="2:18" x14ac:dyDescent="0.3">
      <c r="B432" s="8">
        <v>1.788</v>
      </c>
      <c r="C432">
        <v>16</v>
      </c>
      <c r="D432" s="8">
        <f t="shared" si="45"/>
        <v>5.2451392469786751E-2</v>
      </c>
      <c r="E432" s="8">
        <f t="shared" si="46"/>
        <v>7.157462849627079E-2</v>
      </c>
      <c r="F432" s="8">
        <f t="shared" si="47"/>
        <v>0.91471531594496158</v>
      </c>
      <c r="G432" s="8">
        <f t="shared" si="48"/>
        <v>2.21</v>
      </c>
      <c r="H432">
        <f t="shared" si="49"/>
        <v>10.4</v>
      </c>
      <c r="I432">
        <f t="shared" si="50"/>
        <v>1786356.0550694955</v>
      </c>
      <c r="J432">
        <f t="shared" si="51"/>
        <v>731266.10058663937</v>
      </c>
      <c r="K432">
        <f t="shared" si="52"/>
        <v>725199.4338915752</v>
      </c>
      <c r="L432">
        <f t="shared" si="53"/>
        <v>462.87293527418353</v>
      </c>
      <c r="M432">
        <f t="shared" si="54"/>
        <v>369807.77525527048</v>
      </c>
      <c r="N432">
        <f t="shared" si="55"/>
        <v>1637.449048765679</v>
      </c>
      <c r="O432">
        <f t="shared" si="56"/>
        <v>604349.30585194356</v>
      </c>
      <c r="P432">
        <f t="shared" si="57"/>
        <v>1.325</v>
      </c>
      <c r="Q432">
        <f t="shared" si="58"/>
        <v>1.5470999999999999</v>
      </c>
      <c r="R432">
        <f t="shared" si="59"/>
        <v>2.8720999999999997</v>
      </c>
    </row>
    <row r="433" spans="2:18" x14ac:dyDescent="0.3">
      <c r="B433" s="8">
        <v>1.7909999999999999</v>
      </c>
      <c r="C433">
        <v>16</v>
      </c>
      <c r="D433" s="8">
        <f t="shared" si="45"/>
        <v>5.2465493705068832E-2</v>
      </c>
      <c r="E433" s="8">
        <f t="shared" si="46"/>
        <v>7.1572991428363E-2</v>
      </c>
      <c r="F433" s="8">
        <f t="shared" si="47"/>
        <v>0.91469439441005518</v>
      </c>
      <c r="G433" s="8">
        <f t="shared" si="48"/>
        <v>2.21</v>
      </c>
      <c r="H433">
        <f t="shared" si="49"/>
        <v>10.4</v>
      </c>
      <c r="I433">
        <f t="shared" si="50"/>
        <v>1786356.0550694955</v>
      </c>
      <c r="J433">
        <f t="shared" si="51"/>
        <v>732296.18379199819</v>
      </c>
      <c r="K433">
        <f t="shared" si="52"/>
        <v>726229.51709693403</v>
      </c>
      <c r="L433">
        <f t="shared" si="53"/>
        <v>463.52495187451359</v>
      </c>
      <c r="M433">
        <f t="shared" si="54"/>
        <v>370384.17137360352</v>
      </c>
      <c r="N433">
        <f t="shared" si="55"/>
        <v>1639.7749038145625</v>
      </c>
      <c r="O433">
        <f t="shared" si="56"/>
        <v>605212.5767026454</v>
      </c>
      <c r="P433">
        <f t="shared" si="57"/>
        <v>1.3257000000000001</v>
      </c>
      <c r="Q433">
        <f t="shared" si="58"/>
        <v>1.5492999999999999</v>
      </c>
      <c r="R433">
        <f t="shared" si="59"/>
        <v>2.875</v>
      </c>
    </row>
    <row r="434" spans="2:18" x14ac:dyDescent="0.3">
      <c r="B434" s="8">
        <v>1.794</v>
      </c>
      <c r="C434">
        <v>16</v>
      </c>
      <c r="D434" s="8">
        <f t="shared" si="45"/>
        <v>5.247955532511743E-2</v>
      </c>
      <c r="E434" s="8">
        <f t="shared" si="46"/>
        <v>7.1571358968535032E-2</v>
      </c>
      <c r="F434" s="8">
        <f t="shared" si="47"/>
        <v>0.91467353176586563</v>
      </c>
      <c r="G434" s="8">
        <f t="shared" si="48"/>
        <v>2.21</v>
      </c>
      <c r="H434">
        <f t="shared" si="49"/>
        <v>10.4</v>
      </c>
      <c r="I434">
        <f t="shared" si="50"/>
        <v>1786356.0550694955</v>
      </c>
      <c r="J434">
        <f t="shared" si="51"/>
        <v>733326.26699735725</v>
      </c>
      <c r="K434">
        <f t="shared" si="52"/>
        <v>727259.60030229308</v>
      </c>
      <c r="L434">
        <f t="shared" si="53"/>
        <v>464.1769684748437</v>
      </c>
      <c r="M434">
        <f t="shared" si="54"/>
        <v>370960.56749193656</v>
      </c>
      <c r="N434">
        <f t="shared" si="55"/>
        <v>1642.1007588634466</v>
      </c>
      <c r="O434">
        <f t="shared" si="56"/>
        <v>606075.84755334747</v>
      </c>
      <c r="P434">
        <f t="shared" si="57"/>
        <v>1.3264</v>
      </c>
      <c r="Q434">
        <f t="shared" si="58"/>
        <v>1.5515000000000001</v>
      </c>
      <c r="R434">
        <f t="shared" si="59"/>
        <v>2.8779000000000003</v>
      </c>
    </row>
    <row r="435" spans="2:18" x14ac:dyDescent="0.3">
      <c r="B435" s="8">
        <v>1.798</v>
      </c>
      <c r="C435">
        <v>16</v>
      </c>
      <c r="D435" s="8">
        <f t="shared" si="45"/>
        <v>5.2498242816150044E-2</v>
      </c>
      <c r="E435" s="8">
        <f t="shared" si="46"/>
        <v>7.1569189489979604E-2</v>
      </c>
      <c r="F435" s="8">
        <f t="shared" si="47"/>
        <v>0.91464580608563573</v>
      </c>
      <c r="G435" s="8">
        <f t="shared" si="48"/>
        <v>2.21</v>
      </c>
      <c r="H435">
        <f t="shared" si="49"/>
        <v>10.4</v>
      </c>
      <c r="I435">
        <f t="shared" si="50"/>
        <v>1786356.0550694955</v>
      </c>
      <c r="J435">
        <f t="shared" si="51"/>
        <v>734699.71127116913</v>
      </c>
      <c r="K435">
        <f t="shared" si="52"/>
        <v>728633.04457610496</v>
      </c>
      <c r="L435">
        <f t="shared" si="53"/>
        <v>465.04632394195045</v>
      </c>
      <c r="M435">
        <f t="shared" si="54"/>
        <v>371729.09564971394</v>
      </c>
      <c r="N435">
        <f t="shared" si="55"/>
        <v>1645.2018989286255</v>
      </c>
      <c r="O435">
        <f t="shared" si="56"/>
        <v>607226.87535428372</v>
      </c>
      <c r="P435">
        <f t="shared" si="57"/>
        <v>1.3272999999999999</v>
      </c>
      <c r="Q435">
        <f t="shared" si="58"/>
        <v>1.5544</v>
      </c>
      <c r="R435">
        <f t="shared" si="59"/>
        <v>2.8816999999999999</v>
      </c>
    </row>
    <row r="436" spans="2:18" x14ac:dyDescent="0.3">
      <c r="B436" s="8">
        <v>1.8009999999999999</v>
      </c>
      <c r="C436">
        <v>16</v>
      </c>
      <c r="D436" s="8">
        <f t="shared" si="45"/>
        <v>5.2512212647338088E-2</v>
      </c>
      <c r="E436" s="8">
        <f t="shared" si="46"/>
        <v>7.1567567706945792E-2</v>
      </c>
      <c r="F436" s="8">
        <f t="shared" si="47"/>
        <v>0.91462507988961728</v>
      </c>
      <c r="G436" s="8">
        <f t="shared" si="48"/>
        <v>2.21</v>
      </c>
      <c r="H436">
        <f t="shared" si="49"/>
        <v>10.4</v>
      </c>
      <c r="I436">
        <f t="shared" si="50"/>
        <v>1786356.0550694955</v>
      </c>
      <c r="J436">
        <f t="shared" si="51"/>
        <v>735729.79447652795</v>
      </c>
      <c r="K436">
        <f t="shared" si="52"/>
        <v>729663.12778146379</v>
      </c>
      <c r="L436">
        <f t="shared" si="53"/>
        <v>465.69834054228045</v>
      </c>
      <c r="M436">
        <f t="shared" si="54"/>
        <v>372305.49176804692</v>
      </c>
      <c r="N436">
        <f t="shared" si="55"/>
        <v>1647.5277539775091</v>
      </c>
      <c r="O436">
        <f t="shared" si="56"/>
        <v>608090.14620498556</v>
      </c>
      <c r="P436">
        <f t="shared" si="57"/>
        <v>1.3280000000000001</v>
      </c>
      <c r="Q436">
        <f t="shared" si="58"/>
        <v>1.5566</v>
      </c>
      <c r="R436">
        <f t="shared" si="59"/>
        <v>2.8845999999999998</v>
      </c>
    </row>
    <row r="437" spans="2:18" x14ac:dyDescent="0.3">
      <c r="B437" s="8">
        <v>1.804</v>
      </c>
      <c r="C437">
        <v>15</v>
      </c>
      <c r="D437" s="8">
        <f t="shared" si="45"/>
        <v>5.2526143415355303E-2</v>
      </c>
      <c r="E437" s="8">
        <f t="shared" si="46"/>
        <v>7.1565950467631534E-2</v>
      </c>
      <c r="F437" s="8">
        <f t="shared" si="47"/>
        <v>0.91460441176179907</v>
      </c>
      <c r="G437" s="8">
        <f t="shared" si="48"/>
        <v>2.21</v>
      </c>
      <c r="H437">
        <f t="shared" si="49"/>
        <v>10</v>
      </c>
      <c r="I437">
        <f t="shared" si="50"/>
        <v>1679471.6445860534</v>
      </c>
      <c r="J437">
        <f t="shared" si="51"/>
        <v>736759.87768188689</v>
      </c>
      <c r="K437">
        <f t="shared" si="52"/>
        <v>730693.21098682273</v>
      </c>
      <c r="L437">
        <f t="shared" si="53"/>
        <v>466.35035714261056</v>
      </c>
      <c r="M437">
        <f t="shared" si="54"/>
        <v>372881.88788637996</v>
      </c>
      <c r="N437">
        <f t="shared" si="55"/>
        <v>1649.8536090263929</v>
      </c>
      <c r="O437">
        <f t="shared" si="56"/>
        <v>608953.41705568763</v>
      </c>
      <c r="P437">
        <f t="shared" si="57"/>
        <v>1.2774000000000001</v>
      </c>
      <c r="Q437">
        <f t="shared" si="58"/>
        <v>1.5588</v>
      </c>
      <c r="R437">
        <f t="shared" si="59"/>
        <v>2.8361999999999998</v>
      </c>
    </row>
    <row r="438" spans="2:18" x14ac:dyDescent="0.3">
      <c r="B438" s="8">
        <v>1.8069999999999999</v>
      </c>
      <c r="C438">
        <v>15</v>
      </c>
      <c r="D438" s="8">
        <f t="shared" si="45"/>
        <v>5.2540035283818599E-2</v>
      </c>
      <c r="E438" s="8">
        <f t="shared" si="46"/>
        <v>7.1564337752962948E-2</v>
      </c>
      <c r="F438" s="8">
        <f t="shared" si="47"/>
        <v>0.91458380145841922</v>
      </c>
      <c r="G438" s="8">
        <f t="shared" si="48"/>
        <v>2.2200000000000002</v>
      </c>
      <c r="H438">
        <f t="shared" si="49"/>
        <v>10</v>
      </c>
      <c r="I438">
        <f t="shared" si="50"/>
        <v>1690668.3488601989</v>
      </c>
      <c r="J438">
        <f t="shared" si="51"/>
        <v>737789.96088724572</v>
      </c>
      <c r="K438">
        <f t="shared" si="52"/>
        <v>731723.29419218155</v>
      </c>
      <c r="L438">
        <f t="shared" si="53"/>
        <v>467.00237374294056</v>
      </c>
      <c r="M438">
        <f t="shared" si="54"/>
        <v>373458.28400471294</v>
      </c>
      <c r="N438">
        <f t="shared" si="55"/>
        <v>1652.1794640752767</v>
      </c>
      <c r="O438">
        <f t="shared" si="56"/>
        <v>609816.68790638959</v>
      </c>
      <c r="P438">
        <f t="shared" si="57"/>
        <v>1.2835000000000001</v>
      </c>
      <c r="Q438">
        <f t="shared" si="58"/>
        <v>1.5609999999999999</v>
      </c>
      <c r="R438">
        <f t="shared" si="59"/>
        <v>2.8445</v>
      </c>
    </row>
    <row r="439" spans="2:18" x14ac:dyDescent="0.3">
      <c r="B439" s="8">
        <v>1.8109999999999999</v>
      </c>
      <c r="C439">
        <v>15</v>
      </c>
      <c r="D439" s="8">
        <f t="shared" si="45"/>
        <v>5.2558497545772874E-2</v>
      </c>
      <c r="E439" s="8">
        <f t="shared" si="46"/>
        <v>7.1562194472308147E-2</v>
      </c>
      <c r="F439" s="8">
        <f t="shared" si="47"/>
        <v>0.91455641058427151</v>
      </c>
      <c r="G439" s="8">
        <f t="shared" si="48"/>
        <v>2.2200000000000002</v>
      </c>
      <c r="H439">
        <f t="shared" si="49"/>
        <v>10</v>
      </c>
      <c r="I439">
        <f t="shared" si="50"/>
        <v>1690668.3488601989</v>
      </c>
      <c r="J439">
        <f t="shared" si="51"/>
        <v>739163.4051610576</v>
      </c>
      <c r="K439">
        <f t="shared" si="52"/>
        <v>733096.73846599343</v>
      </c>
      <c r="L439">
        <f t="shared" si="53"/>
        <v>467.87172921004731</v>
      </c>
      <c r="M439">
        <f t="shared" si="54"/>
        <v>374226.81216249027</v>
      </c>
      <c r="N439">
        <f t="shared" si="55"/>
        <v>1655.2806041404551</v>
      </c>
      <c r="O439">
        <f t="shared" si="56"/>
        <v>610967.71570732561</v>
      </c>
      <c r="P439">
        <f t="shared" si="57"/>
        <v>1.2844</v>
      </c>
      <c r="Q439">
        <f t="shared" si="58"/>
        <v>1.5639000000000001</v>
      </c>
      <c r="R439">
        <f t="shared" si="59"/>
        <v>2.8483000000000001</v>
      </c>
    </row>
    <row r="440" spans="2:18" x14ac:dyDescent="0.3">
      <c r="B440" s="8">
        <v>1.8140000000000001</v>
      </c>
      <c r="C440">
        <v>15</v>
      </c>
      <c r="D440" s="8">
        <f t="shared" si="45"/>
        <v>5.257229927978483E-2</v>
      </c>
      <c r="E440" s="8">
        <f t="shared" si="46"/>
        <v>7.1560592241567328E-2</v>
      </c>
      <c r="F440" s="8">
        <f t="shared" si="47"/>
        <v>0.91453593426425284</v>
      </c>
      <c r="G440" s="8">
        <f t="shared" si="48"/>
        <v>2.2200000000000002</v>
      </c>
      <c r="H440">
        <f t="shared" si="49"/>
        <v>10</v>
      </c>
      <c r="I440">
        <f t="shared" si="50"/>
        <v>1690668.3488601989</v>
      </c>
      <c r="J440">
        <f t="shared" si="51"/>
        <v>740193.48836641654</v>
      </c>
      <c r="K440">
        <f t="shared" si="52"/>
        <v>734126.82167135237</v>
      </c>
      <c r="L440">
        <f t="shared" si="53"/>
        <v>468.52374581037736</v>
      </c>
      <c r="M440">
        <f t="shared" si="54"/>
        <v>374803.20828082331</v>
      </c>
      <c r="N440">
        <f t="shared" si="55"/>
        <v>1657.6064591893389</v>
      </c>
      <c r="O440">
        <f t="shared" si="56"/>
        <v>611830.98655802757</v>
      </c>
      <c r="P440">
        <f t="shared" si="57"/>
        <v>1.2850999999999999</v>
      </c>
      <c r="Q440">
        <f t="shared" si="58"/>
        <v>1.5661</v>
      </c>
      <c r="R440">
        <f t="shared" si="59"/>
        <v>2.8512</v>
      </c>
    </row>
    <row r="441" spans="2:18" x14ac:dyDescent="0.3">
      <c r="B441" s="8">
        <v>1.8169999999999999</v>
      </c>
      <c r="C441">
        <v>15</v>
      </c>
      <c r="D441" s="8">
        <f t="shared" si="45"/>
        <v>5.2586062653078254E-2</v>
      </c>
      <c r="E441" s="8">
        <f t="shared" si="46"/>
        <v>7.1558994472658594E-2</v>
      </c>
      <c r="F441" s="8">
        <f t="shared" si="47"/>
        <v>0.91451551496592232</v>
      </c>
      <c r="G441" s="8">
        <f t="shared" si="48"/>
        <v>2.2200000000000002</v>
      </c>
      <c r="H441">
        <f t="shared" si="49"/>
        <v>10</v>
      </c>
      <c r="I441">
        <f t="shared" si="50"/>
        <v>1690668.3488601989</v>
      </c>
      <c r="J441">
        <f t="shared" si="51"/>
        <v>741223.57157177536</v>
      </c>
      <c r="K441">
        <f t="shared" si="52"/>
        <v>735156.9048767112</v>
      </c>
      <c r="L441">
        <f t="shared" si="53"/>
        <v>469.17576241070742</v>
      </c>
      <c r="M441">
        <f t="shared" si="54"/>
        <v>375379.60439915629</v>
      </c>
      <c r="N441">
        <f t="shared" si="55"/>
        <v>1659.9323142382227</v>
      </c>
      <c r="O441">
        <f t="shared" si="56"/>
        <v>612694.25740872952</v>
      </c>
      <c r="P441">
        <f t="shared" si="57"/>
        <v>1.2858000000000001</v>
      </c>
      <c r="Q441">
        <f t="shared" si="58"/>
        <v>1.5683</v>
      </c>
      <c r="R441">
        <f t="shared" si="59"/>
        <v>2.8540999999999999</v>
      </c>
    </row>
    <row r="442" spans="2:18" x14ac:dyDescent="0.3">
      <c r="B442" s="8">
        <v>1.82</v>
      </c>
      <c r="C442">
        <v>15</v>
      </c>
      <c r="D442" s="8">
        <f t="shared" si="45"/>
        <v>5.2599787825361587E-2</v>
      </c>
      <c r="E442" s="8">
        <f t="shared" si="46"/>
        <v>7.1557401146964975E-2</v>
      </c>
      <c r="F442" s="8">
        <f t="shared" si="47"/>
        <v>0.91449515245135726</v>
      </c>
      <c r="G442" s="8">
        <f t="shared" si="48"/>
        <v>2.2200000000000002</v>
      </c>
      <c r="H442">
        <f t="shared" si="49"/>
        <v>10</v>
      </c>
      <c r="I442">
        <f t="shared" si="50"/>
        <v>1690668.3488601989</v>
      </c>
      <c r="J442">
        <f t="shared" si="51"/>
        <v>742253.6547771343</v>
      </c>
      <c r="K442">
        <f t="shared" si="52"/>
        <v>736186.98808207014</v>
      </c>
      <c r="L442">
        <f t="shared" si="53"/>
        <v>469.82777901103748</v>
      </c>
      <c r="M442">
        <f t="shared" si="54"/>
        <v>375956.00051748933</v>
      </c>
      <c r="N442">
        <f t="shared" si="55"/>
        <v>1662.2581692871067</v>
      </c>
      <c r="O442">
        <f t="shared" si="56"/>
        <v>613557.52825943159</v>
      </c>
      <c r="P442">
        <f t="shared" si="57"/>
        <v>1.2865</v>
      </c>
      <c r="Q442">
        <f t="shared" si="58"/>
        <v>1.5705</v>
      </c>
      <c r="R442">
        <f t="shared" si="59"/>
        <v>2.8570000000000002</v>
      </c>
    </row>
    <row r="443" spans="2:18" x14ac:dyDescent="0.3">
      <c r="B443" s="8">
        <v>1.8240000000000001</v>
      </c>
      <c r="C443">
        <v>15</v>
      </c>
      <c r="D443" s="8">
        <f t="shared" si="45"/>
        <v>5.2618028905661585E-2</v>
      </c>
      <c r="E443" s="8">
        <f t="shared" si="46"/>
        <v>7.1555283592390911E-2</v>
      </c>
      <c r="F443" s="8">
        <f t="shared" si="47"/>
        <v>0.91446809035348908</v>
      </c>
      <c r="G443" s="8">
        <f t="shared" si="48"/>
        <v>2.2200000000000002</v>
      </c>
      <c r="H443">
        <f t="shared" si="49"/>
        <v>10</v>
      </c>
      <c r="I443">
        <f t="shared" si="50"/>
        <v>1690668.3488601989</v>
      </c>
      <c r="J443">
        <f t="shared" si="51"/>
        <v>743627.09905094618</v>
      </c>
      <c r="K443">
        <f t="shared" si="52"/>
        <v>737560.43235588202</v>
      </c>
      <c r="L443">
        <f t="shared" si="53"/>
        <v>470.69713447814422</v>
      </c>
      <c r="M443">
        <f t="shared" si="54"/>
        <v>376724.52867526666</v>
      </c>
      <c r="N443">
        <f t="shared" si="55"/>
        <v>1665.3593093522852</v>
      </c>
      <c r="O443">
        <f t="shared" si="56"/>
        <v>614708.55606036761</v>
      </c>
      <c r="P443">
        <f t="shared" si="57"/>
        <v>1.2874000000000001</v>
      </c>
      <c r="Q443">
        <f t="shared" si="58"/>
        <v>1.5734999999999999</v>
      </c>
      <c r="R443">
        <f t="shared" si="59"/>
        <v>2.8609</v>
      </c>
    </row>
    <row r="444" spans="2:18" x14ac:dyDescent="0.3">
      <c r="B444" s="8">
        <v>1.827</v>
      </c>
      <c r="C444">
        <v>15</v>
      </c>
      <c r="D444" s="8">
        <f t="shared" si="45"/>
        <v>5.2631665558381509E-2</v>
      </c>
      <c r="E444" s="8">
        <f t="shared" si="46"/>
        <v>7.1553700562379766E-2</v>
      </c>
      <c r="F444" s="8">
        <f t="shared" si="47"/>
        <v>0.91444785941653262</v>
      </c>
      <c r="G444" s="8">
        <f t="shared" si="48"/>
        <v>2.23</v>
      </c>
      <c r="H444">
        <f t="shared" si="49"/>
        <v>10</v>
      </c>
      <c r="I444">
        <f t="shared" si="50"/>
        <v>1701865.0531343436</v>
      </c>
      <c r="J444">
        <f t="shared" si="51"/>
        <v>744657.18225630501</v>
      </c>
      <c r="K444">
        <f t="shared" si="52"/>
        <v>738590.51556124084</v>
      </c>
      <c r="L444">
        <f t="shared" si="53"/>
        <v>471.34915107847416</v>
      </c>
      <c r="M444">
        <f t="shared" si="54"/>
        <v>377300.92479359958</v>
      </c>
      <c r="N444">
        <f t="shared" si="55"/>
        <v>1667.685164401169</v>
      </c>
      <c r="O444">
        <f t="shared" si="56"/>
        <v>615571.82691106957</v>
      </c>
      <c r="P444">
        <f t="shared" si="57"/>
        <v>1.2935000000000001</v>
      </c>
      <c r="Q444">
        <f t="shared" si="58"/>
        <v>1.5757000000000001</v>
      </c>
      <c r="R444">
        <f t="shared" si="59"/>
        <v>2.8692000000000002</v>
      </c>
    </row>
    <row r="445" spans="2:18" x14ac:dyDescent="0.3">
      <c r="B445" s="8">
        <v>1.83</v>
      </c>
      <c r="C445">
        <v>15</v>
      </c>
      <c r="D445" s="8">
        <f t="shared" si="45"/>
        <v>5.264526453609316E-2</v>
      </c>
      <c r="E445" s="8">
        <f t="shared" si="46"/>
        <v>7.15521219142706E-2</v>
      </c>
      <c r="F445" s="8">
        <f t="shared" si="47"/>
        <v>0.91442768447976686</v>
      </c>
      <c r="G445" s="8">
        <f t="shared" si="48"/>
        <v>2.23</v>
      </c>
      <c r="H445">
        <f t="shared" si="49"/>
        <v>10</v>
      </c>
      <c r="I445">
        <f t="shared" si="50"/>
        <v>1701865.0531343436</v>
      </c>
      <c r="J445">
        <f t="shared" si="51"/>
        <v>745687.26546166395</v>
      </c>
      <c r="K445">
        <f t="shared" si="52"/>
        <v>739620.59876659978</v>
      </c>
      <c r="L445">
        <f t="shared" si="53"/>
        <v>472.00116767880422</v>
      </c>
      <c r="M445">
        <f t="shared" si="54"/>
        <v>377877.32091193262</v>
      </c>
      <c r="N445">
        <f t="shared" si="55"/>
        <v>1670.0110194500528</v>
      </c>
      <c r="O445">
        <f t="shared" si="56"/>
        <v>616435.09776177164</v>
      </c>
      <c r="P445">
        <f t="shared" si="57"/>
        <v>1.2942</v>
      </c>
      <c r="Q445">
        <f t="shared" si="58"/>
        <v>1.5779000000000001</v>
      </c>
      <c r="R445">
        <f t="shared" si="59"/>
        <v>2.8721000000000001</v>
      </c>
    </row>
    <row r="446" spans="2:18" x14ac:dyDescent="0.3">
      <c r="B446" s="8">
        <v>1.8340000000000001</v>
      </c>
      <c r="C446">
        <v>15</v>
      </c>
      <c r="D446" s="8">
        <f t="shared" si="45"/>
        <v>5.2663338170167537E-2</v>
      </c>
      <c r="E446" s="8">
        <f t="shared" si="46"/>
        <v>7.1550023835020266E-2</v>
      </c>
      <c r="F446" s="8">
        <f t="shared" si="47"/>
        <v>0.91440087127424041</v>
      </c>
      <c r="G446" s="8">
        <f t="shared" si="48"/>
        <v>2.23</v>
      </c>
      <c r="H446">
        <f t="shared" si="49"/>
        <v>10</v>
      </c>
      <c r="I446">
        <f t="shared" si="50"/>
        <v>1701865.0531343436</v>
      </c>
      <c r="J446">
        <f t="shared" si="51"/>
        <v>747060.70973547583</v>
      </c>
      <c r="K446">
        <f t="shared" si="52"/>
        <v>740994.04304041166</v>
      </c>
      <c r="L446">
        <f t="shared" si="53"/>
        <v>472.87052314591102</v>
      </c>
      <c r="M446">
        <f t="shared" si="54"/>
        <v>378645.84906971001</v>
      </c>
      <c r="N446">
        <f t="shared" si="55"/>
        <v>1673.1121595152313</v>
      </c>
      <c r="O446">
        <f t="shared" si="56"/>
        <v>617586.12556270766</v>
      </c>
      <c r="P446">
        <f t="shared" si="57"/>
        <v>1.2950999999999999</v>
      </c>
      <c r="Q446">
        <f t="shared" si="58"/>
        <v>1.5808</v>
      </c>
      <c r="R446">
        <f t="shared" si="59"/>
        <v>2.8758999999999997</v>
      </c>
    </row>
    <row r="447" spans="2:18" x14ac:dyDescent="0.3">
      <c r="B447" s="8">
        <v>1.837</v>
      </c>
      <c r="C447">
        <v>15</v>
      </c>
      <c r="D447" s="8">
        <f t="shared" si="45"/>
        <v>5.2676849844382451E-2</v>
      </c>
      <c r="E447" s="8">
        <f t="shared" si="46"/>
        <v>7.1548455340847361E-2</v>
      </c>
      <c r="F447" s="8">
        <f t="shared" si="47"/>
        <v>0.9143808261035834</v>
      </c>
      <c r="G447" s="8">
        <f t="shared" si="48"/>
        <v>2.23</v>
      </c>
      <c r="H447">
        <f t="shared" si="49"/>
        <v>10</v>
      </c>
      <c r="I447">
        <f t="shared" si="50"/>
        <v>1701865.0531343436</v>
      </c>
      <c r="J447">
        <f t="shared" si="51"/>
        <v>748090.79294083477</v>
      </c>
      <c r="K447">
        <f t="shared" si="52"/>
        <v>742024.1262457706</v>
      </c>
      <c r="L447">
        <f t="shared" si="53"/>
        <v>473.52253974624114</v>
      </c>
      <c r="M447">
        <f t="shared" si="54"/>
        <v>379222.24518804305</v>
      </c>
      <c r="N447">
        <f t="shared" si="55"/>
        <v>1675.4380145641151</v>
      </c>
      <c r="O447">
        <f t="shared" si="56"/>
        <v>618449.39641340962</v>
      </c>
      <c r="P447">
        <f t="shared" si="57"/>
        <v>1.2958000000000001</v>
      </c>
      <c r="Q447">
        <f t="shared" si="58"/>
        <v>1.583</v>
      </c>
      <c r="R447">
        <f t="shared" si="59"/>
        <v>2.8788</v>
      </c>
    </row>
    <row r="448" spans="2:18" x14ac:dyDescent="0.3">
      <c r="B448" s="8">
        <v>1.84</v>
      </c>
      <c r="C448">
        <v>15</v>
      </c>
      <c r="D448" s="8">
        <f t="shared" si="45"/>
        <v>5.269032435997819E-2</v>
      </c>
      <c r="E448" s="8">
        <f t="shared" si="46"/>
        <v>7.1546891168387042E-2</v>
      </c>
      <c r="F448" s="8">
        <f t="shared" si="47"/>
        <v>0.91436083616390362</v>
      </c>
      <c r="G448" s="8">
        <f t="shared" si="48"/>
        <v>2.23</v>
      </c>
      <c r="H448">
        <f t="shared" si="49"/>
        <v>10</v>
      </c>
      <c r="I448">
        <f t="shared" si="50"/>
        <v>1701865.0531343436</v>
      </c>
      <c r="J448">
        <f t="shared" si="51"/>
        <v>749120.87614619359</v>
      </c>
      <c r="K448">
        <f t="shared" si="52"/>
        <v>743054.20945112943</v>
      </c>
      <c r="L448">
        <f t="shared" si="53"/>
        <v>474.17455634657108</v>
      </c>
      <c r="M448">
        <f t="shared" si="54"/>
        <v>379798.64130637597</v>
      </c>
      <c r="N448">
        <f t="shared" si="55"/>
        <v>1677.7638696129991</v>
      </c>
      <c r="O448">
        <f t="shared" si="56"/>
        <v>619312.66726411169</v>
      </c>
      <c r="P448">
        <f t="shared" si="57"/>
        <v>1.2965</v>
      </c>
      <c r="Q448">
        <f t="shared" si="58"/>
        <v>1.5851999999999999</v>
      </c>
      <c r="R448">
        <f t="shared" si="59"/>
        <v>2.8816999999999999</v>
      </c>
    </row>
    <row r="449" spans="2:18" x14ac:dyDescent="0.3">
      <c r="B449" s="8">
        <v>1.843</v>
      </c>
      <c r="C449">
        <v>15</v>
      </c>
      <c r="D449" s="8">
        <f t="shared" ref="D449:D495" si="60">(($B$12*(B449*$B$20)*$B$4*$B$14/3600)/($B$12*(B449*$B$20+1)*$B$4*$B$14/3600))*SQRT($B$25/$B$26)</f>
        <v>5.2703761870029793E-2</v>
      </c>
      <c r="E449" s="8">
        <f t="shared" si="46"/>
        <v>7.1545331299797774E-2</v>
      </c>
      <c r="F449" s="8">
        <f t="shared" si="47"/>
        <v>0.91434090122718892</v>
      </c>
      <c r="G449" s="8">
        <f t="shared" si="48"/>
        <v>2.23</v>
      </c>
      <c r="H449">
        <f t="shared" si="49"/>
        <v>10</v>
      </c>
      <c r="I449">
        <f t="shared" si="50"/>
        <v>1701865.0531343436</v>
      </c>
      <c r="J449">
        <f t="shared" si="51"/>
        <v>750150.95935155253</v>
      </c>
      <c r="K449">
        <f t="shared" si="52"/>
        <v>744084.29265648837</v>
      </c>
      <c r="L449">
        <f t="shared" si="53"/>
        <v>474.82657294690114</v>
      </c>
      <c r="M449">
        <f t="shared" si="54"/>
        <v>380375.03742470901</v>
      </c>
      <c r="N449">
        <f t="shared" si="55"/>
        <v>1680.0897246618829</v>
      </c>
      <c r="O449">
        <f t="shared" si="56"/>
        <v>620175.93811481365</v>
      </c>
      <c r="P449">
        <f t="shared" si="57"/>
        <v>1.2971999999999999</v>
      </c>
      <c r="Q449">
        <f t="shared" si="58"/>
        <v>1.5873999999999999</v>
      </c>
      <c r="R449">
        <f t="shared" si="59"/>
        <v>2.8845999999999998</v>
      </c>
    </row>
    <row r="450" spans="2:18" x14ac:dyDescent="0.3">
      <c r="B450" s="8">
        <v>1.847</v>
      </c>
      <c r="C450">
        <v>15</v>
      </c>
      <c r="D450" s="8">
        <f t="shared" si="60"/>
        <v>5.2721621248921588E-2</v>
      </c>
      <c r="E450" s="8">
        <f t="shared" si="46"/>
        <v>7.1543258139269247E-2</v>
      </c>
      <c r="F450" s="8">
        <f t="shared" si="47"/>
        <v>0.91431440647999007</v>
      </c>
      <c r="G450" s="8">
        <f t="shared" si="48"/>
        <v>2.2400000000000002</v>
      </c>
      <c r="H450">
        <f t="shared" si="49"/>
        <v>10</v>
      </c>
      <c r="I450">
        <f t="shared" si="50"/>
        <v>1713061.7574084892</v>
      </c>
      <c r="J450">
        <f t="shared" si="51"/>
        <v>751524.40362536442</v>
      </c>
      <c r="K450">
        <f t="shared" si="52"/>
        <v>745457.73693030025</v>
      </c>
      <c r="L450">
        <f t="shared" si="53"/>
        <v>475.69592841400788</v>
      </c>
      <c r="M450">
        <f t="shared" si="54"/>
        <v>381143.56558248634</v>
      </c>
      <c r="N450">
        <f t="shared" si="55"/>
        <v>1683.1908647270614</v>
      </c>
      <c r="O450">
        <f t="shared" si="56"/>
        <v>621326.96591574966</v>
      </c>
      <c r="P450">
        <f t="shared" si="57"/>
        <v>1.3035000000000001</v>
      </c>
      <c r="Q450">
        <f t="shared" si="58"/>
        <v>1.5903</v>
      </c>
      <c r="R450">
        <f t="shared" si="59"/>
        <v>2.8938000000000001</v>
      </c>
    </row>
    <row r="451" spans="2:18" x14ac:dyDescent="0.3">
      <c r="B451" s="8">
        <v>1.85</v>
      </c>
      <c r="C451">
        <v>15</v>
      </c>
      <c r="D451" s="8">
        <f t="shared" si="60"/>
        <v>5.2734973003289748E-2</v>
      </c>
      <c r="E451" s="8">
        <f t="shared" si="46"/>
        <v>7.1541708244212271E-2</v>
      </c>
      <c r="F451" s="8">
        <f t="shared" si="47"/>
        <v>0.91429459900384225</v>
      </c>
      <c r="G451" s="8">
        <f t="shared" si="48"/>
        <v>2.2400000000000002</v>
      </c>
      <c r="H451">
        <f t="shared" si="49"/>
        <v>10</v>
      </c>
      <c r="I451">
        <f t="shared" si="50"/>
        <v>1713061.7574084892</v>
      </c>
      <c r="J451">
        <f t="shared" si="51"/>
        <v>752554.48683072324</v>
      </c>
      <c r="K451">
        <f t="shared" si="52"/>
        <v>746487.82013565907</v>
      </c>
      <c r="L451">
        <f t="shared" si="53"/>
        <v>476.34794501433788</v>
      </c>
      <c r="M451">
        <f t="shared" si="54"/>
        <v>381719.96170081932</v>
      </c>
      <c r="N451">
        <f t="shared" si="55"/>
        <v>1685.5167197759451</v>
      </c>
      <c r="O451">
        <f t="shared" si="56"/>
        <v>622190.23676645162</v>
      </c>
      <c r="P451">
        <f t="shared" si="57"/>
        <v>1.3041</v>
      </c>
      <c r="Q451">
        <f t="shared" si="58"/>
        <v>1.5925</v>
      </c>
      <c r="R451">
        <f t="shared" si="59"/>
        <v>2.8966000000000003</v>
      </c>
    </row>
    <row r="452" spans="2:18" x14ac:dyDescent="0.3">
      <c r="B452" s="8">
        <v>1.853</v>
      </c>
      <c r="C452">
        <v>15</v>
      </c>
      <c r="D452" s="8">
        <f t="shared" si="60"/>
        <v>5.2748288256332154E-2</v>
      </c>
      <c r="E452" s="8">
        <f t="shared" si="46"/>
        <v>7.1540162594259646E-2</v>
      </c>
      <c r="F452" s="8">
        <f t="shared" si="47"/>
        <v>0.91427484577962781</v>
      </c>
      <c r="G452" s="8">
        <f t="shared" si="48"/>
        <v>2.2400000000000002</v>
      </c>
      <c r="H452">
        <f t="shared" si="49"/>
        <v>10</v>
      </c>
      <c r="I452">
        <f t="shared" si="50"/>
        <v>1713061.7574084892</v>
      </c>
      <c r="J452">
        <f t="shared" si="51"/>
        <v>753584.5700360823</v>
      </c>
      <c r="K452">
        <f t="shared" si="52"/>
        <v>747517.90334101813</v>
      </c>
      <c r="L452">
        <f t="shared" si="53"/>
        <v>476.99996161466811</v>
      </c>
      <c r="M452">
        <f t="shared" si="54"/>
        <v>382296.35781915247</v>
      </c>
      <c r="N452">
        <f t="shared" si="55"/>
        <v>1687.8425748248294</v>
      </c>
      <c r="O452">
        <f t="shared" si="56"/>
        <v>623053.50761715381</v>
      </c>
      <c r="P452">
        <f t="shared" si="57"/>
        <v>1.3048</v>
      </c>
      <c r="Q452">
        <f t="shared" si="58"/>
        <v>1.5947</v>
      </c>
      <c r="R452">
        <f t="shared" si="59"/>
        <v>2.8994999999999997</v>
      </c>
    </row>
    <row r="453" spans="2:18" x14ac:dyDescent="0.3">
      <c r="B453" s="8">
        <v>1.857</v>
      </c>
      <c r="C453">
        <v>15</v>
      </c>
      <c r="D453" s="8">
        <f t="shared" si="60"/>
        <v>5.2765985405454657E-2</v>
      </c>
      <c r="E453" s="8">
        <f t="shared" si="46"/>
        <v>7.1538108301055059E-2</v>
      </c>
      <c r="F453" s="8">
        <f t="shared" si="47"/>
        <v>0.91424859215460508</v>
      </c>
      <c r="G453" s="8">
        <f t="shared" si="48"/>
        <v>2.2400000000000002</v>
      </c>
      <c r="H453">
        <f t="shared" si="49"/>
        <v>10</v>
      </c>
      <c r="I453">
        <f t="shared" si="50"/>
        <v>1713061.7574084892</v>
      </c>
      <c r="J453">
        <f t="shared" si="51"/>
        <v>754958.01430989418</v>
      </c>
      <c r="K453">
        <f t="shared" si="52"/>
        <v>748891.34761483001</v>
      </c>
      <c r="L453">
        <f t="shared" si="53"/>
        <v>477.86931708177474</v>
      </c>
      <c r="M453">
        <f t="shared" si="54"/>
        <v>383064.88597692974</v>
      </c>
      <c r="N453">
        <f t="shared" si="55"/>
        <v>1690.9437148900079</v>
      </c>
      <c r="O453">
        <f t="shared" si="56"/>
        <v>624204.53541808983</v>
      </c>
      <c r="P453">
        <f t="shared" si="57"/>
        <v>1.3058000000000001</v>
      </c>
      <c r="Q453">
        <f t="shared" si="58"/>
        <v>1.5975999999999999</v>
      </c>
      <c r="R453">
        <f t="shared" si="59"/>
        <v>2.9034</v>
      </c>
    </row>
    <row r="454" spans="2:18" x14ac:dyDescent="0.3">
      <c r="B454" s="8">
        <v>1.86</v>
      </c>
      <c r="C454">
        <v>15</v>
      </c>
      <c r="D454" s="8">
        <f t="shared" si="60"/>
        <v>5.2779216068631944E-2</v>
      </c>
      <c r="E454" s="8">
        <f t="shared" si="46"/>
        <v>7.1536572488761954E-2</v>
      </c>
      <c r="F454" s="8">
        <f t="shared" si="47"/>
        <v>0.91422896465451975</v>
      </c>
      <c r="G454" s="8">
        <f t="shared" si="48"/>
        <v>2.2400000000000002</v>
      </c>
      <c r="H454">
        <f t="shared" si="49"/>
        <v>10</v>
      </c>
      <c r="I454">
        <f t="shared" si="50"/>
        <v>1713061.7574084892</v>
      </c>
      <c r="J454">
        <f t="shared" si="51"/>
        <v>755988.09751525288</v>
      </c>
      <c r="K454">
        <f t="shared" si="52"/>
        <v>749921.43082018872</v>
      </c>
      <c r="L454">
        <f t="shared" si="53"/>
        <v>478.52133368210474</v>
      </c>
      <c r="M454">
        <f t="shared" si="54"/>
        <v>383641.28209526272</v>
      </c>
      <c r="N454">
        <f t="shared" si="55"/>
        <v>1693.269569938891</v>
      </c>
      <c r="O454">
        <f t="shared" si="56"/>
        <v>625067.80626879155</v>
      </c>
      <c r="P454">
        <f t="shared" si="57"/>
        <v>1.3065</v>
      </c>
      <c r="Q454">
        <f t="shared" si="58"/>
        <v>1.5998000000000001</v>
      </c>
      <c r="R454">
        <f t="shared" si="59"/>
        <v>2.9062999999999999</v>
      </c>
    </row>
    <row r="455" spans="2:18" x14ac:dyDescent="0.3">
      <c r="B455" s="8">
        <v>1.863</v>
      </c>
      <c r="C455">
        <v>15</v>
      </c>
      <c r="D455" s="8">
        <f t="shared" si="60"/>
        <v>5.2792410725583008E-2</v>
      </c>
      <c r="E455" s="8">
        <f t="shared" si="46"/>
        <v>7.1535040863872301E-2</v>
      </c>
      <c r="F455" s="8">
        <f t="shared" si="47"/>
        <v>0.91420939066895701</v>
      </c>
      <c r="G455" s="8">
        <f t="shared" si="48"/>
        <v>2.2400000000000002</v>
      </c>
      <c r="H455">
        <f t="shared" si="49"/>
        <v>10</v>
      </c>
      <c r="I455">
        <f t="shared" si="50"/>
        <v>1713061.7574084892</v>
      </c>
      <c r="J455">
        <f t="shared" si="51"/>
        <v>757018.18072061194</v>
      </c>
      <c r="K455">
        <f t="shared" si="52"/>
        <v>750951.51402554777</v>
      </c>
      <c r="L455">
        <f t="shared" si="53"/>
        <v>479.17335028243485</v>
      </c>
      <c r="M455">
        <f t="shared" si="54"/>
        <v>384217.67821359576</v>
      </c>
      <c r="N455">
        <f t="shared" si="55"/>
        <v>1695.5954249877755</v>
      </c>
      <c r="O455">
        <f t="shared" si="56"/>
        <v>625931.07711949374</v>
      </c>
      <c r="P455">
        <f t="shared" si="57"/>
        <v>1.3070999999999999</v>
      </c>
      <c r="Q455">
        <f t="shared" si="58"/>
        <v>1.6020000000000001</v>
      </c>
      <c r="R455">
        <f t="shared" si="59"/>
        <v>2.9091</v>
      </c>
    </row>
    <row r="456" spans="2:18" x14ac:dyDescent="0.3">
      <c r="B456" s="8">
        <v>1.8660000000000001</v>
      </c>
      <c r="C456">
        <v>15</v>
      </c>
      <c r="D456" s="8">
        <f t="shared" si="60"/>
        <v>5.2805569523090352E-2</v>
      </c>
      <c r="E456" s="8">
        <f t="shared" si="46"/>
        <v>7.1533513409280006E-2</v>
      </c>
      <c r="F456" s="8">
        <f t="shared" si="47"/>
        <v>0.91418986997930285</v>
      </c>
      <c r="G456" s="8">
        <f t="shared" si="48"/>
        <v>2.25</v>
      </c>
      <c r="H456">
        <f t="shared" si="49"/>
        <v>10</v>
      </c>
      <c r="I456">
        <f t="shared" si="50"/>
        <v>1724258.4616826335</v>
      </c>
      <c r="J456">
        <f t="shared" si="51"/>
        <v>758048.26392597076</v>
      </c>
      <c r="K456">
        <f t="shared" si="52"/>
        <v>751981.5972309066</v>
      </c>
      <c r="L456">
        <f t="shared" si="53"/>
        <v>479.82536688276491</v>
      </c>
      <c r="M456">
        <f t="shared" si="54"/>
        <v>384794.0743319288</v>
      </c>
      <c r="N456">
        <f t="shared" si="55"/>
        <v>1697.921280036659</v>
      </c>
      <c r="O456">
        <f t="shared" si="56"/>
        <v>626794.3479701957</v>
      </c>
      <c r="P456">
        <f t="shared" si="57"/>
        <v>1.3131999999999999</v>
      </c>
      <c r="Q456">
        <f t="shared" si="58"/>
        <v>1.6042000000000001</v>
      </c>
      <c r="R456">
        <f t="shared" si="59"/>
        <v>2.9173999999999998</v>
      </c>
    </row>
    <row r="457" spans="2:18" x14ac:dyDescent="0.3">
      <c r="B457" s="8">
        <v>1.87</v>
      </c>
      <c r="C457">
        <v>15</v>
      </c>
      <c r="D457" s="8">
        <f t="shared" si="60"/>
        <v>5.2823059057283593E-2</v>
      </c>
      <c r="E457" s="8">
        <f t="shared" si="46"/>
        <v>7.1531483260894438E-2</v>
      </c>
      <c r="F457" s="8">
        <f t="shared" si="47"/>
        <v>0.91416392492222143</v>
      </c>
      <c r="G457" s="8">
        <f t="shared" si="48"/>
        <v>2.25</v>
      </c>
      <c r="H457">
        <f t="shared" si="49"/>
        <v>10</v>
      </c>
      <c r="I457">
        <f t="shared" si="50"/>
        <v>1724258.4616826335</v>
      </c>
      <c r="J457">
        <f t="shared" si="51"/>
        <v>759421.70819978265</v>
      </c>
      <c r="K457">
        <f t="shared" si="52"/>
        <v>753355.04150471848</v>
      </c>
      <c r="L457">
        <f t="shared" si="53"/>
        <v>480.6947223498716</v>
      </c>
      <c r="M457">
        <f t="shared" si="54"/>
        <v>385562.60248970607</v>
      </c>
      <c r="N457">
        <f t="shared" si="55"/>
        <v>1701.0224201018375</v>
      </c>
      <c r="O457">
        <f t="shared" si="56"/>
        <v>627945.37577113172</v>
      </c>
      <c r="P457">
        <f t="shared" si="57"/>
        <v>1.3141</v>
      </c>
      <c r="Q457">
        <f t="shared" si="58"/>
        <v>1.6072</v>
      </c>
      <c r="R457">
        <f t="shared" si="59"/>
        <v>2.9213</v>
      </c>
    </row>
    <row r="458" spans="2:18" x14ac:dyDescent="0.3">
      <c r="B458" s="8">
        <v>1.873</v>
      </c>
      <c r="C458">
        <v>15</v>
      </c>
      <c r="D458" s="8">
        <f t="shared" si="60"/>
        <v>5.2836134749111051E-2</v>
      </c>
      <c r="E458" s="8">
        <f t="shared" si="46"/>
        <v>7.1529965470994356E-2</v>
      </c>
      <c r="F458" s="8">
        <f t="shared" si="47"/>
        <v>0.9141445277461947</v>
      </c>
      <c r="G458" s="8">
        <f t="shared" si="48"/>
        <v>2.25</v>
      </c>
      <c r="H458">
        <f t="shared" si="49"/>
        <v>10</v>
      </c>
      <c r="I458">
        <f t="shared" si="50"/>
        <v>1724258.4616826335</v>
      </c>
      <c r="J458">
        <f t="shared" si="51"/>
        <v>760451.79140514159</v>
      </c>
      <c r="K458">
        <f t="shared" si="52"/>
        <v>754385.12471007742</v>
      </c>
      <c r="L458">
        <f t="shared" si="53"/>
        <v>481.34673895020171</v>
      </c>
      <c r="M458">
        <f t="shared" si="54"/>
        <v>386138.99860803917</v>
      </c>
      <c r="N458">
        <f t="shared" si="55"/>
        <v>1703.3482751507217</v>
      </c>
      <c r="O458">
        <f t="shared" si="56"/>
        <v>628808.64662183379</v>
      </c>
      <c r="P458">
        <f t="shared" si="57"/>
        <v>1.3148</v>
      </c>
      <c r="Q458">
        <f t="shared" si="58"/>
        <v>1.6093999999999999</v>
      </c>
      <c r="R458">
        <f t="shared" si="59"/>
        <v>2.9241999999999999</v>
      </c>
    </row>
    <row r="459" spans="2:18" x14ac:dyDescent="0.3">
      <c r="B459" s="8">
        <v>1.8759999999999999</v>
      </c>
      <c r="C459">
        <v>15</v>
      </c>
      <c r="D459" s="8">
        <f t="shared" si="60"/>
        <v>5.2849175065045766E-2</v>
      </c>
      <c r="E459" s="8">
        <f t="shared" si="46"/>
        <v>7.1528451795040277E-2</v>
      </c>
      <c r="F459" s="8">
        <f t="shared" si="47"/>
        <v>0.91412518314591296</v>
      </c>
      <c r="G459" s="8">
        <f t="shared" si="48"/>
        <v>2.25</v>
      </c>
      <c r="H459">
        <f t="shared" si="49"/>
        <v>10</v>
      </c>
      <c r="I459">
        <f t="shared" si="50"/>
        <v>1724258.4616826335</v>
      </c>
      <c r="J459">
        <f t="shared" si="51"/>
        <v>761481.87461050041</v>
      </c>
      <c r="K459">
        <f t="shared" si="52"/>
        <v>755415.20791543624</v>
      </c>
      <c r="L459">
        <f t="shared" si="53"/>
        <v>481.99875555053171</v>
      </c>
      <c r="M459">
        <f t="shared" si="54"/>
        <v>386715.39472637209</v>
      </c>
      <c r="N459">
        <f t="shared" si="55"/>
        <v>1705.6741301996053</v>
      </c>
      <c r="O459">
        <f t="shared" si="56"/>
        <v>629671.91747253574</v>
      </c>
      <c r="P459">
        <f t="shared" si="57"/>
        <v>1.3154999999999999</v>
      </c>
      <c r="Q459">
        <f t="shared" si="58"/>
        <v>1.6115999999999999</v>
      </c>
      <c r="R459">
        <f t="shared" si="59"/>
        <v>2.9270999999999998</v>
      </c>
    </row>
    <row r="460" spans="2:18" x14ac:dyDescent="0.3">
      <c r="B460" s="8">
        <v>1.88</v>
      </c>
      <c r="C460">
        <v>15</v>
      </c>
      <c r="D460" s="8">
        <f t="shared" si="60"/>
        <v>5.2866507371478501E-2</v>
      </c>
      <c r="E460" s="8">
        <f t="shared" si="46"/>
        <v>7.1526439931043115E-2</v>
      </c>
      <c r="F460" s="8">
        <f t="shared" si="47"/>
        <v>0.91409947176116024</v>
      </c>
      <c r="G460" s="8">
        <f t="shared" si="48"/>
        <v>2.25</v>
      </c>
      <c r="H460">
        <f t="shared" si="49"/>
        <v>10</v>
      </c>
      <c r="I460">
        <f t="shared" si="50"/>
        <v>1724258.4616826335</v>
      </c>
      <c r="J460">
        <f t="shared" si="51"/>
        <v>762855.31888431229</v>
      </c>
      <c r="K460">
        <f t="shared" si="52"/>
        <v>756788.65218924813</v>
      </c>
      <c r="L460">
        <f t="shared" si="53"/>
        <v>482.86811101763845</v>
      </c>
      <c r="M460">
        <f t="shared" si="54"/>
        <v>387483.92288414948</v>
      </c>
      <c r="N460">
        <f t="shared" si="55"/>
        <v>1708.7752702647838</v>
      </c>
      <c r="O460">
        <f t="shared" si="56"/>
        <v>630822.94527347176</v>
      </c>
      <c r="P460">
        <f t="shared" si="57"/>
        <v>1.3164</v>
      </c>
      <c r="Q460">
        <f t="shared" si="58"/>
        <v>1.6145</v>
      </c>
      <c r="R460">
        <f t="shared" si="59"/>
        <v>2.9309000000000003</v>
      </c>
    </row>
    <row r="461" spans="2:18" x14ac:dyDescent="0.3">
      <c r="B461" s="8">
        <v>1.883</v>
      </c>
      <c r="C461">
        <v>15</v>
      </c>
      <c r="D461" s="8">
        <f t="shared" si="60"/>
        <v>5.2879465699872015E-2</v>
      </c>
      <c r="E461" s="8">
        <f t="shared" si="46"/>
        <v>7.1524935789480562E-2</v>
      </c>
      <c r="F461" s="8">
        <f t="shared" si="47"/>
        <v>0.91408024900927842</v>
      </c>
      <c r="G461" s="8">
        <f t="shared" si="48"/>
        <v>2.25</v>
      </c>
      <c r="H461">
        <f t="shared" si="49"/>
        <v>10</v>
      </c>
      <c r="I461">
        <f t="shared" si="50"/>
        <v>1724258.4616826335</v>
      </c>
      <c r="J461">
        <f t="shared" si="51"/>
        <v>763885.40208967123</v>
      </c>
      <c r="K461">
        <f t="shared" si="52"/>
        <v>757818.73539460707</v>
      </c>
      <c r="L461">
        <f t="shared" si="53"/>
        <v>483.52012761796851</v>
      </c>
      <c r="M461">
        <f t="shared" si="54"/>
        <v>388060.31900248246</v>
      </c>
      <c r="N461">
        <f t="shared" si="55"/>
        <v>1711.1011253136676</v>
      </c>
      <c r="O461">
        <f t="shared" si="56"/>
        <v>631686.21612417372</v>
      </c>
      <c r="P461">
        <f t="shared" si="57"/>
        <v>1.3170999999999999</v>
      </c>
      <c r="Q461">
        <f t="shared" si="58"/>
        <v>1.6167</v>
      </c>
      <c r="R461">
        <f t="shared" si="59"/>
        <v>2.9337999999999997</v>
      </c>
    </row>
    <row r="462" spans="2:18" x14ac:dyDescent="0.3">
      <c r="B462" s="8">
        <v>1.8859999999999999</v>
      </c>
      <c r="C462">
        <v>15</v>
      </c>
      <c r="D462" s="8">
        <f t="shared" si="60"/>
        <v>5.2892389127268749E-2</v>
      </c>
      <c r="E462" s="8">
        <f t="shared" si="46"/>
        <v>7.1523435706524141E-2</v>
      </c>
      <c r="F462" s="8">
        <f t="shared" si="47"/>
        <v>0.91406107812590454</v>
      </c>
      <c r="G462" s="8">
        <f t="shared" si="48"/>
        <v>2.2600000000000002</v>
      </c>
      <c r="H462">
        <f t="shared" si="49"/>
        <v>10</v>
      </c>
      <c r="I462">
        <f t="shared" si="50"/>
        <v>1735455.1659567792</v>
      </c>
      <c r="J462">
        <f t="shared" si="51"/>
        <v>764915.48529503006</v>
      </c>
      <c r="K462">
        <f t="shared" si="52"/>
        <v>758848.81859996589</v>
      </c>
      <c r="L462">
        <f t="shared" si="53"/>
        <v>484.17214421829857</v>
      </c>
      <c r="M462">
        <f t="shared" si="54"/>
        <v>388636.7151208155</v>
      </c>
      <c r="N462">
        <f t="shared" si="55"/>
        <v>1713.4269803625514</v>
      </c>
      <c r="O462">
        <f t="shared" si="56"/>
        <v>632549.48697487568</v>
      </c>
      <c r="P462">
        <f t="shared" si="57"/>
        <v>1.3231999999999999</v>
      </c>
      <c r="Q462">
        <f t="shared" si="58"/>
        <v>1.6189</v>
      </c>
      <c r="R462">
        <f t="shared" si="59"/>
        <v>2.9420999999999999</v>
      </c>
    </row>
    <row r="463" spans="2:18" x14ac:dyDescent="0.3">
      <c r="B463" s="8">
        <v>1.889</v>
      </c>
      <c r="C463">
        <v>15</v>
      </c>
      <c r="D463" s="8">
        <f t="shared" si="60"/>
        <v>5.2905277794478685E-2</v>
      </c>
      <c r="E463" s="8">
        <f t="shared" ref="E463:E496" si="61">EXP(INDEX(TS_array,MATCH($B$41,Tray_space,0),1)*((LN(D463))^3)+INDEX(TS_array,MATCH($B$41,Tray_space,0),2)*((LN(D463))^2)+INDEX(TS_array,MATCH($B$41,Tray_space,0),3)*(LN(D463))+INDEX(TS_array,MATCH($B$41,Tray_space,0),4)-1.188)</f>
        <v>7.1521939665765713E-2</v>
      </c>
      <c r="F463" s="8">
        <f t="shared" si="47"/>
        <v>0.91404195890134465</v>
      </c>
      <c r="G463" s="8">
        <f t="shared" si="48"/>
        <v>2.2600000000000002</v>
      </c>
      <c r="H463">
        <f t="shared" si="49"/>
        <v>10</v>
      </c>
      <c r="I463">
        <f t="shared" si="50"/>
        <v>1735455.1659567792</v>
      </c>
      <c r="J463">
        <f t="shared" si="51"/>
        <v>765945.56850038911</v>
      </c>
      <c r="K463">
        <f t="shared" si="52"/>
        <v>759878.90180532495</v>
      </c>
      <c r="L463">
        <f t="shared" si="53"/>
        <v>484.82416081862868</v>
      </c>
      <c r="M463">
        <f t="shared" si="54"/>
        <v>389213.11123914854</v>
      </c>
      <c r="N463">
        <f t="shared" si="55"/>
        <v>1715.7528354114356</v>
      </c>
      <c r="O463">
        <f t="shared" si="56"/>
        <v>633412.75782557786</v>
      </c>
      <c r="P463">
        <f t="shared" si="57"/>
        <v>1.3239000000000001</v>
      </c>
      <c r="Q463">
        <f t="shared" si="58"/>
        <v>1.6211</v>
      </c>
      <c r="R463">
        <f t="shared" si="59"/>
        <v>2.9450000000000003</v>
      </c>
    </row>
    <row r="464" spans="2:18" x14ac:dyDescent="0.3">
      <c r="B464" s="8">
        <v>1.893</v>
      </c>
      <c r="C464">
        <v>15</v>
      </c>
      <c r="D464" s="8">
        <f t="shared" si="60"/>
        <v>5.2922408854649765E-2</v>
      </c>
      <c r="E464" s="8">
        <f t="shared" si="61"/>
        <v>7.1519951204423629E-2</v>
      </c>
      <c r="F464" s="8">
        <f t="shared" ref="F464:F496" si="62">$B$47*(($B$48/20)^0.2)*E464*SQRT(($B$26-$B$25)/$B$25)</f>
        <v>0.91401654659976539</v>
      </c>
      <c r="G464" s="8">
        <f t="shared" ref="G464:G496" si="63">10^-3*ROUND(ROUND(((4*($B$12*(B464*$B$20+1)*$B$4*$B$14/3600))/($B$25*PI()*(1-$B$56)*F464))^0.5,2)*1000+HLOOKUP(ROUND(((4*($B$12*(B464*$B$20+1)*$B$4*$B$14/3600))/($B$25*PI()*(1-$B$56)*F464))^0.5,2)*1000,$B$64:$E$65,2),0)</f>
        <v>2.2600000000000002</v>
      </c>
      <c r="H464">
        <f t="shared" ref="H464:H496" si="64">ROUND((((C464-ROUND(C464/10,0)-1)*$B$41)+1.5*$B$41+$B$78+ROUND(C464/10,0)*1200+2*$B$41)*10^-3,1)</f>
        <v>10</v>
      </c>
      <c r="I464">
        <f t="shared" ref="I464:I495" si="65">(PI()*(G464)*($B$88*10^-3)*$B$89*$B$90*H464)+(_xlfn.FORECAST.LINEAR(39.3701*G464,$B$94:$B$98,$A$94:$A$98))*C464</f>
        <v>1735455.1659567792</v>
      </c>
      <c r="J464">
        <f t="shared" ref="J464:J496" si="66">$B$114*($B$20*B464+1)/($B$20*$B$21+1)</f>
        <v>767319.01277420088</v>
      </c>
      <c r="K464">
        <f t="shared" ref="K464:K496" si="67">J464+($B$132-$B$114)</f>
        <v>761252.34607913671</v>
      </c>
      <c r="L464">
        <f t="shared" ref="L464:L496" si="68">(J464/($B$118*$B$117))*10.7639</f>
        <v>485.69351628573537</v>
      </c>
      <c r="M464">
        <f t="shared" ref="M464:M496" si="69">_xlfn.FORECAST.LINEAR(L464,$B$139:$B$143,$A$139:$A$143)</f>
        <v>389981.63939692586</v>
      </c>
      <c r="N464">
        <f t="shared" ref="N464:N496" si="70">(K464/($B$134*$B$133))*10.7639</f>
        <v>1718.8539754766136</v>
      </c>
      <c r="O464">
        <f t="shared" ref="O464:O496" si="71">_xlfn.FORECAST.LINEAR(N464,$B$149:$B$154,$A$149:$A$154)</f>
        <v>634563.78562651377</v>
      </c>
      <c r="P464">
        <f t="shared" ref="P464:P496" si="72">ROUND((2*1.2*(O464+M464+I464)*$B$161)*10^-6,4)</f>
        <v>1.3248</v>
      </c>
      <c r="Q464">
        <f t="shared" ref="Q464:Q496" si="73">ROUND(($B$167*(K464/(2700*10^3))*60*60*8000)*10^-6,4)</f>
        <v>1.6240000000000001</v>
      </c>
      <c r="R464">
        <f t="shared" ref="R464:R496" si="74">(Q464+P464)</f>
        <v>2.9488000000000003</v>
      </c>
    </row>
    <row r="465" spans="2:18" x14ac:dyDescent="0.3">
      <c r="B465" s="8">
        <v>1.8959999999999999</v>
      </c>
      <c r="C465">
        <v>15</v>
      </c>
      <c r="D465" s="8">
        <f t="shared" si="60"/>
        <v>5.2935216958111875E-2</v>
      </c>
      <c r="E465" s="8">
        <f t="shared" si="61"/>
        <v>7.1518464532146261E-2</v>
      </c>
      <c r="F465" s="8">
        <f t="shared" si="62"/>
        <v>0.91399754710328929</v>
      </c>
      <c r="G465" s="8">
        <f t="shared" si="63"/>
        <v>2.2600000000000002</v>
      </c>
      <c r="H465">
        <f t="shared" si="64"/>
        <v>10</v>
      </c>
      <c r="I465">
        <f t="shared" si="65"/>
        <v>1735455.1659567792</v>
      </c>
      <c r="J465">
        <f t="shared" si="66"/>
        <v>768349.09597955982</v>
      </c>
      <c r="K465">
        <f t="shared" si="67"/>
        <v>762282.42928449565</v>
      </c>
      <c r="L465">
        <f t="shared" si="68"/>
        <v>486.34553288606543</v>
      </c>
      <c r="M465">
        <f t="shared" si="69"/>
        <v>390558.0355152589</v>
      </c>
      <c r="N465">
        <f t="shared" si="70"/>
        <v>1721.1798305254979</v>
      </c>
      <c r="O465">
        <f t="shared" si="71"/>
        <v>635427.05647721584</v>
      </c>
      <c r="P465">
        <f t="shared" si="72"/>
        <v>1.3254999999999999</v>
      </c>
      <c r="Q465">
        <f t="shared" si="73"/>
        <v>1.6262000000000001</v>
      </c>
      <c r="R465">
        <f t="shared" si="74"/>
        <v>2.9516999999999998</v>
      </c>
    </row>
    <row r="466" spans="2:18" x14ac:dyDescent="0.3">
      <c r="B466" s="8">
        <v>1.899</v>
      </c>
      <c r="C466">
        <v>15</v>
      </c>
      <c r="D466" s="8">
        <f t="shared" si="60"/>
        <v>5.2947990765318947E-2</v>
      </c>
      <c r="E466" s="8">
        <f t="shared" si="61"/>
        <v>7.1516981848008018E-2</v>
      </c>
      <c r="F466" s="8">
        <f t="shared" si="62"/>
        <v>0.91397859857476105</v>
      </c>
      <c r="G466" s="8">
        <f t="shared" si="63"/>
        <v>2.2600000000000002</v>
      </c>
      <c r="H466">
        <f t="shared" si="64"/>
        <v>10</v>
      </c>
      <c r="I466">
        <f t="shared" si="65"/>
        <v>1735455.1659567792</v>
      </c>
      <c r="J466">
        <f t="shared" si="66"/>
        <v>769379.17918491876</v>
      </c>
      <c r="K466">
        <f t="shared" si="67"/>
        <v>763312.51248985459</v>
      </c>
      <c r="L466">
        <f t="shared" si="68"/>
        <v>486.99754948639549</v>
      </c>
      <c r="M466">
        <f t="shared" si="69"/>
        <v>391134.43163359188</v>
      </c>
      <c r="N466">
        <f t="shared" si="70"/>
        <v>1723.5056855743817</v>
      </c>
      <c r="O466">
        <f t="shared" si="71"/>
        <v>636290.32732791791</v>
      </c>
      <c r="P466">
        <f t="shared" si="72"/>
        <v>1.3262</v>
      </c>
      <c r="Q466">
        <f t="shared" si="73"/>
        <v>1.6284000000000001</v>
      </c>
      <c r="R466">
        <f t="shared" si="74"/>
        <v>2.9546000000000001</v>
      </c>
    </row>
    <row r="467" spans="2:18" x14ac:dyDescent="0.3">
      <c r="B467" s="8">
        <v>1.9019999999999999</v>
      </c>
      <c r="C467">
        <v>15</v>
      </c>
      <c r="D467" s="8">
        <f t="shared" si="60"/>
        <v>5.2960730413839432E-2</v>
      </c>
      <c r="E467" s="8">
        <f t="shared" si="61"/>
        <v>7.1515503135979458E-2</v>
      </c>
      <c r="F467" s="8">
        <f t="shared" si="62"/>
        <v>0.91395970080932631</v>
      </c>
      <c r="G467" s="8">
        <f t="shared" si="63"/>
        <v>2.2600000000000002</v>
      </c>
      <c r="H467">
        <f t="shared" si="64"/>
        <v>10</v>
      </c>
      <c r="I467">
        <f t="shared" si="65"/>
        <v>1735455.1659567792</v>
      </c>
      <c r="J467">
        <f t="shared" si="66"/>
        <v>770409.26239027758</v>
      </c>
      <c r="K467">
        <f t="shared" si="67"/>
        <v>764342.59569521341</v>
      </c>
      <c r="L467">
        <f t="shared" si="68"/>
        <v>487.64956608672554</v>
      </c>
      <c r="M467">
        <f t="shared" si="69"/>
        <v>391710.82775192492</v>
      </c>
      <c r="N467">
        <f t="shared" si="70"/>
        <v>1725.8315406232653</v>
      </c>
      <c r="O467">
        <f t="shared" si="71"/>
        <v>637153.59817861975</v>
      </c>
      <c r="P467">
        <f t="shared" si="72"/>
        <v>1.3269</v>
      </c>
      <c r="Q467">
        <f t="shared" si="73"/>
        <v>1.6306</v>
      </c>
      <c r="R467">
        <f t="shared" si="74"/>
        <v>2.9575</v>
      </c>
    </row>
    <row r="468" spans="2:18" x14ac:dyDescent="0.3">
      <c r="B468" s="8">
        <v>1.9059999999999999</v>
      </c>
      <c r="C468">
        <v>15</v>
      </c>
      <c r="D468" s="8">
        <f t="shared" si="60"/>
        <v>5.2977663712529433E-2</v>
      </c>
      <c r="E468" s="8">
        <f t="shared" si="61"/>
        <v>7.1513537671233987E-2</v>
      </c>
      <c r="F468" s="8">
        <f t="shared" si="62"/>
        <v>0.91393458240154124</v>
      </c>
      <c r="G468" s="8">
        <f t="shared" si="63"/>
        <v>2.27</v>
      </c>
      <c r="H468">
        <f t="shared" si="64"/>
        <v>10</v>
      </c>
      <c r="I468">
        <f t="shared" si="65"/>
        <v>1746651.8702309236</v>
      </c>
      <c r="J468">
        <f t="shared" si="66"/>
        <v>771782.70666408946</v>
      </c>
      <c r="K468">
        <f t="shared" si="67"/>
        <v>765716.0399690253</v>
      </c>
      <c r="L468">
        <f t="shared" si="68"/>
        <v>488.51892155383229</v>
      </c>
      <c r="M468">
        <f t="shared" si="69"/>
        <v>392479.35590970225</v>
      </c>
      <c r="N468">
        <f t="shared" si="70"/>
        <v>1728.9326806884437</v>
      </c>
      <c r="O468">
        <f t="shared" si="71"/>
        <v>638304.62597955577</v>
      </c>
      <c r="P468">
        <f t="shared" si="72"/>
        <v>1.3331999999999999</v>
      </c>
      <c r="Q468">
        <f t="shared" si="73"/>
        <v>1.6335</v>
      </c>
      <c r="R468">
        <f t="shared" si="74"/>
        <v>2.9666999999999999</v>
      </c>
    </row>
    <row r="469" spans="2:18" x14ac:dyDescent="0.3">
      <c r="B469" s="8">
        <v>1.909</v>
      </c>
      <c r="C469">
        <v>15</v>
      </c>
      <c r="D469" s="8">
        <f t="shared" si="60"/>
        <v>5.2990324188317964E-2</v>
      </c>
      <c r="E469" s="8">
        <f t="shared" si="61"/>
        <v>7.1512068165605736E-2</v>
      </c>
      <c r="F469" s="8">
        <f t="shared" si="62"/>
        <v>0.91391580229281744</v>
      </c>
      <c r="G469" s="8">
        <f t="shared" si="63"/>
        <v>2.27</v>
      </c>
      <c r="H469">
        <f t="shared" si="64"/>
        <v>10</v>
      </c>
      <c r="I469">
        <f t="shared" si="65"/>
        <v>1746651.8702309236</v>
      </c>
      <c r="J469">
        <f t="shared" si="66"/>
        <v>772812.7898694484</v>
      </c>
      <c r="K469">
        <f t="shared" si="67"/>
        <v>766746.12317438424</v>
      </c>
      <c r="L469">
        <f t="shared" si="68"/>
        <v>489.17093815416234</v>
      </c>
      <c r="M469">
        <f t="shared" si="69"/>
        <v>393055.75202803529</v>
      </c>
      <c r="N469">
        <f t="shared" si="70"/>
        <v>1731.258535737328</v>
      </c>
      <c r="O469">
        <f t="shared" si="71"/>
        <v>639167.89683025796</v>
      </c>
      <c r="P469">
        <f t="shared" si="72"/>
        <v>1.3339000000000001</v>
      </c>
      <c r="Q469">
        <f t="shared" si="73"/>
        <v>1.6356999999999999</v>
      </c>
      <c r="R469">
        <f t="shared" si="74"/>
        <v>2.9695999999999998</v>
      </c>
    </row>
    <row r="470" spans="2:18" x14ac:dyDescent="0.3">
      <c r="B470" s="8">
        <v>1.9119999999999999</v>
      </c>
      <c r="C470">
        <v>15</v>
      </c>
      <c r="D470" s="8">
        <f t="shared" si="60"/>
        <v>5.3002950958702104E-2</v>
      </c>
      <c r="E470" s="8">
        <f t="shared" si="61"/>
        <v>7.1510602579272345E-2</v>
      </c>
      <c r="F470" s="8">
        <f t="shared" si="62"/>
        <v>0.91389707227222006</v>
      </c>
      <c r="G470" s="8">
        <f t="shared" si="63"/>
        <v>2.27</v>
      </c>
      <c r="H470">
        <f t="shared" si="64"/>
        <v>10</v>
      </c>
      <c r="I470">
        <f t="shared" si="65"/>
        <v>1746651.8702309236</v>
      </c>
      <c r="J470">
        <f t="shared" si="66"/>
        <v>773842.87307480723</v>
      </c>
      <c r="K470">
        <f t="shared" si="67"/>
        <v>767776.20637974306</v>
      </c>
      <c r="L470">
        <f t="shared" si="68"/>
        <v>489.82295475449229</v>
      </c>
      <c r="M470">
        <f t="shared" si="69"/>
        <v>393632.14814636821</v>
      </c>
      <c r="N470">
        <f t="shared" si="70"/>
        <v>1733.5843907862113</v>
      </c>
      <c r="O470">
        <f t="shared" si="71"/>
        <v>640031.16768095968</v>
      </c>
      <c r="P470">
        <f t="shared" si="72"/>
        <v>1.3346</v>
      </c>
      <c r="Q470">
        <f t="shared" si="73"/>
        <v>1.6378999999999999</v>
      </c>
      <c r="R470">
        <f t="shared" si="74"/>
        <v>2.9725000000000001</v>
      </c>
    </row>
    <row r="471" spans="2:18" x14ac:dyDescent="0.3">
      <c r="B471" s="8">
        <v>1.9159999999999999</v>
      </c>
      <c r="C471">
        <v>15</v>
      </c>
      <c r="D471" s="8">
        <f t="shared" si="60"/>
        <v>5.3019734454145866E-2</v>
      </c>
      <c r="E471" s="8">
        <f t="shared" si="61"/>
        <v>7.1508654533784757E-2</v>
      </c>
      <c r="F471" s="8">
        <f t="shared" si="62"/>
        <v>0.91387217648049757</v>
      </c>
      <c r="G471" s="8">
        <f t="shared" si="63"/>
        <v>2.27</v>
      </c>
      <c r="H471">
        <f t="shared" si="64"/>
        <v>10</v>
      </c>
      <c r="I471">
        <f t="shared" si="65"/>
        <v>1746651.8702309236</v>
      </c>
      <c r="J471">
        <f t="shared" si="66"/>
        <v>775216.31734861911</v>
      </c>
      <c r="K471">
        <f t="shared" si="67"/>
        <v>769149.65065355494</v>
      </c>
      <c r="L471">
        <f t="shared" si="68"/>
        <v>490.69231022159909</v>
      </c>
      <c r="M471">
        <f t="shared" si="69"/>
        <v>394400.6763041456</v>
      </c>
      <c r="N471">
        <f t="shared" si="70"/>
        <v>1736.6855308513898</v>
      </c>
      <c r="O471">
        <f t="shared" si="71"/>
        <v>641182.1954818957</v>
      </c>
      <c r="P471">
        <f t="shared" si="72"/>
        <v>1.3354999999999999</v>
      </c>
      <c r="Q471">
        <f t="shared" si="73"/>
        <v>1.6409</v>
      </c>
      <c r="R471">
        <f t="shared" si="74"/>
        <v>2.9763999999999999</v>
      </c>
    </row>
    <row r="472" spans="2:18" x14ac:dyDescent="0.3">
      <c r="B472" s="8">
        <v>1.919</v>
      </c>
      <c r="C472">
        <v>15</v>
      </c>
      <c r="D472" s="8">
        <f t="shared" si="60"/>
        <v>5.3032283100096278E-2</v>
      </c>
      <c r="E472" s="8">
        <f t="shared" si="61"/>
        <v>7.1507198031710698E-2</v>
      </c>
      <c r="F472" s="8">
        <f t="shared" si="62"/>
        <v>0.91385356255566363</v>
      </c>
      <c r="G472" s="8">
        <f t="shared" si="63"/>
        <v>2.27</v>
      </c>
      <c r="H472">
        <f t="shared" si="64"/>
        <v>10</v>
      </c>
      <c r="I472">
        <f t="shared" si="65"/>
        <v>1746651.8702309236</v>
      </c>
      <c r="J472">
        <f t="shared" si="66"/>
        <v>776246.40055397805</v>
      </c>
      <c r="K472">
        <f t="shared" si="67"/>
        <v>770179.73385891388</v>
      </c>
      <c r="L472">
        <f t="shared" si="68"/>
        <v>491.34432682192914</v>
      </c>
      <c r="M472">
        <f t="shared" si="69"/>
        <v>394977.07242247858</v>
      </c>
      <c r="N472">
        <f t="shared" si="70"/>
        <v>1739.011385900274</v>
      </c>
      <c r="O472">
        <f t="shared" si="71"/>
        <v>642045.46633259789</v>
      </c>
      <c r="P472">
        <f t="shared" si="72"/>
        <v>1.3362000000000001</v>
      </c>
      <c r="Q472">
        <f t="shared" si="73"/>
        <v>1.6431</v>
      </c>
      <c r="R472">
        <f t="shared" si="74"/>
        <v>2.9793000000000003</v>
      </c>
    </row>
    <row r="473" spans="2:18" x14ac:dyDescent="0.3">
      <c r="B473" s="8">
        <v>1.9219999999999999</v>
      </c>
      <c r="C473">
        <v>15</v>
      </c>
      <c r="D473" s="8">
        <f t="shared" si="60"/>
        <v>5.3044798485939848E-2</v>
      </c>
      <c r="E473" s="8">
        <f t="shared" si="61"/>
        <v>7.1505745397049625E-2</v>
      </c>
      <c r="F473" s="8">
        <f t="shared" si="62"/>
        <v>0.91383499805591173</v>
      </c>
      <c r="G473" s="8">
        <f t="shared" si="63"/>
        <v>2.27</v>
      </c>
      <c r="H473">
        <f t="shared" si="64"/>
        <v>10</v>
      </c>
      <c r="I473">
        <f t="shared" si="65"/>
        <v>1746651.8702309236</v>
      </c>
      <c r="J473">
        <f t="shared" si="66"/>
        <v>777276.48375933687</v>
      </c>
      <c r="K473">
        <f t="shared" si="67"/>
        <v>771209.81706427271</v>
      </c>
      <c r="L473">
        <f t="shared" si="68"/>
        <v>491.99634342225914</v>
      </c>
      <c r="M473">
        <f t="shared" si="69"/>
        <v>395553.46854081156</v>
      </c>
      <c r="N473">
        <f t="shared" si="70"/>
        <v>1741.3372409491576</v>
      </c>
      <c r="O473">
        <f t="shared" si="71"/>
        <v>642908.73718329985</v>
      </c>
      <c r="P473">
        <f t="shared" si="72"/>
        <v>1.3369</v>
      </c>
      <c r="Q473">
        <f t="shared" si="73"/>
        <v>1.6452</v>
      </c>
      <c r="R473">
        <f t="shared" si="74"/>
        <v>2.9821</v>
      </c>
    </row>
    <row r="474" spans="2:18" x14ac:dyDescent="0.3">
      <c r="B474" s="8">
        <v>1.925</v>
      </c>
      <c r="C474">
        <v>15</v>
      </c>
      <c r="D474" s="8">
        <f t="shared" si="60"/>
        <v>5.3057280743735141E-2</v>
      </c>
      <c r="E474" s="8">
        <f t="shared" si="61"/>
        <v>7.150429661441568E-2</v>
      </c>
      <c r="F474" s="8">
        <f t="shared" si="62"/>
        <v>0.91381648278461258</v>
      </c>
      <c r="G474" s="8">
        <f t="shared" si="63"/>
        <v>2.27</v>
      </c>
      <c r="H474">
        <f t="shared" si="64"/>
        <v>10</v>
      </c>
      <c r="I474">
        <f t="shared" si="65"/>
        <v>1746651.8702309236</v>
      </c>
      <c r="J474">
        <f t="shared" si="66"/>
        <v>778306.56696469581</v>
      </c>
      <c r="K474">
        <f t="shared" si="67"/>
        <v>772239.90026963165</v>
      </c>
      <c r="L474">
        <f t="shared" si="68"/>
        <v>492.6483600225892</v>
      </c>
      <c r="M474">
        <f t="shared" si="69"/>
        <v>396129.8646591446</v>
      </c>
      <c r="N474">
        <f t="shared" si="70"/>
        <v>1743.6630959980414</v>
      </c>
      <c r="O474">
        <f t="shared" si="71"/>
        <v>643772.0080340018</v>
      </c>
      <c r="P474">
        <f t="shared" si="72"/>
        <v>1.3374999999999999</v>
      </c>
      <c r="Q474">
        <f t="shared" si="73"/>
        <v>1.6474</v>
      </c>
      <c r="R474">
        <f t="shared" si="74"/>
        <v>2.9848999999999997</v>
      </c>
    </row>
    <row r="475" spans="2:18" x14ac:dyDescent="0.3">
      <c r="B475" s="8">
        <v>1.929</v>
      </c>
      <c r="C475">
        <v>15</v>
      </c>
      <c r="D475" s="8">
        <f t="shared" si="60"/>
        <v>5.3073872448551884E-2</v>
      </c>
      <c r="E475" s="8">
        <f t="shared" si="61"/>
        <v>7.1502370869839266E-2</v>
      </c>
      <c r="F475" s="8">
        <f t="shared" si="62"/>
        <v>0.9137918719959065</v>
      </c>
      <c r="G475" s="8">
        <f t="shared" si="63"/>
        <v>2.2800000000000002</v>
      </c>
      <c r="H475">
        <f t="shared" si="64"/>
        <v>10</v>
      </c>
      <c r="I475">
        <f t="shared" si="65"/>
        <v>1757848.5745050693</v>
      </c>
      <c r="J475">
        <f t="shared" si="66"/>
        <v>779680.01123850769</v>
      </c>
      <c r="K475">
        <f t="shared" si="67"/>
        <v>773613.34454344353</v>
      </c>
      <c r="L475">
        <f t="shared" si="68"/>
        <v>493.517715489696</v>
      </c>
      <c r="M475">
        <f t="shared" si="69"/>
        <v>396898.39281692199</v>
      </c>
      <c r="N475">
        <f t="shared" si="70"/>
        <v>1746.7642360632201</v>
      </c>
      <c r="O475">
        <f t="shared" si="71"/>
        <v>644923.03583493794</v>
      </c>
      <c r="P475">
        <f t="shared" si="72"/>
        <v>1.3438000000000001</v>
      </c>
      <c r="Q475">
        <f t="shared" si="73"/>
        <v>1.6504000000000001</v>
      </c>
      <c r="R475">
        <f t="shared" si="74"/>
        <v>2.9942000000000002</v>
      </c>
    </row>
    <row r="476" spans="2:18" x14ac:dyDescent="0.3">
      <c r="B476" s="8">
        <v>1.9319999999999999</v>
      </c>
      <c r="C476">
        <v>15</v>
      </c>
      <c r="D476" s="8">
        <f t="shared" si="60"/>
        <v>5.3086277917215548E-2</v>
      </c>
      <c r="E476" s="8">
        <f t="shared" si="61"/>
        <v>7.1500931015892083E-2</v>
      </c>
      <c r="F476" s="8">
        <f t="shared" si="62"/>
        <v>0.91377347083217175</v>
      </c>
      <c r="G476" s="8">
        <f t="shared" si="63"/>
        <v>2.2800000000000002</v>
      </c>
      <c r="H476">
        <f t="shared" si="64"/>
        <v>10</v>
      </c>
      <c r="I476">
        <f t="shared" si="65"/>
        <v>1757848.5745050693</v>
      </c>
      <c r="J476">
        <f t="shared" si="66"/>
        <v>780710.09444386652</v>
      </c>
      <c r="K476">
        <f t="shared" si="67"/>
        <v>774643.42774880235</v>
      </c>
      <c r="L476">
        <f t="shared" si="68"/>
        <v>494.16973209002595</v>
      </c>
      <c r="M476">
        <f t="shared" si="69"/>
        <v>397474.78893525491</v>
      </c>
      <c r="N476">
        <f t="shared" si="70"/>
        <v>1749.0900911121037</v>
      </c>
      <c r="O476">
        <f t="shared" si="71"/>
        <v>645786.30668563978</v>
      </c>
      <c r="P476">
        <f t="shared" si="72"/>
        <v>1.3445</v>
      </c>
      <c r="Q476">
        <f t="shared" si="73"/>
        <v>1.6526000000000001</v>
      </c>
      <c r="R476">
        <f t="shared" si="74"/>
        <v>2.9971000000000001</v>
      </c>
    </row>
    <row r="477" spans="2:18" x14ac:dyDescent="0.3">
      <c r="B477" s="8">
        <v>1.9350000000000001</v>
      </c>
      <c r="C477">
        <v>15</v>
      </c>
      <c r="D477" s="8">
        <f t="shared" si="60"/>
        <v>5.309865069300939E-2</v>
      </c>
      <c r="E477" s="8">
        <f t="shared" si="61"/>
        <v>7.1499494963272056E-2</v>
      </c>
      <c r="F477" s="8">
        <f t="shared" si="62"/>
        <v>0.91375511824895006</v>
      </c>
      <c r="G477" s="8">
        <f t="shared" si="63"/>
        <v>2.2800000000000002</v>
      </c>
      <c r="H477">
        <f t="shared" si="64"/>
        <v>10</v>
      </c>
      <c r="I477">
        <f t="shared" si="65"/>
        <v>1757848.5745050693</v>
      </c>
      <c r="J477">
        <f t="shared" si="66"/>
        <v>781740.17764922546</v>
      </c>
      <c r="K477">
        <f t="shared" si="67"/>
        <v>775673.51095416129</v>
      </c>
      <c r="L477">
        <f t="shared" si="68"/>
        <v>494.82174869035606</v>
      </c>
      <c r="M477">
        <f t="shared" si="69"/>
        <v>398051.18505358795</v>
      </c>
      <c r="N477">
        <f t="shared" si="70"/>
        <v>1751.4159461609877</v>
      </c>
      <c r="O477">
        <f t="shared" si="71"/>
        <v>646649.57753634185</v>
      </c>
      <c r="P477">
        <f t="shared" si="72"/>
        <v>1.3452</v>
      </c>
      <c r="Q477">
        <f t="shared" si="73"/>
        <v>1.6548</v>
      </c>
      <c r="R477">
        <f t="shared" si="74"/>
        <v>3</v>
      </c>
    </row>
    <row r="478" spans="2:18" x14ac:dyDescent="0.3">
      <c r="B478" s="8">
        <v>1.9390000000000001</v>
      </c>
      <c r="C478">
        <v>15</v>
      </c>
      <c r="D478" s="8">
        <f t="shared" si="60"/>
        <v>5.3115097094805379E-2</v>
      </c>
      <c r="E478" s="8">
        <f t="shared" si="61"/>
        <v>7.1497586113643638E-2</v>
      </c>
      <c r="F478" s="8">
        <f t="shared" si="62"/>
        <v>0.91373072337568795</v>
      </c>
      <c r="G478" s="8">
        <f t="shared" si="63"/>
        <v>2.2800000000000002</v>
      </c>
      <c r="H478">
        <f t="shared" si="64"/>
        <v>10</v>
      </c>
      <c r="I478">
        <f t="shared" si="65"/>
        <v>1757848.5745050693</v>
      </c>
      <c r="J478">
        <f t="shared" si="66"/>
        <v>783113.62192303734</v>
      </c>
      <c r="K478">
        <f t="shared" si="67"/>
        <v>777046.95522797317</v>
      </c>
      <c r="L478">
        <f t="shared" si="68"/>
        <v>495.69110415746275</v>
      </c>
      <c r="M478">
        <f t="shared" si="69"/>
        <v>398819.71321136528</v>
      </c>
      <c r="N478">
        <f t="shared" si="70"/>
        <v>1754.5170862261662</v>
      </c>
      <c r="O478">
        <f t="shared" si="71"/>
        <v>647800.60533727787</v>
      </c>
      <c r="P478">
        <f t="shared" si="72"/>
        <v>1.3461000000000001</v>
      </c>
      <c r="Q478">
        <f t="shared" si="73"/>
        <v>1.6577</v>
      </c>
      <c r="R478">
        <f t="shared" si="74"/>
        <v>3.0038</v>
      </c>
    </row>
    <row r="479" spans="2:18" x14ac:dyDescent="0.3">
      <c r="B479" s="8">
        <v>1.9419999999999999</v>
      </c>
      <c r="C479">
        <v>15</v>
      </c>
      <c r="D479" s="8">
        <f t="shared" si="60"/>
        <v>5.3127394087988118E-2</v>
      </c>
      <c r="E479" s="8">
        <f t="shared" si="61"/>
        <v>7.1496158872449367E-2</v>
      </c>
      <c r="F479" s="8">
        <f t="shared" si="62"/>
        <v>0.91371248340144873</v>
      </c>
      <c r="G479" s="8">
        <f t="shared" si="63"/>
        <v>2.2800000000000002</v>
      </c>
      <c r="H479">
        <f t="shared" si="64"/>
        <v>10</v>
      </c>
      <c r="I479">
        <f t="shared" si="65"/>
        <v>1757848.5745050693</v>
      </c>
      <c r="J479">
        <f t="shared" si="66"/>
        <v>784143.70512839616</v>
      </c>
      <c r="K479">
        <f t="shared" si="67"/>
        <v>778077.038433332</v>
      </c>
      <c r="L479">
        <f t="shared" si="68"/>
        <v>496.3431207577928</v>
      </c>
      <c r="M479">
        <f t="shared" si="69"/>
        <v>399396.10932969826</v>
      </c>
      <c r="N479">
        <f t="shared" si="70"/>
        <v>1756.84294127505</v>
      </c>
      <c r="O479">
        <f t="shared" si="71"/>
        <v>648663.87618797983</v>
      </c>
      <c r="P479">
        <f t="shared" si="72"/>
        <v>1.3468</v>
      </c>
      <c r="Q479">
        <f t="shared" si="73"/>
        <v>1.6598999999999999</v>
      </c>
      <c r="R479">
        <f t="shared" si="74"/>
        <v>3.0066999999999999</v>
      </c>
    </row>
    <row r="480" spans="2:18" x14ac:dyDescent="0.3">
      <c r="B480" s="8">
        <v>1.9450000000000001</v>
      </c>
      <c r="C480">
        <v>15</v>
      </c>
      <c r="D480" s="8">
        <f t="shared" si="60"/>
        <v>5.3139658815890653E-2</v>
      </c>
      <c r="E480" s="8">
        <f t="shared" si="61"/>
        <v>7.1494735382768487E-2</v>
      </c>
      <c r="F480" s="8">
        <f t="shared" si="62"/>
        <v>0.91369429137110858</v>
      </c>
      <c r="G480" s="8">
        <f t="shared" si="63"/>
        <v>2.2800000000000002</v>
      </c>
      <c r="H480">
        <f t="shared" si="64"/>
        <v>10</v>
      </c>
      <c r="I480">
        <f t="shared" si="65"/>
        <v>1757848.5745050693</v>
      </c>
      <c r="J480">
        <f t="shared" si="66"/>
        <v>785173.7883337551</v>
      </c>
      <c r="K480">
        <f t="shared" si="67"/>
        <v>779107.12163869094</v>
      </c>
      <c r="L480">
        <f t="shared" si="68"/>
        <v>496.99513735812286</v>
      </c>
      <c r="M480">
        <f t="shared" si="69"/>
        <v>399972.5054480313</v>
      </c>
      <c r="N480">
        <f t="shared" si="70"/>
        <v>1759.1687963239337</v>
      </c>
      <c r="O480">
        <f t="shared" si="71"/>
        <v>649527.14703868178</v>
      </c>
      <c r="P480">
        <f t="shared" si="72"/>
        <v>1.3474999999999999</v>
      </c>
      <c r="Q480">
        <f t="shared" si="73"/>
        <v>1.6620999999999999</v>
      </c>
      <c r="R480">
        <f t="shared" si="74"/>
        <v>3.0095999999999998</v>
      </c>
    </row>
    <row r="481" spans="2:18" x14ac:dyDescent="0.3">
      <c r="B481" s="8">
        <v>1.948</v>
      </c>
      <c r="C481">
        <v>15</v>
      </c>
      <c r="D481" s="8">
        <f t="shared" si="60"/>
        <v>5.3151891405334731E-2</v>
      </c>
      <c r="E481" s="8">
        <f t="shared" si="61"/>
        <v>7.1493315629826928E-2</v>
      </c>
      <c r="F481" s="8">
        <f t="shared" si="62"/>
        <v>0.91367614709585654</v>
      </c>
      <c r="G481" s="8">
        <f t="shared" si="63"/>
        <v>2.29</v>
      </c>
      <c r="H481">
        <f t="shared" si="64"/>
        <v>10</v>
      </c>
      <c r="I481">
        <f t="shared" si="65"/>
        <v>1769045.278779214</v>
      </c>
      <c r="J481">
        <f t="shared" si="66"/>
        <v>786203.87153911404</v>
      </c>
      <c r="K481">
        <f t="shared" si="67"/>
        <v>780137.20484404988</v>
      </c>
      <c r="L481">
        <f t="shared" si="68"/>
        <v>497.64715395845298</v>
      </c>
      <c r="M481">
        <f t="shared" si="69"/>
        <v>400548.90156636434</v>
      </c>
      <c r="N481">
        <f t="shared" si="70"/>
        <v>1761.4946513728175</v>
      </c>
      <c r="O481">
        <f t="shared" si="71"/>
        <v>650390.41788938385</v>
      </c>
      <c r="P481">
        <f t="shared" si="72"/>
        <v>1.3535999999999999</v>
      </c>
      <c r="Q481">
        <f t="shared" si="73"/>
        <v>1.6642999999999999</v>
      </c>
      <c r="R481">
        <f t="shared" si="74"/>
        <v>3.0179</v>
      </c>
    </row>
    <row r="482" spans="2:18" x14ac:dyDescent="0.3">
      <c r="B482" s="8">
        <v>1.952</v>
      </c>
      <c r="C482">
        <v>15</v>
      </c>
      <c r="D482" s="8">
        <f t="shared" si="60"/>
        <v>5.3168151749391705E-2</v>
      </c>
      <c r="E482" s="8">
        <f t="shared" si="61"/>
        <v>7.1491428413219871E-2</v>
      </c>
      <c r="F482" s="8">
        <f t="shared" si="62"/>
        <v>0.91365202869005757</v>
      </c>
      <c r="G482" s="8">
        <f t="shared" si="63"/>
        <v>2.29</v>
      </c>
      <c r="H482">
        <f t="shared" si="64"/>
        <v>10</v>
      </c>
      <c r="I482">
        <f t="shared" si="65"/>
        <v>1769045.278779214</v>
      </c>
      <c r="J482">
        <f t="shared" si="66"/>
        <v>787577.31581292592</v>
      </c>
      <c r="K482">
        <f t="shared" si="67"/>
        <v>781510.64911786176</v>
      </c>
      <c r="L482">
        <f t="shared" si="68"/>
        <v>498.51650942555966</v>
      </c>
      <c r="M482">
        <f t="shared" si="69"/>
        <v>401317.42972414166</v>
      </c>
      <c r="N482">
        <f t="shared" si="70"/>
        <v>1764.5957914379965</v>
      </c>
      <c r="O482">
        <f t="shared" si="71"/>
        <v>651541.44569031999</v>
      </c>
      <c r="P482">
        <f t="shared" si="72"/>
        <v>1.3545</v>
      </c>
      <c r="Q482">
        <f t="shared" si="73"/>
        <v>1.6672</v>
      </c>
      <c r="R482">
        <f t="shared" si="74"/>
        <v>3.0217000000000001</v>
      </c>
    </row>
    <row r="483" spans="2:18" x14ac:dyDescent="0.3">
      <c r="B483" s="8">
        <v>1.9550000000000001</v>
      </c>
      <c r="C483">
        <v>15</v>
      </c>
      <c r="D483" s="8">
        <f t="shared" si="60"/>
        <v>5.3180309838574663E-2</v>
      </c>
      <c r="E483" s="8">
        <f t="shared" si="61"/>
        <v>7.1490017322315927E-2</v>
      </c>
      <c r="F483" s="8">
        <f t="shared" si="62"/>
        <v>0.91363399511462529</v>
      </c>
      <c r="G483" s="8">
        <f t="shared" si="63"/>
        <v>2.29</v>
      </c>
      <c r="H483">
        <f t="shared" si="64"/>
        <v>10</v>
      </c>
      <c r="I483">
        <f t="shared" si="65"/>
        <v>1769045.278779214</v>
      </c>
      <c r="J483">
        <f t="shared" si="66"/>
        <v>788607.39901828475</v>
      </c>
      <c r="K483">
        <f t="shared" si="67"/>
        <v>782540.73232322058</v>
      </c>
      <c r="L483">
        <f t="shared" si="68"/>
        <v>499.16852602588972</v>
      </c>
      <c r="M483">
        <f t="shared" si="69"/>
        <v>401893.8258424747</v>
      </c>
      <c r="N483">
        <f t="shared" si="70"/>
        <v>1766.92164648688</v>
      </c>
      <c r="O483">
        <f t="shared" si="71"/>
        <v>652404.71654102195</v>
      </c>
      <c r="P483">
        <f t="shared" si="72"/>
        <v>1.3552</v>
      </c>
      <c r="Q483">
        <f t="shared" si="73"/>
        <v>1.6694</v>
      </c>
      <c r="R483">
        <f t="shared" si="74"/>
        <v>3.0246</v>
      </c>
    </row>
    <row r="484" spans="2:18" x14ac:dyDescent="0.3">
      <c r="B484" s="8">
        <v>1.958</v>
      </c>
      <c r="C484">
        <v>15</v>
      </c>
      <c r="D484" s="8">
        <f t="shared" si="60"/>
        <v>5.3192436207268781E-2</v>
      </c>
      <c r="E484" s="8">
        <f t="shared" si="61"/>
        <v>7.1488609919461113E-2</v>
      </c>
      <c r="F484" s="8">
        <f t="shared" si="62"/>
        <v>0.91361600867202619</v>
      </c>
      <c r="G484" s="8">
        <f t="shared" si="63"/>
        <v>2.29</v>
      </c>
      <c r="H484">
        <f t="shared" si="64"/>
        <v>10</v>
      </c>
      <c r="I484">
        <f t="shared" si="65"/>
        <v>1769045.278779214</v>
      </c>
      <c r="J484">
        <f t="shared" si="66"/>
        <v>789637.48222364369</v>
      </c>
      <c r="K484">
        <f t="shared" si="67"/>
        <v>783570.81552857952</v>
      </c>
      <c r="L484">
        <f t="shared" si="68"/>
        <v>499.82054262621978</v>
      </c>
      <c r="M484">
        <f t="shared" si="69"/>
        <v>402470.22196080768</v>
      </c>
      <c r="N484">
        <f t="shared" si="70"/>
        <v>1769.2475015357638</v>
      </c>
      <c r="O484">
        <f t="shared" si="71"/>
        <v>653267.9873917239</v>
      </c>
      <c r="P484">
        <f t="shared" si="72"/>
        <v>1.3559000000000001</v>
      </c>
      <c r="Q484">
        <f t="shared" si="73"/>
        <v>1.6716</v>
      </c>
      <c r="R484">
        <f t="shared" si="74"/>
        <v>3.0274999999999999</v>
      </c>
    </row>
    <row r="485" spans="2:18" x14ac:dyDescent="0.3">
      <c r="B485" s="8">
        <v>1.9610000000000001</v>
      </c>
      <c r="C485">
        <v>15</v>
      </c>
      <c r="D485" s="8">
        <f t="shared" si="60"/>
        <v>5.3204530979450576E-2</v>
      </c>
      <c r="E485" s="8">
        <f t="shared" si="61"/>
        <v>7.1487206190213412E-2</v>
      </c>
      <c r="F485" s="8">
        <f t="shared" si="62"/>
        <v>0.91359806917769293</v>
      </c>
      <c r="G485" s="8">
        <f t="shared" si="63"/>
        <v>2.29</v>
      </c>
      <c r="H485">
        <f t="shared" si="64"/>
        <v>10</v>
      </c>
      <c r="I485">
        <f t="shared" si="65"/>
        <v>1769045.278779214</v>
      </c>
      <c r="J485">
        <f t="shared" si="66"/>
        <v>790667.56542900263</v>
      </c>
      <c r="K485">
        <f t="shared" si="67"/>
        <v>784600.89873393846</v>
      </c>
      <c r="L485">
        <f t="shared" si="68"/>
        <v>500.47255922654983</v>
      </c>
      <c r="M485">
        <f t="shared" si="69"/>
        <v>403046.61807914072</v>
      </c>
      <c r="N485">
        <f t="shared" si="70"/>
        <v>1771.5733565846479</v>
      </c>
      <c r="O485">
        <f t="shared" si="71"/>
        <v>654131.25824242597</v>
      </c>
      <c r="P485">
        <f t="shared" si="72"/>
        <v>1.3566</v>
      </c>
      <c r="Q485">
        <f t="shared" si="73"/>
        <v>1.6738</v>
      </c>
      <c r="R485">
        <f t="shared" si="74"/>
        <v>3.0304000000000002</v>
      </c>
    </row>
    <row r="486" spans="2:18" x14ac:dyDescent="0.3">
      <c r="B486" s="8">
        <v>1.9650000000000001</v>
      </c>
      <c r="C486">
        <v>15</v>
      </c>
      <c r="D486" s="8">
        <f t="shared" si="60"/>
        <v>5.322060840530219E-2</v>
      </c>
      <c r="E486" s="8">
        <f t="shared" si="61"/>
        <v>7.1485340240896145E-2</v>
      </c>
      <c r="F486" s="8">
        <f t="shared" si="62"/>
        <v>0.9135742225653507</v>
      </c>
      <c r="G486" s="8">
        <f t="shared" si="63"/>
        <v>2.29</v>
      </c>
      <c r="H486">
        <f t="shared" si="64"/>
        <v>10</v>
      </c>
      <c r="I486">
        <f t="shared" si="65"/>
        <v>1769045.278779214</v>
      </c>
      <c r="J486">
        <f t="shared" si="66"/>
        <v>792041.00970281451</v>
      </c>
      <c r="K486">
        <f t="shared" si="67"/>
        <v>785974.34300775034</v>
      </c>
      <c r="L486">
        <f t="shared" si="68"/>
        <v>501.34191469365658</v>
      </c>
      <c r="M486">
        <f t="shared" si="69"/>
        <v>403815.14623691805</v>
      </c>
      <c r="N486">
        <f t="shared" si="70"/>
        <v>1774.6744966498263</v>
      </c>
      <c r="O486">
        <f t="shared" si="71"/>
        <v>655282.28604336199</v>
      </c>
      <c r="P486">
        <f t="shared" si="72"/>
        <v>1.3574999999999999</v>
      </c>
      <c r="Q486">
        <f t="shared" si="73"/>
        <v>1.6767000000000001</v>
      </c>
      <c r="R486">
        <f t="shared" si="74"/>
        <v>3.0342000000000002</v>
      </c>
    </row>
    <row r="487" spans="2:18" x14ac:dyDescent="0.3">
      <c r="B487" s="8">
        <v>1.968</v>
      </c>
      <c r="C487">
        <v>15</v>
      </c>
      <c r="D487" s="8">
        <f t="shared" si="60"/>
        <v>5.3232629930803001E-2</v>
      </c>
      <c r="E487" s="8">
        <f t="shared" si="61"/>
        <v>7.14839450276578E-2</v>
      </c>
      <c r="F487" s="8">
        <f t="shared" si="62"/>
        <v>0.91355639190461335</v>
      </c>
      <c r="G487" s="8">
        <f t="shared" si="63"/>
        <v>2.3000000000000003</v>
      </c>
      <c r="H487">
        <f t="shared" si="64"/>
        <v>10</v>
      </c>
      <c r="I487">
        <f t="shared" si="65"/>
        <v>1780241.9830533594</v>
      </c>
      <c r="J487">
        <f t="shared" si="66"/>
        <v>793071.09290817333</v>
      </c>
      <c r="K487">
        <f t="shared" si="67"/>
        <v>787004.42621310917</v>
      </c>
      <c r="L487">
        <f t="shared" si="68"/>
        <v>501.99393129398663</v>
      </c>
      <c r="M487">
        <f t="shared" si="69"/>
        <v>404391.54235525109</v>
      </c>
      <c r="N487">
        <f t="shared" si="70"/>
        <v>1777.0003516987099</v>
      </c>
      <c r="O487">
        <f t="shared" si="71"/>
        <v>656145.55689406383</v>
      </c>
      <c r="P487">
        <f t="shared" si="72"/>
        <v>1.3635999999999999</v>
      </c>
      <c r="Q487">
        <f t="shared" si="73"/>
        <v>1.6789000000000001</v>
      </c>
      <c r="R487">
        <f t="shared" si="74"/>
        <v>3.0425</v>
      </c>
    </row>
    <row r="488" spans="2:18" x14ac:dyDescent="0.3">
      <c r="B488" s="8">
        <v>1.9710000000000001</v>
      </c>
      <c r="C488">
        <v>15</v>
      </c>
      <c r="D488" s="8">
        <f t="shared" si="60"/>
        <v>5.3244620268410134E-2</v>
      </c>
      <c r="E488" s="8">
        <f t="shared" si="61"/>
        <v>7.148255344042824E-2</v>
      </c>
      <c r="F488" s="8">
        <f t="shared" si="62"/>
        <v>0.91353860758384087</v>
      </c>
      <c r="G488" s="8">
        <f t="shared" si="63"/>
        <v>2.3000000000000003</v>
      </c>
      <c r="H488">
        <f t="shared" si="64"/>
        <v>10</v>
      </c>
      <c r="I488">
        <f t="shared" si="65"/>
        <v>1780241.9830533594</v>
      </c>
      <c r="J488">
        <f t="shared" si="66"/>
        <v>794101.17611353227</v>
      </c>
      <c r="K488">
        <f t="shared" si="67"/>
        <v>788034.50941846811</v>
      </c>
      <c r="L488">
        <f t="shared" si="68"/>
        <v>502.64594789431669</v>
      </c>
      <c r="M488">
        <f t="shared" si="69"/>
        <v>404967.93847358407</v>
      </c>
      <c r="N488">
        <f t="shared" si="70"/>
        <v>1779.3262067475937</v>
      </c>
      <c r="O488">
        <f t="shared" si="71"/>
        <v>657008.82774476591</v>
      </c>
      <c r="P488">
        <f t="shared" si="72"/>
        <v>1.3643000000000001</v>
      </c>
      <c r="Q488">
        <f t="shared" si="73"/>
        <v>1.6811</v>
      </c>
      <c r="R488">
        <f t="shared" si="74"/>
        <v>3.0453999999999999</v>
      </c>
    </row>
    <row r="489" spans="2:18" x14ac:dyDescent="0.3">
      <c r="B489" s="8">
        <v>1.9750000000000001</v>
      </c>
      <c r="C489">
        <v>15</v>
      </c>
      <c r="D489" s="8">
        <f t="shared" si="60"/>
        <v>5.3260559080127862E-2</v>
      </c>
      <c r="E489" s="8">
        <f t="shared" si="61"/>
        <v>7.1480703606854545E-2</v>
      </c>
      <c r="F489" s="8">
        <f t="shared" si="62"/>
        <v>0.91351496692880207</v>
      </c>
      <c r="G489" s="8">
        <f t="shared" si="63"/>
        <v>2.3000000000000003</v>
      </c>
      <c r="H489">
        <f t="shared" si="64"/>
        <v>10</v>
      </c>
      <c r="I489">
        <f t="shared" si="65"/>
        <v>1780241.9830533594</v>
      </c>
      <c r="J489">
        <f t="shared" si="66"/>
        <v>795474.62038734416</v>
      </c>
      <c r="K489">
        <f t="shared" si="67"/>
        <v>789407.95369227999</v>
      </c>
      <c r="L489">
        <f t="shared" si="68"/>
        <v>503.51530336142343</v>
      </c>
      <c r="M489">
        <f t="shared" si="69"/>
        <v>405736.46663136146</v>
      </c>
      <c r="N489">
        <f t="shared" si="70"/>
        <v>1782.4273468127726</v>
      </c>
      <c r="O489">
        <f t="shared" si="71"/>
        <v>658159.85554570204</v>
      </c>
      <c r="P489">
        <f t="shared" si="72"/>
        <v>1.3652</v>
      </c>
      <c r="Q489">
        <f t="shared" si="73"/>
        <v>1.6840999999999999</v>
      </c>
      <c r="R489">
        <f t="shared" si="74"/>
        <v>3.0492999999999997</v>
      </c>
    </row>
    <row r="490" spans="2:18" x14ac:dyDescent="0.3">
      <c r="B490" s="8">
        <v>1.978</v>
      </c>
      <c r="C490">
        <v>15</v>
      </c>
      <c r="D490" s="8">
        <f t="shared" si="60"/>
        <v>5.3272477116274211E-2</v>
      </c>
      <c r="E490" s="8">
        <f t="shared" si="61"/>
        <v>7.1479320425531886E-2</v>
      </c>
      <c r="F490" s="8">
        <f t="shared" si="62"/>
        <v>0.91349729003452906</v>
      </c>
      <c r="G490" s="8">
        <f t="shared" si="63"/>
        <v>2.3000000000000003</v>
      </c>
      <c r="H490">
        <f t="shared" si="64"/>
        <v>10</v>
      </c>
      <c r="I490">
        <f t="shared" si="65"/>
        <v>1780241.9830533594</v>
      </c>
      <c r="J490">
        <f t="shared" si="66"/>
        <v>796504.70359270298</v>
      </c>
      <c r="K490">
        <f t="shared" si="67"/>
        <v>790438.03689763881</v>
      </c>
      <c r="L490">
        <f t="shared" si="68"/>
        <v>504.16731996175344</v>
      </c>
      <c r="M490">
        <f t="shared" si="69"/>
        <v>406312.86274969438</v>
      </c>
      <c r="N490">
        <f t="shared" si="70"/>
        <v>1784.7532018616562</v>
      </c>
      <c r="O490">
        <f t="shared" si="71"/>
        <v>659023.12639640388</v>
      </c>
      <c r="P490">
        <f t="shared" si="72"/>
        <v>1.3658999999999999</v>
      </c>
      <c r="Q490">
        <f t="shared" si="73"/>
        <v>1.6862999999999999</v>
      </c>
      <c r="R490">
        <f t="shared" si="74"/>
        <v>3.0522</v>
      </c>
    </row>
    <row r="491" spans="2:18" x14ac:dyDescent="0.3">
      <c r="B491" s="8">
        <v>1.9810000000000001</v>
      </c>
      <c r="C491">
        <v>15</v>
      </c>
      <c r="D491" s="8">
        <f t="shared" si="60"/>
        <v>5.3284364366129926E-2</v>
      </c>
      <c r="E491" s="8">
        <f t="shared" si="61"/>
        <v>7.147794082343889E-2</v>
      </c>
      <c r="F491" s="8">
        <f t="shared" si="62"/>
        <v>0.91347965888238913</v>
      </c>
      <c r="G491" s="8">
        <f t="shared" si="63"/>
        <v>2.3000000000000003</v>
      </c>
      <c r="H491">
        <f t="shared" si="64"/>
        <v>10</v>
      </c>
      <c r="I491">
        <f t="shared" si="65"/>
        <v>1780241.9830533594</v>
      </c>
      <c r="J491">
        <f t="shared" si="66"/>
        <v>797534.78679806204</v>
      </c>
      <c r="K491">
        <f t="shared" si="67"/>
        <v>791468.12010299787</v>
      </c>
      <c r="L491">
        <f t="shared" si="68"/>
        <v>504.81933656208355</v>
      </c>
      <c r="M491">
        <f t="shared" si="69"/>
        <v>406889.25886802748</v>
      </c>
      <c r="N491">
        <f t="shared" si="70"/>
        <v>1787.0790569105402</v>
      </c>
      <c r="O491">
        <f t="shared" si="71"/>
        <v>659886.39724710595</v>
      </c>
      <c r="P491">
        <f t="shared" si="72"/>
        <v>1.3666</v>
      </c>
      <c r="Q491">
        <f t="shared" si="73"/>
        <v>1.6884999999999999</v>
      </c>
      <c r="R491">
        <f t="shared" si="74"/>
        <v>3.0550999999999999</v>
      </c>
    </row>
    <row r="492" spans="2:18" x14ac:dyDescent="0.3">
      <c r="B492" s="8">
        <v>1.984</v>
      </c>
      <c r="C492">
        <v>15</v>
      </c>
      <c r="D492" s="8">
        <f t="shared" si="60"/>
        <v>5.3296220948830346E-2</v>
      </c>
      <c r="E492" s="8">
        <f t="shared" si="61"/>
        <v>7.1476564786699059E-2</v>
      </c>
      <c r="F492" s="8">
        <f t="shared" si="62"/>
        <v>0.91346207329504248</v>
      </c>
      <c r="G492" s="8">
        <f t="shared" si="63"/>
        <v>2.3000000000000003</v>
      </c>
      <c r="H492">
        <f t="shared" si="64"/>
        <v>10</v>
      </c>
      <c r="I492">
        <f t="shared" si="65"/>
        <v>1780241.9830533594</v>
      </c>
      <c r="J492">
        <f t="shared" si="66"/>
        <v>798564.87000342074</v>
      </c>
      <c r="K492">
        <f t="shared" si="67"/>
        <v>792498.20330835658</v>
      </c>
      <c r="L492">
        <f t="shared" si="68"/>
        <v>505.47135316241349</v>
      </c>
      <c r="M492">
        <f t="shared" si="69"/>
        <v>407465.6549863604</v>
      </c>
      <c r="N492">
        <f t="shared" si="70"/>
        <v>1789.4049119594238</v>
      </c>
      <c r="O492">
        <f t="shared" si="71"/>
        <v>660749.66809780791</v>
      </c>
      <c r="P492">
        <f t="shared" si="72"/>
        <v>1.3673</v>
      </c>
      <c r="Q492">
        <f t="shared" si="73"/>
        <v>1.6907000000000001</v>
      </c>
      <c r="R492">
        <f t="shared" si="74"/>
        <v>3.0579999999999998</v>
      </c>
    </row>
    <row r="493" spans="2:18" x14ac:dyDescent="0.3">
      <c r="B493" s="8">
        <v>1.988</v>
      </c>
      <c r="C493">
        <v>15</v>
      </c>
      <c r="D493" s="8">
        <f t="shared" si="60"/>
        <v>5.3311982226064494E-2</v>
      </c>
      <c r="E493" s="8">
        <f t="shared" si="61"/>
        <v>7.1474735593300517E-2</v>
      </c>
      <c r="F493" s="8">
        <f t="shared" si="62"/>
        <v>0.91343869641900943</v>
      </c>
      <c r="G493" s="8">
        <f t="shared" si="63"/>
        <v>2.3000000000000003</v>
      </c>
      <c r="H493">
        <f t="shared" si="64"/>
        <v>10</v>
      </c>
      <c r="I493">
        <f t="shared" si="65"/>
        <v>1780241.9830533594</v>
      </c>
      <c r="J493">
        <f t="shared" si="66"/>
        <v>799938.31427723262</v>
      </c>
      <c r="K493">
        <f t="shared" si="67"/>
        <v>793871.64758216846</v>
      </c>
      <c r="L493">
        <f t="shared" si="68"/>
        <v>506.34070862952029</v>
      </c>
      <c r="M493">
        <f t="shared" si="69"/>
        <v>408234.18314413779</v>
      </c>
      <c r="N493">
        <f t="shared" si="70"/>
        <v>1792.5060520246022</v>
      </c>
      <c r="O493">
        <f t="shared" si="71"/>
        <v>661900.69589874393</v>
      </c>
      <c r="P493">
        <f t="shared" si="72"/>
        <v>1.3682000000000001</v>
      </c>
      <c r="Q493">
        <f t="shared" si="73"/>
        <v>1.6936</v>
      </c>
      <c r="R493">
        <f t="shared" si="74"/>
        <v>3.0617999999999999</v>
      </c>
    </row>
    <row r="494" spans="2:18" x14ac:dyDescent="0.3">
      <c r="B494" s="8">
        <v>1.9910000000000001</v>
      </c>
      <c r="C494">
        <v>15</v>
      </c>
      <c r="D494" s="8">
        <f t="shared" si="60"/>
        <v>5.3323767711932396E-2</v>
      </c>
      <c r="E494" s="8">
        <f t="shared" si="61"/>
        <v>7.1473367822154923E-2</v>
      </c>
      <c r="F494" s="8">
        <f t="shared" si="62"/>
        <v>0.91342121646498275</v>
      </c>
      <c r="G494" s="8">
        <f t="shared" si="63"/>
        <v>2.31</v>
      </c>
      <c r="H494">
        <f t="shared" si="64"/>
        <v>10</v>
      </c>
      <c r="I494">
        <f t="shared" si="65"/>
        <v>1791438.6873275042</v>
      </c>
      <c r="J494">
        <f t="shared" si="66"/>
        <v>800968.39748259168</v>
      </c>
      <c r="K494">
        <f t="shared" si="67"/>
        <v>794901.73078752751</v>
      </c>
      <c r="L494">
        <f t="shared" si="68"/>
        <v>506.99272522985041</v>
      </c>
      <c r="M494">
        <f t="shared" si="69"/>
        <v>408810.57926247088</v>
      </c>
      <c r="N494">
        <f t="shared" si="70"/>
        <v>1794.8319070734865</v>
      </c>
      <c r="O494">
        <f t="shared" si="71"/>
        <v>662763.96674944612</v>
      </c>
      <c r="P494">
        <f t="shared" si="72"/>
        <v>1.3742000000000001</v>
      </c>
      <c r="Q494">
        <f t="shared" si="73"/>
        <v>1.6958</v>
      </c>
      <c r="R494">
        <f t="shared" si="74"/>
        <v>3.0700000000000003</v>
      </c>
    </row>
    <row r="495" spans="2:18" x14ac:dyDescent="0.3">
      <c r="B495" s="8">
        <v>1.994</v>
      </c>
      <c r="C495">
        <v>15</v>
      </c>
      <c r="D495" s="8">
        <f t="shared" si="60"/>
        <v>5.3335522923351295E-2</v>
      </c>
      <c r="E495" s="8">
        <f t="shared" si="61"/>
        <v>7.1472003570621945E-2</v>
      </c>
      <c r="F495" s="8">
        <f t="shared" si="62"/>
        <v>0.91340378149119061</v>
      </c>
      <c r="G495" s="8">
        <f t="shared" si="63"/>
        <v>2.31</v>
      </c>
      <c r="H495">
        <f t="shared" si="64"/>
        <v>10</v>
      </c>
      <c r="I495">
        <f t="shared" si="65"/>
        <v>1791438.6873275042</v>
      </c>
      <c r="J495">
        <f t="shared" si="66"/>
        <v>801998.48068795039</v>
      </c>
      <c r="K495">
        <f t="shared" si="67"/>
        <v>795931.81399288622</v>
      </c>
      <c r="L495">
        <f t="shared" si="68"/>
        <v>507.64474183018029</v>
      </c>
      <c r="M495">
        <f t="shared" si="69"/>
        <v>409386.97538080375</v>
      </c>
      <c r="N495">
        <f t="shared" si="70"/>
        <v>1797.1577621223701</v>
      </c>
      <c r="O495">
        <f t="shared" si="71"/>
        <v>663627.23760014796</v>
      </c>
      <c r="P495">
        <f t="shared" si="72"/>
        <v>1.3749</v>
      </c>
      <c r="Q495">
        <f t="shared" si="73"/>
        <v>1.698</v>
      </c>
      <c r="R495">
        <f t="shared" si="74"/>
        <v>3.0728999999999997</v>
      </c>
    </row>
    <row r="496" spans="2:18" x14ac:dyDescent="0.3">
      <c r="B496" s="8">
        <v>1.998</v>
      </c>
      <c r="C496">
        <v>15</v>
      </c>
      <c r="D496" s="8">
        <f>(($B$12*(B496*$B$20)*$B$4*$B$14/3600)/($B$12*(B496*$B$20+1)*$B$4*$B$14/3600))*SQRT($B$25/$B$26)</f>
        <v>5.3351149646267026E-2</v>
      </c>
      <c r="E496" s="8">
        <f t="shared" si="61"/>
        <v>7.1470190020087893E-2</v>
      </c>
      <c r="F496" s="8">
        <f t="shared" si="62"/>
        <v>0.91338060452912195</v>
      </c>
      <c r="G496" s="8">
        <f t="shared" si="63"/>
        <v>2.31</v>
      </c>
      <c r="H496">
        <f t="shared" si="64"/>
        <v>10</v>
      </c>
      <c r="I496">
        <f>(PI()*(G496)*($B$88*10^-3)*$B$89*$B$90*H496)+(_xlfn.FORECAST.LINEAR(39.3701*G496,$B$94:$B$98,$A$94:$A$98))*C496</f>
        <v>1791438.6873275042</v>
      </c>
      <c r="J496">
        <f t="shared" si="66"/>
        <v>803371.92496176227</v>
      </c>
      <c r="K496">
        <f t="shared" si="67"/>
        <v>797305.2582666981</v>
      </c>
      <c r="L496">
        <f t="shared" si="68"/>
        <v>508.51409729728704</v>
      </c>
      <c r="M496">
        <f t="shared" si="69"/>
        <v>410155.50353858108</v>
      </c>
      <c r="N496">
        <f t="shared" si="70"/>
        <v>1800.2589021875485</v>
      </c>
      <c r="O496">
        <f t="shared" si="71"/>
        <v>664778.26540108398</v>
      </c>
      <c r="P496">
        <f t="shared" si="72"/>
        <v>1.3758999999999999</v>
      </c>
      <c r="Q496">
        <f t="shared" si="73"/>
        <v>1.7009000000000001</v>
      </c>
      <c r="R496">
        <f t="shared" si="74"/>
        <v>3.0768</v>
      </c>
    </row>
  </sheetData>
  <dataValidations count="1">
    <dataValidation type="list" allowBlank="1" showInputMessage="1" showErrorMessage="1" sqref="B41" xr:uid="{7A35364E-A324-48FA-8FEC-F5CE8688F038}">
      <formula1>Tray_space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Code Data</vt:lpstr>
      <vt:lpstr>Calculation</vt:lpstr>
      <vt:lpstr>Design_cal</vt:lpstr>
      <vt:lpstr>Cost_table</vt:lpstr>
      <vt:lpstr>Design_cal (3)</vt:lpstr>
      <vt:lpstr>Tray Hydraulics</vt:lpstr>
      <vt:lpstr>Sheet1</vt:lpstr>
      <vt:lpstr>Calculation (2)</vt:lpstr>
      <vt:lpstr>Design_cal (2)</vt:lpstr>
      <vt:lpstr>'Design_cal (2)'!Tray_space</vt:lpstr>
      <vt:lpstr>'Design_cal (3)'!Tray_space</vt:lpstr>
      <vt:lpstr>Tray_space</vt:lpstr>
      <vt:lpstr>'Design_cal (2)'!TS_array</vt:lpstr>
      <vt:lpstr>'Design_cal (3)'!TS_array</vt:lpstr>
      <vt:lpstr>TS_array</vt:lpstr>
      <vt:lpstr>'Design_cal (2)'!TS_constant</vt:lpstr>
      <vt:lpstr>'Design_cal (3)'!TS_constant</vt:lpstr>
      <vt:lpstr>TS_constant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gupta</dc:creator>
  <cp:lastModifiedBy>gopal gupta</cp:lastModifiedBy>
  <cp:lastPrinted>2023-03-02T14:03:18Z</cp:lastPrinted>
  <dcterms:created xsi:type="dcterms:W3CDTF">2023-01-14T06:03:55Z</dcterms:created>
  <dcterms:modified xsi:type="dcterms:W3CDTF">2023-03-02T14:16:42Z</dcterms:modified>
</cp:coreProperties>
</file>