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ITKGP\Skill\Finance\Finance Modeling\Course_4\Module-4\"/>
    </mc:Choice>
  </mc:AlternateContent>
  <xr:revisionPtr revIDLastSave="0" documentId="13_ncr:1_{EA73B3A1-9FF3-43EE-AF78-60C5A4791AAA}" xr6:coauthVersionLast="47" xr6:coauthVersionMax="47" xr10:uidLastSave="{00000000-0000-0000-0000-000000000000}"/>
  <bookViews>
    <workbookView xWindow="-108" yWindow="-108" windowWidth="23256" windowHeight="12456" xr2:uid="{80BFBF7E-9C9E-48C1-A036-DE952001940E}"/>
  </bookViews>
  <sheets>
    <sheet name="Model- New Venture Capital" sheetId="1" r:id="rId1"/>
    <sheet name="Scenario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9" i="1" l="1"/>
  <c r="G99" i="1" s="1"/>
  <c r="H99" i="1" s="1"/>
  <c r="I99" i="1" s="1"/>
  <c r="J99" i="1" s="1"/>
  <c r="K99" i="1" s="1"/>
  <c r="L99" i="1" s="1"/>
  <c r="E99" i="1"/>
  <c r="B38" i="1"/>
  <c r="B10" i="2"/>
  <c r="A10" i="2"/>
  <c r="B9" i="2"/>
  <c r="C9" i="2"/>
  <c r="A9" i="2"/>
  <c r="A5" i="2"/>
  <c r="A4" i="2"/>
  <c r="A3" i="2"/>
  <c r="F147" i="1"/>
  <c r="G148" i="1"/>
  <c r="H148" i="1"/>
  <c r="I148" i="1"/>
  <c r="J148" i="1"/>
  <c r="K148" i="1"/>
  <c r="L148" i="1"/>
  <c r="F143" i="1"/>
  <c r="G143" i="1"/>
  <c r="H143" i="1"/>
  <c r="I143" i="1"/>
  <c r="J143" i="1"/>
  <c r="K143" i="1"/>
  <c r="L143" i="1"/>
  <c r="E143" i="1"/>
  <c r="D118" i="1"/>
  <c r="D113" i="1"/>
  <c r="E110" i="1"/>
  <c r="D103" i="1"/>
  <c r="D133" i="1" s="1"/>
  <c r="D136" i="1" s="1"/>
  <c r="D102" i="1"/>
  <c r="E101" i="1"/>
  <c r="E127" i="1" s="1"/>
  <c r="D99" i="1"/>
  <c r="K90" i="1"/>
  <c r="K150" i="1" s="1"/>
  <c r="J90" i="1"/>
  <c r="J150" i="1" s="1"/>
  <c r="F90" i="1"/>
  <c r="F150" i="1" s="1"/>
  <c r="G90" i="1"/>
  <c r="G150" i="1" s="1"/>
  <c r="H90" i="1"/>
  <c r="H150" i="1" s="1"/>
  <c r="I90" i="1"/>
  <c r="I150" i="1" s="1"/>
  <c r="E90" i="1"/>
  <c r="E150" i="1" s="1"/>
  <c r="E89" i="1"/>
  <c r="E111" i="1" s="1"/>
  <c r="E129" i="1" s="1"/>
  <c r="F89" i="1"/>
  <c r="F111" i="1" s="1"/>
  <c r="F129" i="1" s="1"/>
  <c r="F88" i="1"/>
  <c r="F148" i="1" s="1"/>
  <c r="E88" i="1"/>
  <c r="E148" i="1" s="1"/>
  <c r="L87" i="1"/>
  <c r="L125" i="1" s="1"/>
  <c r="F76" i="1"/>
  <c r="F110" i="1" s="1"/>
  <c r="F77" i="1"/>
  <c r="F78" i="1"/>
  <c r="F101" i="1" s="1"/>
  <c r="F127" i="1" s="1"/>
  <c r="F75" i="1"/>
  <c r="F72" i="1"/>
  <c r="L72" i="1"/>
  <c r="E72" i="1"/>
  <c r="E70" i="1"/>
  <c r="F69" i="1"/>
  <c r="E69" i="1"/>
  <c r="F67" i="1"/>
  <c r="G68" i="1" s="1"/>
  <c r="E67" i="1"/>
  <c r="F68" i="1" s="1"/>
  <c r="F65" i="1"/>
  <c r="F84" i="1" s="1"/>
  <c r="E65" i="1"/>
  <c r="E84" i="1" s="1"/>
  <c r="G64" i="1"/>
  <c r="G63" i="1"/>
  <c r="G89" i="1" s="1"/>
  <c r="F61" i="1"/>
  <c r="G61" i="1"/>
  <c r="G147" i="1" s="1"/>
  <c r="H61" i="1"/>
  <c r="H147" i="1" s="1"/>
  <c r="I61" i="1"/>
  <c r="I147" i="1" s="1"/>
  <c r="J61" i="1"/>
  <c r="J147" i="1" s="1"/>
  <c r="K61" i="1"/>
  <c r="K147" i="1" s="1"/>
  <c r="L61" i="1"/>
  <c r="L147" i="1" s="1"/>
  <c r="E61" i="1"/>
  <c r="E147" i="1" s="1"/>
  <c r="F60" i="1"/>
  <c r="F87" i="1" s="1"/>
  <c r="F125" i="1" s="1"/>
  <c r="G60" i="1"/>
  <c r="G87" i="1" s="1"/>
  <c r="G125" i="1" s="1"/>
  <c r="H60" i="1"/>
  <c r="H87" i="1" s="1"/>
  <c r="H125" i="1" s="1"/>
  <c r="I60" i="1"/>
  <c r="I87" i="1" s="1"/>
  <c r="I125" i="1" s="1"/>
  <c r="J60" i="1"/>
  <c r="J87" i="1" s="1"/>
  <c r="J125" i="1" s="1"/>
  <c r="K60" i="1"/>
  <c r="K87" i="1" s="1"/>
  <c r="K125" i="1" s="1"/>
  <c r="E60" i="1"/>
  <c r="E87" i="1" s="1"/>
  <c r="E100" i="1" l="1"/>
  <c r="E102" i="1" s="1"/>
  <c r="H63" i="1"/>
  <c r="G75" i="1"/>
  <c r="D120" i="1"/>
  <c r="F70" i="1"/>
  <c r="G65" i="1"/>
  <c r="G84" i="1" s="1"/>
  <c r="G100" i="1" s="1"/>
  <c r="H64" i="1"/>
  <c r="I64" i="1" s="1"/>
  <c r="J64" i="1" s="1"/>
  <c r="G72" i="1"/>
  <c r="F100" i="1"/>
  <c r="F144" i="1"/>
  <c r="F113" i="1"/>
  <c r="F128" i="1"/>
  <c r="E126" i="1"/>
  <c r="E113" i="1"/>
  <c r="G111" i="1"/>
  <c r="G129" i="1" s="1"/>
  <c r="G149" i="1"/>
  <c r="E125" i="1"/>
  <c r="E104" i="1"/>
  <c r="F104" i="1" s="1"/>
  <c r="G104" i="1" s="1"/>
  <c r="H104" i="1" s="1"/>
  <c r="I104" i="1" s="1"/>
  <c r="J104" i="1" s="1"/>
  <c r="K104" i="1" s="1"/>
  <c r="G69" i="1"/>
  <c r="D105" i="1"/>
  <c r="D106" i="1" s="1"/>
  <c r="E103" i="1"/>
  <c r="E149" i="1"/>
  <c r="E144" i="1"/>
  <c r="F149" i="1"/>
  <c r="E128" i="1"/>
  <c r="G67" i="1"/>
  <c r="E85" i="1"/>
  <c r="F85" i="1"/>
  <c r="H72" i="1" l="1"/>
  <c r="I72" i="1"/>
  <c r="G77" i="1"/>
  <c r="G85" i="1" s="1"/>
  <c r="G86" i="1" s="1"/>
  <c r="G144" i="1"/>
  <c r="I63" i="1"/>
  <c r="H69" i="1"/>
  <c r="H65" i="1"/>
  <c r="H84" i="1" s="1"/>
  <c r="H100" i="1" s="1"/>
  <c r="H89" i="1"/>
  <c r="H149" i="1" s="1"/>
  <c r="H67" i="1"/>
  <c r="I68" i="1" s="1"/>
  <c r="F102" i="1"/>
  <c r="F126" i="1"/>
  <c r="E86" i="1"/>
  <c r="E145" i="1"/>
  <c r="H68" i="1"/>
  <c r="G70" i="1"/>
  <c r="G76" i="1" s="1"/>
  <c r="F103" i="1"/>
  <c r="E105" i="1"/>
  <c r="E106" i="1" s="1"/>
  <c r="F86" i="1"/>
  <c r="F145" i="1"/>
  <c r="G126" i="1"/>
  <c r="K64" i="1"/>
  <c r="J72" i="1"/>
  <c r="H77" i="1" l="1"/>
  <c r="H85" i="1" s="1"/>
  <c r="H145" i="1" s="1"/>
  <c r="G145" i="1"/>
  <c r="H144" i="1"/>
  <c r="H111" i="1"/>
  <c r="H129" i="1" s="1"/>
  <c r="J63" i="1"/>
  <c r="I67" i="1"/>
  <c r="I69" i="1"/>
  <c r="I77" i="1" s="1"/>
  <c r="I85" i="1" s="1"/>
  <c r="I145" i="1" s="1"/>
  <c r="I89" i="1"/>
  <c r="I65" i="1"/>
  <c r="I84" i="1" s="1"/>
  <c r="H70" i="1"/>
  <c r="H76" i="1" s="1"/>
  <c r="H110" i="1" s="1"/>
  <c r="G103" i="1"/>
  <c r="F105" i="1"/>
  <c r="E91" i="1"/>
  <c r="E146" i="1"/>
  <c r="E151" i="1" s="1"/>
  <c r="E152" i="1" s="1"/>
  <c r="E92" i="1" s="1"/>
  <c r="F106" i="1"/>
  <c r="F91" i="1"/>
  <c r="F146" i="1"/>
  <c r="F151" i="1" s="1"/>
  <c r="F152" i="1" s="1"/>
  <c r="F92" i="1" s="1"/>
  <c r="H126" i="1"/>
  <c r="G91" i="1"/>
  <c r="G146" i="1"/>
  <c r="G151" i="1" s="1"/>
  <c r="G152" i="1" s="1"/>
  <c r="G92" i="1" s="1"/>
  <c r="G110" i="1"/>
  <c r="G78" i="1"/>
  <c r="K72" i="1"/>
  <c r="F93" i="1" l="1"/>
  <c r="F124" i="1" s="1"/>
  <c r="F131" i="1" s="1"/>
  <c r="F136" i="1" s="1"/>
  <c r="H86" i="1"/>
  <c r="H91" i="1" s="1"/>
  <c r="I86" i="1"/>
  <c r="I91" i="1" s="1"/>
  <c r="E93" i="1"/>
  <c r="E117" i="1" s="1"/>
  <c r="K63" i="1"/>
  <c r="J89" i="1"/>
  <c r="J69" i="1"/>
  <c r="J77" i="1" s="1"/>
  <c r="J85" i="1" s="1"/>
  <c r="J145" i="1" s="1"/>
  <c r="J67" i="1"/>
  <c r="K68" i="1" s="1"/>
  <c r="J65" i="1"/>
  <c r="J84" i="1" s="1"/>
  <c r="I100" i="1"/>
  <c r="I126" i="1" s="1"/>
  <c r="I144" i="1"/>
  <c r="I149" i="1"/>
  <c r="I111" i="1"/>
  <c r="I129" i="1" s="1"/>
  <c r="I70" i="1"/>
  <c r="I76" i="1" s="1"/>
  <c r="I110" i="1" s="1"/>
  <c r="J68" i="1"/>
  <c r="H103" i="1"/>
  <c r="G105" i="1"/>
  <c r="H75" i="1"/>
  <c r="H78" i="1" s="1"/>
  <c r="G101" i="1"/>
  <c r="G113" i="1"/>
  <c r="G128" i="1"/>
  <c r="H113" i="1"/>
  <c r="H128" i="1"/>
  <c r="G93" i="1"/>
  <c r="G124" i="1" s="1"/>
  <c r="H146" i="1" l="1"/>
  <c r="H151" i="1" s="1"/>
  <c r="H152" i="1" s="1"/>
  <c r="H92" i="1" s="1"/>
  <c r="H93" i="1" s="1"/>
  <c r="H124" i="1" s="1"/>
  <c r="I146" i="1"/>
  <c r="I151" i="1" s="1"/>
  <c r="I152" i="1" s="1"/>
  <c r="I92" i="1" s="1"/>
  <c r="I93" i="1" s="1"/>
  <c r="I124" i="1" s="1"/>
  <c r="I113" i="1"/>
  <c r="I128" i="1"/>
  <c r="J70" i="1"/>
  <c r="J76" i="1" s="1"/>
  <c r="J110" i="1" s="1"/>
  <c r="J128" i="1" s="1"/>
  <c r="E124" i="1"/>
  <c r="E131" i="1" s="1"/>
  <c r="E136" i="1" s="1"/>
  <c r="J144" i="1"/>
  <c r="J100" i="1"/>
  <c r="J126" i="1" s="1"/>
  <c r="J149" i="1"/>
  <c r="J111" i="1"/>
  <c r="J86" i="1"/>
  <c r="J91" i="1" s="1"/>
  <c r="K69" i="1"/>
  <c r="K77" i="1" s="1"/>
  <c r="K85" i="1" s="1"/>
  <c r="K145" i="1" s="1"/>
  <c r="K67" i="1"/>
  <c r="K89" i="1"/>
  <c r="K65" i="1"/>
  <c r="K84" i="1" s="1"/>
  <c r="G127" i="1"/>
  <c r="G131" i="1" s="1"/>
  <c r="G136" i="1" s="1"/>
  <c r="G102" i="1"/>
  <c r="G106" i="1" s="1"/>
  <c r="I75" i="1"/>
  <c r="I78" i="1" s="1"/>
  <c r="H101" i="1"/>
  <c r="F117" i="1"/>
  <c r="E118" i="1"/>
  <c r="E120" i="1" s="1"/>
  <c r="I103" i="1"/>
  <c r="H105" i="1"/>
  <c r="J146" i="1" l="1"/>
  <c r="J151" i="1" s="1"/>
  <c r="J152" i="1" s="1"/>
  <c r="J92" i="1" s="1"/>
  <c r="J93" i="1" s="1"/>
  <c r="J124" i="1" s="1"/>
  <c r="J113" i="1"/>
  <c r="J129" i="1"/>
  <c r="K144" i="1"/>
  <c r="K100" i="1"/>
  <c r="K149" i="1"/>
  <c r="K111" i="1"/>
  <c r="K129" i="1" s="1"/>
  <c r="L68" i="1"/>
  <c r="L63" i="1" s="1"/>
  <c r="K70" i="1"/>
  <c r="K76" i="1" s="1"/>
  <c r="K110" i="1" s="1"/>
  <c r="K86" i="1"/>
  <c r="K146" i="1" s="1"/>
  <c r="J103" i="1"/>
  <c r="I105" i="1"/>
  <c r="H127" i="1"/>
  <c r="H131" i="1" s="1"/>
  <c r="H136" i="1" s="1"/>
  <c r="H102" i="1"/>
  <c r="H106" i="1" s="1"/>
  <c r="J75" i="1"/>
  <c r="J78" i="1" s="1"/>
  <c r="I101" i="1"/>
  <c r="G117" i="1"/>
  <c r="F118" i="1"/>
  <c r="F120" i="1" s="1"/>
  <c r="K91" i="1" l="1"/>
  <c r="K151" i="1"/>
  <c r="K152" i="1" s="1"/>
  <c r="K92" i="1" s="1"/>
  <c r="L89" i="1"/>
  <c r="L69" i="1"/>
  <c r="L70" i="1" s="1"/>
  <c r="L76" i="1" s="1"/>
  <c r="L110" i="1" s="1"/>
  <c r="L128" i="1" s="1"/>
  <c r="K128" i="1"/>
  <c r="K113" i="1"/>
  <c r="L126" i="1"/>
  <c r="K126" i="1"/>
  <c r="H117" i="1"/>
  <c r="G118" i="1"/>
  <c r="G120" i="1" s="1"/>
  <c r="I127" i="1"/>
  <c r="I131" i="1" s="1"/>
  <c r="I136" i="1" s="1"/>
  <c r="I102" i="1"/>
  <c r="I106" i="1" s="1"/>
  <c r="K75" i="1"/>
  <c r="K78" i="1" s="1"/>
  <c r="J101" i="1"/>
  <c r="K103" i="1"/>
  <c r="K105" i="1" s="1"/>
  <c r="J105" i="1"/>
  <c r="L90" i="1" l="1"/>
  <c r="L150" i="1" s="1"/>
  <c r="L130" i="1"/>
  <c r="L134" i="1" s="1"/>
  <c r="N139" i="1"/>
  <c r="L139" i="1" s="1"/>
  <c r="K93" i="1"/>
  <c r="K124" i="1" s="1"/>
  <c r="L111" i="1"/>
  <c r="L149" i="1"/>
  <c r="J127" i="1"/>
  <c r="J131" i="1" s="1"/>
  <c r="J136" i="1" s="1"/>
  <c r="J102" i="1"/>
  <c r="J106" i="1" s="1"/>
  <c r="L75" i="1"/>
  <c r="K101" i="1"/>
  <c r="L77" i="1"/>
  <c r="L85" i="1" s="1"/>
  <c r="L145" i="1" s="1"/>
  <c r="L65" i="1"/>
  <c r="L84" i="1" s="1"/>
  <c r="I117" i="1"/>
  <c r="H118" i="1"/>
  <c r="H120" i="1" s="1"/>
  <c r="L113" i="1" l="1"/>
  <c r="L129" i="1"/>
  <c r="J117" i="1"/>
  <c r="I118" i="1"/>
  <c r="I120" i="1" s="1"/>
  <c r="L78" i="1"/>
  <c r="L101" i="1" s="1"/>
  <c r="L144" i="1"/>
  <c r="L86" i="1"/>
  <c r="K127" i="1"/>
  <c r="K131" i="1" s="1"/>
  <c r="K136" i="1" s="1"/>
  <c r="K102" i="1"/>
  <c r="K106" i="1" s="1"/>
  <c r="N138" i="1" l="1"/>
  <c r="L138" i="1" s="1"/>
  <c r="G139" i="1"/>
  <c r="K117" i="1"/>
  <c r="J118" i="1"/>
  <c r="J120" i="1" s="1"/>
  <c r="L146" i="1"/>
  <c r="L151" i="1" s="1"/>
  <c r="L152" i="1" s="1"/>
  <c r="L92" i="1" s="1"/>
  <c r="L91" i="1"/>
  <c r="L127" i="1"/>
  <c r="L102" i="1"/>
  <c r="L106" i="1" s="1"/>
  <c r="L93" i="1" l="1"/>
  <c r="L124" i="1" s="1"/>
  <c r="L131" i="1" s="1"/>
  <c r="L136" i="1" s="1"/>
  <c r="K118" i="1"/>
  <c r="K120" i="1" s="1"/>
  <c r="B138" i="1" l="1"/>
  <c r="B139" i="1" s="1"/>
  <c r="B141" i="1"/>
  <c r="L117" i="1"/>
  <c r="L118" i="1" s="1"/>
  <c r="L120" i="1" s="1"/>
</calcChain>
</file>

<file path=xl/sharedStrings.xml><?xml version="1.0" encoding="utf-8"?>
<sst xmlns="http://schemas.openxmlformats.org/spreadsheetml/2006/main" count="133" uniqueCount="117">
  <si>
    <t>Discount Rate</t>
  </si>
  <si>
    <t>ASSUMPTIONS</t>
  </si>
  <si>
    <t>Tax Rate</t>
  </si>
  <si>
    <t>Investment/Start Up Phase(Years 1 and 2)</t>
  </si>
  <si>
    <t>Initial Investment in PPE (paid in cash)</t>
  </si>
  <si>
    <t>Residual Value for Depreciation Purposes</t>
  </si>
  <si>
    <t>Useful Life in Years</t>
  </si>
  <si>
    <t>R&amp;D per year during Startup Phase (in cash and expensed)</t>
  </si>
  <si>
    <t>Initial Sales Volume (in Units) - Start in Year 3</t>
  </si>
  <si>
    <t>Sales Growth Rate per year</t>
  </si>
  <si>
    <t>Sales Price Per Unit</t>
  </si>
  <si>
    <t>Product Gross Margin Pct</t>
  </si>
  <si>
    <t>Inflation Rate for Sales and COGS</t>
  </si>
  <si>
    <t>SG&amp;A - Fixed Costs per year (not subject to Inflation) - Start in Year 1</t>
  </si>
  <si>
    <t>SG&amp;A - Variable Costs per year (not subject to Inflation) - Start in Year 3 because there is no sales until then</t>
  </si>
  <si>
    <t>Working Capital Timing Issues</t>
  </si>
  <si>
    <t>Collections</t>
  </si>
  <si>
    <t xml:space="preserve">     In Year of Sales</t>
  </si>
  <si>
    <t xml:space="preserve">     Following year</t>
  </si>
  <si>
    <t>Desired Units of Inventory as a percent of that year's sales</t>
  </si>
  <si>
    <t>Payments on Purchases made this year</t>
  </si>
  <si>
    <t xml:space="preserve">     Percent Paid this year</t>
  </si>
  <si>
    <t xml:space="preserve">     Percent Paid next year</t>
  </si>
  <si>
    <t>Payments to the Employee for compensation and Benefits earned this year</t>
  </si>
  <si>
    <t>Terminations / Shut Down Phase -- year -8</t>
  </si>
  <si>
    <t>Proceeds from Disposal of PPE</t>
  </si>
  <si>
    <t>Other Disposal or Cleanup Cost</t>
  </si>
  <si>
    <t>Markup Over Cost for Sale of Ending Inventory</t>
  </si>
  <si>
    <t>Fixed SG&amp;A Costs During this Phase</t>
  </si>
  <si>
    <t>Variable SG&amp;A Costs During this Phase</t>
  </si>
  <si>
    <t>Tax Depreciation Percentage</t>
  </si>
  <si>
    <t>Intermediate Calculations</t>
  </si>
  <si>
    <t>Book Depreciation Per year</t>
  </si>
  <si>
    <t>Tax Depreciation per year</t>
  </si>
  <si>
    <t>Sales Volume (Growth Built in)</t>
  </si>
  <si>
    <t>Sale Price (Inflation Built in)</t>
  </si>
  <si>
    <t>Sales Revenue</t>
  </si>
  <si>
    <t>Desired Inventory in Units @ End of Year</t>
  </si>
  <si>
    <t>Inventory in Units @ Beg of Year</t>
  </si>
  <si>
    <t>Forecasted Sales in Units</t>
  </si>
  <si>
    <t>Production in Units</t>
  </si>
  <si>
    <t>Production Costs Per Unit (inflation built in)</t>
  </si>
  <si>
    <t>Inventory in Dollars @ Beg of Year</t>
  </si>
  <si>
    <t>Production Costs This year</t>
  </si>
  <si>
    <t>Cost of Goods Sold (LIFO)</t>
  </si>
  <si>
    <t>Inventory in Dollars @ End of Year (LIFO)</t>
  </si>
  <si>
    <t>Income Statement</t>
  </si>
  <si>
    <t>Cost of Good Sold</t>
  </si>
  <si>
    <t>Gross Margin</t>
  </si>
  <si>
    <t xml:space="preserve">    Depriciation Expense</t>
  </si>
  <si>
    <t xml:space="preserve">    Research &amp; Development</t>
  </si>
  <si>
    <t xml:space="preserve">    SG&amp;A</t>
  </si>
  <si>
    <t xml:space="preserve">    Other Losses (Gains)</t>
  </si>
  <si>
    <t>Pre Tax Income (Loss)</t>
  </si>
  <si>
    <t>Tax Expense (Benefit)</t>
  </si>
  <si>
    <t>Net Income</t>
  </si>
  <si>
    <t>Net Income (Loss)</t>
  </si>
  <si>
    <t>Balance Sheet</t>
  </si>
  <si>
    <t>Assets</t>
  </si>
  <si>
    <t>Current Assets</t>
  </si>
  <si>
    <t xml:space="preserve">    Cash</t>
  </si>
  <si>
    <t xml:space="preserve">    Account Receivable</t>
  </si>
  <si>
    <t xml:space="preserve">    Inventory</t>
  </si>
  <si>
    <t>Total Current Assets</t>
  </si>
  <si>
    <t xml:space="preserve">     Property Plant and Equipment</t>
  </si>
  <si>
    <t xml:space="preserve">     Less Accumulated Depreciation</t>
  </si>
  <si>
    <t>Long Term Assets</t>
  </si>
  <si>
    <t>Total Assets</t>
  </si>
  <si>
    <t>Liabilities</t>
  </si>
  <si>
    <t>Current Liabilities</t>
  </si>
  <si>
    <t xml:space="preserve">     Accounts Payable</t>
  </si>
  <si>
    <t xml:space="preserve">     Wages and Benefits Payable</t>
  </si>
  <si>
    <t xml:space="preserve">     Other Liabilties</t>
  </si>
  <si>
    <t>Total Liabilites</t>
  </si>
  <si>
    <t>Owners Equity</t>
  </si>
  <si>
    <t xml:space="preserve">     Contributed Capital</t>
  </si>
  <si>
    <t xml:space="preserve">     Retained Earnings</t>
  </si>
  <si>
    <t>Total Owners Equity</t>
  </si>
  <si>
    <t>Total Liabilties and Owners Equity</t>
  </si>
  <si>
    <t>Income for Tax Purposes</t>
  </si>
  <si>
    <t>Cost of Goods Sold</t>
  </si>
  <si>
    <t xml:space="preserve">   Depreciation Expense</t>
  </si>
  <si>
    <t xml:space="preserve">   Research &amp; Development</t>
  </si>
  <si>
    <t xml:space="preserve">   SG&amp;A</t>
  </si>
  <si>
    <t xml:space="preserve">   Other Losses (Gains)</t>
  </si>
  <si>
    <t xml:space="preserve">   Pre-tax Income (Loss(</t>
  </si>
  <si>
    <t xml:space="preserve">      Tax Expense (Benefit)</t>
  </si>
  <si>
    <t>CASH FLOW STATEMENT</t>
  </si>
  <si>
    <t>Add Depreciation</t>
  </si>
  <si>
    <t>Minus Change in Acc Receivable</t>
  </si>
  <si>
    <t>Minus Change in Inventory</t>
  </si>
  <si>
    <t>Plus Change in Acc payable</t>
  </si>
  <si>
    <t>Plus Change in Wages payable</t>
  </si>
  <si>
    <t>Others</t>
  </si>
  <si>
    <t>Cash From Operation</t>
  </si>
  <si>
    <t>Investment in PPE</t>
  </si>
  <si>
    <t>Disposal of PPE</t>
  </si>
  <si>
    <t>Net Cash Inflow (Outflow)</t>
  </si>
  <si>
    <t>NPV</t>
  </si>
  <si>
    <t>NPV of Future Cashflows</t>
  </si>
  <si>
    <t>NPV Including Initial Investment</t>
  </si>
  <si>
    <t>Internal Rate of Return</t>
  </si>
  <si>
    <t>Scenario 1</t>
  </si>
  <si>
    <t>Sales Volume in units per year</t>
  </si>
  <si>
    <t>IRR</t>
  </si>
  <si>
    <t>For What value of Sales volume does NPV = 0</t>
  </si>
  <si>
    <t>Scenario 2</t>
  </si>
  <si>
    <t>Profit Margin Percentage</t>
  </si>
  <si>
    <t>Original</t>
  </si>
  <si>
    <t>Breakeven</t>
  </si>
  <si>
    <t>Scenarios 3</t>
  </si>
  <si>
    <t>Growths in Sales Volume Per year</t>
  </si>
  <si>
    <t>New</t>
  </si>
  <si>
    <t>Scenarios 4</t>
  </si>
  <si>
    <t>original</t>
  </si>
  <si>
    <t>Inflation Rate per year</t>
  </si>
  <si>
    <t>Other Scenarios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</si>
</sst>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₹&quot;\ * #,##0.00_ ;_ &quot;₹&quot;\ * \-#,##0.00_ ;_ &quot;₹&quot;\ * &quot;-&quot;??_ ;_ @_ "/>
    <numFmt numFmtId="164" formatCode="_-[$$-409]* #,##0.00_ ;_-[$$-409]* \-#,##0.00\ ;_-[$$-409]* &quot;-&quot;??_ ;_-@_ "/>
    <numFmt numFmtId="165" formatCode="&quot;$&quot;#,##0_);\(&quot;$&quot;#,##0\)"/>
    <numFmt numFmtId="166" formatCode="&quot;$&quot;#,##0.00_);\(&quot;$&quot;#,##0.00\)"/>
  </numFmts>
  <fonts count="1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u/>
      <sz val="16"/>
      <color theme="1"/>
      <name val="Calibri"/>
      <family val="2"/>
      <scheme val="minor"/>
    </font>
    <font>
      <u val="singleAccounting"/>
      <sz val="16"/>
      <color theme="1"/>
      <name val="Calibri"/>
      <family val="2"/>
      <scheme val="minor"/>
    </font>
    <font>
      <sz val="14"/>
      <color theme="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A766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36">
    <xf numFmtId="0" fontId="0" fillId="0" borderId="0" xfId="0"/>
    <xf numFmtId="0" fontId="3" fillId="3" borderId="0" xfId="0" applyFont="1" applyFill="1"/>
    <xf numFmtId="0" fontId="5" fillId="0" borderId="0" xfId="0" applyFont="1"/>
    <xf numFmtId="0" fontId="6" fillId="0" borderId="0" xfId="0" applyFont="1"/>
    <xf numFmtId="0" fontId="6" fillId="4" borderId="0" xfId="0" applyFont="1" applyFill="1"/>
    <xf numFmtId="0" fontId="7" fillId="0" borderId="0" xfId="0" applyFont="1"/>
    <xf numFmtId="0" fontId="3" fillId="0" borderId="0" xfId="0" applyFont="1"/>
    <xf numFmtId="164" fontId="7" fillId="0" borderId="0" xfId="0" applyNumberFormat="1" applyFont="1"/>
    <xf numFmtId="165" fontId="7" fillId="0" borderId="0" xfId="0" applyNumberFormat="1" applyFont="1"/>
    <xf numFmtId="0" fontId="7" fillId="0" borderId="0" xfId="0" applyFont="1" applyAlignment="1">
      <alignment wrapText="1"/>
    </xf>
    <xf numFmtId="0" fontId="5" fillId="2" borderId="0" xfId="0" applyFont="1" applyFill="1"/>
    <xf numFmtId="0" fontId="7" fillId="2" borderId="0" xfId="0" applyFont="1" applyFill="1"/>
    <xf numFmtId="10" fontId="7" fillId="2" borderId="0" xfId="0" applyNumberFormat="1" applyFont="1" applyFill="1"/>
    <xf numFmtId="164" fontId="7" fillId="2" borderId="0" xfId="0" applyNumberFormat="1" applyFont="1" applyFill="1"/>
    <xf numFmtId="0" fontId="7" fillId="2" borderId="0" xfId="0" applyFont="1" applyFill="1" applyAlignment="1">
      <alignment wrapText="1"/>
    </xf>
    <xf numFmtId="0" fontId="3" fillId="2" borderId="0" xfId="0" applyFont="1" applyFill="1"/>
    <xf numFmtId="9" fontId="7" fillId="2" borderId="0" xfId="0" applyNumberFormat="1" applyFont="1" applyFill="1"/>
    <xf numFmtId="164" fontId="7" fillId="0" borderId="0" xfId="1" applyNumberFormat="1" applyFont="1"/>
    <xf numFmtId="0" fontId="5" fillId="4" borderId="0" xfId="0" applyFont="1" applyFill="1"/>
    <xf numFmtId="165" fontId="8" fillId="0" borderId="0" xfId="0" applyNumberFormat="1" applyFont="1"/>
    <xf numFmtId="0" fontId="9" fillId="0" borderId="0" xfId="0" applyFont="1"/>
    <xf numFmtId="165" fontId="9" fillId="0" borderId="0" xfId="0" applyNumberFormat="1" applyFont="1"/>
    <xf numFmtId="0" fontId="10" fillId="0" borderId="0" xfId="0" applyFont="1"/>
    <xf numFmtId="165" fontId="11" fillId="0" borderId="0" xfId="0" applyNumberFormat="1" applyFont="1"/>
    <xf numFmtId="0" fontId="4" fillId="0" borderId="0" xfId="0" applyFont="1"/>
    <xf numFmtId="165" fontId="10" fillId="0" borderId="0" xfId="0" applyNumberFormat="1" applyFont="1"/>
    <xf numFmtId="0" fontId="4" fillId="5" borderId="0" xfId="0" applyFont="1" applyFill="1"/>
    <xf numFmtId="166" fontId="7" fillId="0" borderId="0" xfId="0" applyNumberFormat="1" applyFont="1"/>
    <xf numFmtId="9" fontId="7" fillId="0" borderId="0" xfId="0" applyNumberFormat="1" applyFont="1"/>
    <xf numFmtId="10" fontId="7" fillId="0" borderId="0" xfId="0" applyNumberFormat="1" applyFont="1"/>
    <xf numFmtId="0" fontId="7" fillId="6" borderId="0" xfId="0" applyFont="1" applyFill="1"/>
    <xf numFmtId="166" fontId="7" fillId="6" borderId="0" xfId="0" applyNumberFormat="1" applyFont="1" applyFill="1"/>
    <xf numFmtId="10" fontId="7" fillId="6" borderId="0" xfId="0" applyNumberFormat="1" applyFont="1" applyFill="1"/>
    <xf numFmtId="0" fontId="12" fillId="0" borderId="0" xfId="0" applyFont="1"/>
    <xf numFmtId="165" fontId="12" fillId="0" borderId="0" xfId="0" applyNumberFormat="1" applyFont="1"/>
    <xf numFmtId="165" fontId="3" fillId="0" borderId="0" xfId="0" applyNumberFormat="1" applyFont="1"/>
  </cellXfs>
  <cellStyles count="3">
    <cellStyle name="Currency" xfId="1" builtinId="4"/>
    <cellStyle name="Currency 2" xfId="2" xr:uid="{9C5EB972-33A0-4AF5-B0E1-2BAA63BAEE95}"/>
    <cellStyle name="Normal" xfId="0" builtinId="0"/>
  </cellStyles>
  <dxfs count="0"/>
  <tableStyles count="0" defaultTableStyle="TableStyleMedium2" defaultPivotStyle="PivotStyleLight16"/>
  <colors>
    <mruColors>
      <color rgb="FFFA766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38101</xdr:rowOff>
    </xdr:from>
    <xdr:to>
      <xdr:col>5</xdr:col>
      <xdr:colOff>214862</xdr:colOff>
      <xdr:row>9</xdr:row>
      <xdr:rowOff>129078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97BF62C-BD0D-0D3C-35E3-C39A911302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8101"/>
          <a:ext cx="6192097" cy="2148839"/>
        </a:xfrm>
        <a:prstGeom prst="rect">
          <a:avLst/>
        </a:prstGeom>
      </xdr:spPr>
    </xdr:pic>
    <xdr:clientData/>
  </xdr:twoCellAnchor>
  <xdr:twoCellAnchor>
    <xdr:from>
      <xdr:col>5</xdr:col>
      <xdr:colOff>115455</xdr:colOff>
      <xdr:row>97</xdr:row>
      <xdr:rowOff>92364</xdr:rowOff>
    </xdr:from>
    <xdr:to>
      <xdr:col>7</xdr:col>
      <xdr:colOff>161636</xdr:colOff>
      <xdr:row>102</xdr:row>
      <xdr:rowOff>130848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98B91D8D-8FE3-3D06-37B2-A4478D99EF2C}"/>
            </a:ext>
          </a:extLst>
        </xdr:cNvPr>
        <xdr:cNvSpPr/>
      </xdr:nvSpPr>
      <xdr:spPr>
        <a:xfrm>
          <a:off x="6088303" y="24953576"/>
          <a:ext cx="2201333" cy="1385454"/>
        </a:xfrm>
        <a:prstGeom prst="ellipse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5</xdr:col>
      <xdr:colOff>213976</xdr:colOff>
      <xdr:row>107</xdr:row>
      <xdr:rowOff>221672</xdr:rowOff>
    </xdr:from>
    <xdr:to>
      <xdr:col>7</xdr:col>
      <xdr:colOff>260157</xdr:colOff>
      <xdr:row>112</xdr:row>
      <xdr:rowOff>260157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BE51A490-36D3-48A1-99E3-CD1A867F52B0}"/>
            </a:ext>
          </a:extLst>
        </xdr:cNvPr>
        <xdr:cNvSpPr/>
      </xdr:nvSpPr>
      <xdr:spPr>
        <a:xfrm>
          <a:off x="6186824" y="27738339"/>
          <a:ext cx="2201333" cy="1385454"/>
        </a:xfrm>
        <a:prstGeom prst="ellipse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10</xdr:col>
      <xdr:colOff>184727</xdr:colOff>
      <xdr:row>107</xdr:row>
      <xdr:rowOff>115454</xdr:rowOff>
    </xdr:from>
    <xdr:to>
      <xdr:col>12</xdr:col>
      <xdr:colOff>123150</xdr:colOff>
      <xdr:row>112</xdr:row>
      <xdr:rowOff>153939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C3D62CA6-38F7-459E-A08E-3650BB65CBF2}"/>
            </a:ext>
          </a:extLst>
        </xdr:cNvPr>
        <xdr:cNvSpPr/>
      </xdr:nvSpPr>
      <xdr:spPr>
        <a:xfrm>
          <a:off x="11753272" y="27632121"/>
          <a:ext cx="2201333" cy="1385454"/>
        </a:xfrm>
        <a:prstGeom prst="ellipse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c</a:t>
          </a:r>
        </a:p>
      </xdr:txBody>
    </xdr:sp>
    <xdr:clientData/>
  </xdr:twoCellAnchor>
  <xdr:twoCellAnchor>
    <xdr:from>
      <xdr:col>10</xdr:col>
      <xdr:colOff>100060</xdr:colOff>
      <xdr:row>97</xdr:row>
      <xdr:rowOff>146243</xdr:rowOff>
    </xdr:from>
    <xdr:to>
      <xdr:col>12</xdr:col>
      <xdr:colOff>38483</xdr:colOff>
      <xdr:row>102</xdr:row>
      <xdr:rowOff>184727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397CBA6A-60F1-4642-A63C-1555FE7452ED}"/>
            </a:ext>
          </a:extLst>
        </xdr:cNvPr>
        <xdr:cNvSpPr/>
      </xdr:nvSpPr>
      <xdr:spPr>
        <a:xfrm>
          <a:off x="11668605" y="25007455"/>
          <a:ext cx="2201333" cy="1385454"/>
        </a:xfrm>
        <a:prstGeom prst="ellipse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0</xdr:colOff>
      <xdr:row>124</xdr:row>
      <xdr:rowOff>156308</xdr:rowOff>
    </xdr:from>
    <xdr:to>
      <xdr:col>12</xdr:col>
      <xdr:colOff>293077</xdr:colOff>
      <xdr:row>127</xdr:row>
      <xdr:rowOff>195385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B3EE7C0F-4BA9-4490-80E4-7FDEEF99503A}"/>
            </a:ext>
          </a:extLst>
        </xdr:cNvPr>
        <xdr:cNvSpPr/>
      </xdr:nvSpPr>
      <xdr:spPr>
        <a:xfrm>
          <a:off x="12807462" y="31408077"/>
          <a:ext cx="1416538" cy="713154"/>
        </a:xfrm>
        <a:prstGeom prst="ellipse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c</a:t>
          </a:r>
        </a:p>
      </xdr:txBody>
    </xdr:sp>
    <xdr:clientData/>
  </xdr:twoCellAnchor>
  <xdr:twoCellAnchor>
    <xdr:from>
      <xdr:col>11</xdr:col>
      <xdr:colOff>39077</xdr:colOff>
      <xdr:row>133</xdr:row>
      <xdr:rowOff>214923</xdr:rowOff>
    </xdr:from>
    <xdr:to>
      <xdr:col>12</xdr:col>
      <xdr:colOff>332154</xdr:colOff>
      <xdr:row>137</xdr:row>
      <xdr:rowOff>29308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55F404E1-ADA8-404C-A2E8-8E8D7EABC762}"/>
            </a:ext>
          </a:extLst>
        </xdr:cNvPr>
        <xdr:cNvSpPr/>
      </xdr:nvSpPr>
      <xdr:spPr>
        <a:xfrm>
          <a:off x="12846539" y="33488923"/>
          <a:ext cx="1416538" cy="713154"/>
        </a:xfrm>
        <a:prstGeom prst="ellipse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c</a:t>
          </a:r>
        </a:p>
      </xdr:txBody>
    </xdr:sp>
    <xdr:clientData/>
  </xdr:twoCellAnchor>
  <xdr:twoCellAnchor>
    <xdr:from>
      <xdr:col>6</xdr:col>
      <xdr:colOff>39077</xdr:colOff>
      <xdr:row>121</xdr:row>
      <xdr:rowOff>39077</xdr:rowOff>
    </xdr:from>
    <xdr:to>
      <xdr:col>7</xdr:col>
      <xdr:colOff>302845</xdr:colOff>
      <xdr:row>132</xdr:row>
      <xdr:rowOff>29307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53134311-D654-47DA-8A73-00292C17665F}"/>
            </a:ext>
          </a:extLst>
        </xdr:cNvPr>
        <xdr:cNvSpPr/>
      </xdr:nvSpPr>
      <xdr:spPr>
        <a:xfrm>
          <a:off x="7082692" y="30616769"/>
          <a:ext cx="1416538" cy="2461846"/>
        </a:xfrm>
        <a:prstGeom prst="ellipse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c</a:t>
          </a:r>
        </a:p>
      </xdr:txBody>
    </xdr:sp>
    <xdr:clientData/>
  </xdr:twoCellAnchor>
  <xdr:twoCellAnchor>
    <xdr:from>
      <xdr:col>6</xdr:col>
      <xdr:colOff>390769</xdr:colOff>
      <xdr:row>133</xdr:row>
      <xdr:rowOff>127000</xdr:rowOff>
    </xdr:from>
    <xdr:to>
      <xdr:col>10</xdr:col>
      <xdr:colOff>1113692</xdr:colOff>
      <xdr:row>137</xdr:row>
      <xdr:rowOff>146539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2532825C-9C76-4575-9363-28E2B668FB81}"/>
            </a:ext>
          </a:extLst>
        </xdr:cNvPr>
        <xdr:cNvSpPr/>
      </xdr:nvSpPr>
      <xdr:spPr>
        <a:xfrm>
          <a:off x="7434384" y="33401000"/>
          <a:ext cx="5334000" cy="918308"/>
        </a:xfrm>
        <a:prstGeom prst="ellipse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c</a:t>
          </a:r>
        </a:p>
      </xdr:txBody>
    </xdr:sp>
    <xdr:clientData/>
  </xdr:twoCellAnchor>
  <xdr:twoCellAnchor>
    <xdr:from>
      <xdr:col>2</xdr:col>
      <xdr:colOff>175845</xdr:colOff>
      <xdr:row>134</xdr:row>
      <xdr:rowOff>0</xdr:rowOff>
    </xdr:from>
    <xdr:to>
      <xdr:col>6</xdr:col>
      <xdr:colOff>156307</xdr:colOff>
      <xdr:row>137</xdr:row>
      <xdr:rowOff>39077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C7E594D0-0153-4F07-A3AD-8AE2AF342825}"/>
            </a:ext>
          </a:extLst>
        </xdr:cNvPr>
        <xdr:cNvSpPr/>
      </xdr:nvSpPr>
      <xdr:spPr>
        <a:xfrm>
          <a:off x="3956537" y="33498692"/>
          <a:ext cx="3243385" cy="713154"/>
        </a:xfrm>
        <a:prstGeom prst="ellipse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c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22</xdr:row>
      <xdr:rowOff>8921</xdr:rowOff>
    </xdr:from>
    <xdr:to>
      <xdr:col>4</xdr:col>
      <xdr:colOff>30480</xdr:colOff>
      <xdr:row>30</xdr:row>
      <xdr:rowOff>5761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004ABB2-7A72-9820-9EE4-0E55597454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038121"/>
          <a:ext cx="6804660" cy="182564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36</xdr:row>
      <xdr:rowOff>7620</xdr:rowOff>
    </xdr:from>
    <xdr:to>
      <xdr:col>4</xdr:col>
      <xdr:colOff>99060</xdr:colOff>
      <xdr:row>43</xdr:row>
      <xdr:rowOff>32385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7BC3670-4598-092C-340D-3C1C2A1436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" y="8237220"/>
          <a:ext cx="6873239" cy="162496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46</xdr:row>
      <xdr:rowOff>350</xdr:rowOff>
    </xdr:from>
    <xdr:to>
      <xdr:col>3</xdr:col>
      <xdr:colOff>754454</xdr:colOff>
      <xdr:row>61</xdr:row>
      <xdr:rowOff>106437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7196716-9D15-81F8-CDA0-C3529816D2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0411835"/>
          <a:ext cx="6714652" cy="350113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62</xdr:row>
      <xdr:rowOff>33866</xdr:rowOff>
    </xdr:from>
    <xdr:to>
      <xdr:col>4</xdr:col>
      <xdr:colOff>45514</xdr:colOff>
      <xdr:row>75</xdr:row>
      <xdr:rowOff>84666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0B5E84B-7939-AD3B-2081-BC3DC2732C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4731999"/>
          <a:ext cx="6818847" cy="31326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72E6A-CB22-4243-86EB-A0CCB82B2F75}">
  <dimension ref="A9:N152"/>
  <sheetViews>
    <sheetView showGridLines="0" tabSelected="1" topLeftCell="A116" zoomScale="78" workbookViewId="0">
      <selection activeCell="N122" sqref="N122"/>
    </sheetView>
  </sheetViews>
  <sheetFormatPr defaultRowHeight="18" x14ac:dyDescent="0.35"/>
  <cols>
    <col min="1" max="1" width="39.21875" style="5" customWidth="1"/>
    <col min="2" max="2" width="16" style="5" bestFit="1" customWidth="1"/>
    <col min="3" max="3" width="2.5546875" style="5" customWidth="1"/>
    <col min="4" max="4" width="14.6640625" style="5" bestFit="1" customWidth="1"/>
    <col min="5" max="5" width="14.77734375" style="5" bestFit="1" customWidth="1"/>
    <col min="6" max="6" width="15.5546875" style="5" bestFit="1" customWidth="1"/>
    <col min="7" max="11" width="16.77734375" style="5" bestFit="1" customWidth="1"/>
    <col min="12" max="12" width="16.33203125" style="5" bestFit="1" customWidth="1"/>
    <col min="13" max="13" width="8.88671875" style="5"/>
    <col min="14" max="14" width="15.6640625" style="5" bestFit="1" customWidth="1"/>
    <col min="15" max="16384" width="8.88671875" style="5"/>
  </cols>
  <sheetData>
    <row r="9" spans="1:2" x14ac:dyDescent="0.35">
      <c r="A9" s="9"/>
    </row>
    <row r="11" spans="1:2" x14ac:dyDescent="0.35">
      <c r="A11" s="2"/>
    </row>
    <row r="14" spans="1:2" x14ac:dyDescent="0.35">
      <c r="A14" s="10" t="s">
        <v>1</v>
      </c>
      <c r="B14" s="11"/>
    </row>
    <row r="15" spans="1:2" x14ac:dyDescent="0.35">
      <c r="A15" s="11" t="s">
        <v>0</v>
      </c>
      <c r="B15" s="12">
        <v>0.06</v>
      </c>
    </row>
    <row r="16" spans="1:2" x14ac:dyDescent="0.35">
      <c r="A16" s="11" t="s">
        <v>2</v>
      </c>
      <c r="B16" s="12">
        <v>0.4</v>
      </c>
    </row>
    <row r="17" spans="1:2" x14ac:dyDescent="0.35">
      <c r="A17" s="11"/>
      <c r="B17" s="11"/>
    </row>
    <row r="18" spans="1:2" x14ac:dyDescent="0.35">
      <c r="A18" s="10" t="s">
        <v>3</v>
      </c>
      <c r="B18" s="11"/>
    </row>
    <row r="19" spans="1:2" x14ac:dyDescent="0.35">
      <c r="A19" s="11" t="s">
        <v>4</v>
      </c>
      <c r="B19" s="13">
        <v>70000</v>
      </c>
    </row>
    <row r="20" spans="1:2" x14ac:dyDescent="0.35">
      <c r="A20" s="11" t="s">
        <v>5</v>
      </c>
      <c r="B20" s="13">
        <v>0</v>
      </c>
    </row>
    <row r="21" spans="1:2" x14ac:dyDescent="0.35">
      <c r="A21" s="11" t="s">
        <v>6</v>
      </c>
      <c r="B21" s="11">
        <v>7</v>
      </c>
    </row>
    <row r="22" spans="1:2" x14ac:dyDescent="0.35">
      <c r="A22" s="11"/>
      <c r="B22" s="11"/>
    </row>
    <row r="23" spans="1:2" ht="36" x14ac:dyDescent="0.35">
      <c r="A23" s="14" t="s">
        <v>7</v>
      </c>
      <c r="B23" s="13">
        <v>20000</v>
      </c>
    </row>
    <row r="24" spans="1:2" x14ac:dyDescent="0.35">
      <c r="A24" s="11"/>
      <c r="B24" s="11"/>
    </row>
    <row r="25" spans="1:2" ht="36" x14ac:dyDescent="0.35">
      <c r="A25" s="14" t="s">
        <v>8</v>
      </c>
      <c r="B25" s="11">
        <v>2000</v>
      </c>
    </row>
    <row r="26" spans="1:2" x14ac:dyDescent="0.35">
      <c r="A26" s="11" t="s">
        <v>9</v>
      </c>
      <c r="B26" s="12">
        <v>0</v>
      </c>
    </row>
    <row r="27" spans="1:2" x14ac:dyDescent="0.35">
      <c r="A27" s="11"/>
      <c r="B27" s="11"/>
    </row>
    <row r="28" spans="1:2" x14ac:dyDescent="0.35">
      <c r="A28" s="11" t="s">
        <v>10</v>
      </c>
      <c r="B28" s="13">
        <v>100</v>
      </c>
    </row>
    <row r="29" spans="1:2" x14ac:dyDescent="0.35">
      <c r="A29" s="11" t="s">
        <v>11</v>
      </c>
      <c r="B29" s="12">
        <v>0.55000000000000004</v>
      </c>
    </row>
    <row r="30" spans="1:2" x14ac:dyDescent="0.35">
      <c r="A30" s="11" t="s">
        <v>12</v>
      </c>
      <c r="B30" s="12">
        <v>0</v>
      </c>
    </row>
    <row r="31" spans="1:2" x14ac:dyDescent="0.35">
      <c r="A31" s="11"/>
      <c r="B31" s="11"/>
    </row>
    <row r="32" spans="1:2" ht="36" x14ac:dyDescent="0.35">
      <c r="A32" s="14" t="s">
        <v>13</v>
      </c>
      <c r="B32" s="13">
        <v>25000</v>
      </c>
    </row>
    <row r="33" spans="1:2" ht="54" x14ac:dyDescent="0.35">
      <c r="A33" s="14" t="s">
        <v>14</v>
      </c>
      <c r="B33" s="13">
        <v>15</v>
      </c>
    </row>
    <row r="34" spans="1:2" x14ac:dyDescent="0.35">
      <c r="A34" s="11"/>
      <c r="B34" s="11"/>
    </row>
    <row r="35" spans="1:2" x14ac:dyDescent="0.35">
      <c r="A35" s="15" t="s">
        <v>15</v>
      </c>
      <c r="B35" s="11"/>
    </row>
    <row r="36" spans="1:2" x14ac:dyDescent="0.35">
      <c r="A36" s="11" t="s">
        <v>16</v>
      </c>
      <c r="B36" s="11"/>
    </row>
    <row r="37" spans="1:2" x14ac:dyDescent="0.35">
      <c r="A37" s="11" t="s">
        <v>17</v>
      </c>
      <c r="B37" s="12">
        <v>0.9</v>
      </c>
    </row>
    <row r="38" spans="1:2" x14ac:dyDescent="0.35">
      <c r="A38" s="11" t="s">
        <v>18</v>
      </c>
      <c r="B38" s="12">
        <f>1-B37</f>
        <v>9.9999999999999978E-2</v>
      </c>
    </row>
    <row r="39" spans="1:2" x14ac:dyDescent="0.35">
      <c r="A39" s="11"/>
      <c r="B39" s="11"/>
    </row>
    <row r="40" spans="1:2" ht="36" x14ac:dyDescent="0.35">
      <c r="A40" s="14" t="s">
        <v>19</v>
      </c>
      <c r="B40" s="12">
        <v>0.1</v>
      </c>
    </row>
    <row r="41" spans="1:2" x14ac:dyDescent="0.35">
      <c r="A41" s="11"/>
      <c r="B41" s="11"/>
    </row>
    <row r="42" spans="1:2" x14ac:dyDescent="0.35">
      <c r="A42" s="11" t="s">
        <v>20</v>
      </c>
      <c r="B42" s="11"/>
    </row>
    <row r="43" spans="1:2" x14ac:dyDescent="0.35">
      <c r="A43" s="11" t="s">
        <v>21</v>
      </c>
      <c r="B43" s="12">
        <v>0.95</v>
      </c>
    </row>
    <row r="44" spans="1:2" x14ac:dyDescent="0.35">
      <c r="A44" s="11" t="s">
        <v>22</v>
      </c>
      <c r="B44" s="12">
        <v>0.05</v>
      </c>
    </row>
    <row r="45" spans="1:2" ht="54" x14ac:dyDescent="0.35">
      <c r="A45" s="14" t="s">
        <v>23</v>
      </c>
      <c r="B45" s="11"/>
    </row>
    <row r="46" spans="1:2" x14ac:dyDescent="0.35">
      <c r="A46" s="11" t="s">
        <v>21</v>
      </c>
      <c r="B46" s="12">
        <v>0.7</v>
      </c>
    </row>
    <row r="47" spans="1:2" x14ac:dyDescent="0.35">
      <c r="A47" s="11" t="s">
        <v>22</v>
      </c>
      <c r="B47" s="12">
        <v>0.3</v>
      </c>
    </row>
    <row r="48" spans="1:2" x14ac:dyDescent="0.35">
      <c r="A48" s="11"/>
      <c r="B48" s="11"/>
    </row>
    <row r="49" spans="1:12" x14ac:dyDescent="0.35">
      <c r="A49" s="10" t="s">
        <v>24</v>
      </c>
      <c r="B49" s="11"/>
      <c r="E49" s="7"/>
    </row>
    <row r="50" spans="1:12" x14ac:dyDescent="0.35">
      <c r="A50" s="11" t="s">
        <v>25</v>
      </c>
      <c r="B50" s="13">
        <v>5000</v>
      </c>
    </row>
    <row r="51" spans="1:12" x14ac:dyDescent="0.35">
      <c r="A51" s="11" t="s">
        <v>26</v>
      </c>
      <c r="B51" s="13">
        <v>2000</v>
      </c>
    </row>
    <row r="52" spans="1:12" x14ac:dyDescent="0.35">
      <c r="A52" s="11" t="s">
        <v>27</v>
      </c>
      <c r="B52" s="12">
        <v>0</v>
      </c>
    </row>
    <row r="53" spans="1:12" x14ac:dyDescent="0.35">
      <c r="A53" s="11" t="s">
        <v>28</v>
      </c>
      <c r="B53" s="13">
        <v>0</v>
      </c>
    </row>
    <row r="54" spans="1:12" x14ac:dyDescent="0.35">
      <c r="A54" s="11" t="s">
        <v>29</v>
      </c>
      <c r="B54" s="13">
        <v>0</v>
      </c>
    </row>
    <row r="55" spans="1:12" x14ac:dyDescent="0.35">
      <c r="A55" s="11"/>
      <c r="B55" s="11"/>
      <c r="C55" s="11"/>
      <c r="D55" s="11"/>
      <c r="E55" s="11">
        <v>1</v>
      </c>
      <c r="F55" s="11">
        <v>2</v>
      </c>
      <c r="G55" s="11">
        <v>3</v>
      </c>
      <c r="H55" s="11">
        <v>4</v>
      </c>
      <c r="I55" s="11">
        <v>5</v>
      </c>
      <c r="J55" s="11">
        <v>6</v>
      </c>
      <c r="K55" s="11">
        <v>7</v>
      </c>
    </row>
    <row r="56" spans="1:12" x14ac:dyDescent="0.35">
      <c r="A56" s="11" t="s">
        <v>30</v>
      </c>
      <c r="B56" s="11"/>
      <c r="C56" s="11"/>
      <c r="D56" s="11"/>
      <c r="E56" s="16">
        <v>0.28999999999999998</v>
      </c>
      <c r="F56" s="16">
        <v>0.2</v>
      </c>
      <c r="G56" s="16">
        <v>0.15</v>
      </c>
      <c r="H56" s="16">
        <v>0.1</v>
      </c>
      <c r="I56" s="16">
        <v>0.08</v>
      </c>
      <c r="J56" s="16">
        <v>0.06</v>
      </c>
      <c r="K56" s="16">
        <v>0.05</v>
      </c>
    </row>
    <row r="58" spans="1:12" x14ac:dyDescent="0.35">
      <c r="A58" s="1" t="s">
        <v>31</v>
      </c>
    </row>
    <row r="59" spans="1:12" x14ac:dyDescent="0.35">
      <c r="E59" s="2">
        <v>1</v>
      </c>
      <c r="F59" s="2">
        <v>2</v>
      </c>
      <c r="G59" s="2">
        <v>3</v>
      </c>
      <c r="H59" s="2">
        <v>4</v>
      </c>
      <c r="I59" s="2">
        <v>5</v>
      </c>
      <c r="J59" s="2">
        <v>6</v>
      </c>
      <c r="K59" s="2">
        <v>7</v>
      </c>
      <c r="L59" s="2">
        <v>8</v>
      </c>
    </row>
    <row r="60" spans="1:12" x14ac:dyDescent="0.35">
      <c r="A60" s="5" t="s">
        <v>32</v>
      </c>
      <c r="E60" s="7">
        <f>($B$19-$B$20)/$B$21</f>
        <v>10000</v>
      </c>
      <c r="F60" s="7">
        <f t="shared" ref="F60:K60" si="0">($B$19-$B$20)/$B$21</f>
        <v>10000</v>
      </c>
      <c r="G60" s="7">
        <f t="shared" si="0"/>
        <v>10000</v>
      </c>
      <c r="H60" s="7">
        <f t="shared" si="0"/>
        <v>10000</v>
      </c>
      <c r="I60" s="7">
        <f t="shared" si="0"/>
        <v>10000</v>
      </c>
      <c r="J60" s="7">
        <f t="shared" si="0"/>
        <v>10000</v>
      </c>
      <c r="K60" s="7">
        <f t="shared" si="0"/>
        <v>10000</v>
      </c>
      <c r="L60" s="8">
        <v>0</v>
      </c>
    </row>
    <row r="61" spans="1:12" x14ac:dyDescent="0.35">
      <c r="A61" s="5" t="s">
        <v>33</v>
      </c>
      <c r="E61" s="7">
        <f>$B$19*E56</f>
        <v>20300</v>
      </c>
      <c r="F61" s="7">
        <f t="shared" ref="F61:L61" si="1">$B$19*F56</f>
        <v>14000</v>
      </c>
      <c r="G61" s="7">
        <f t="shared" si="1"/>
        <v>10500</v>
      </c>
      <c r="H61" s="7">
        <f t="shared" si="1"/>
        <v>7000</v>
      </c>
      <c r="I61" s="7">
        <f t="shared" si="1"/>
        <v>5600</v>
      </c>
      <c r="J61" s="7">
        <f t="shared" si="1"/>
        <v>4200</v>
      </c>
      <c r="K61" s="7">
        <f t="shared" si="1"/>
        <v>3500</v>
      </c>
      <c r="L61" s="8">
        <f t="shared" si="1"/>
        <v>0</v>
      </c>
    </row>
    <row r="63" spans="1:12" x14ac:dyDescent="0.35">
      <c r="A63" s="5" t="s">
        <v>34</v>
      </c>
      <c r="E63" s="5">
        <v>0</v>
      </c>
      <c r="F63" s="5">
        <v>0</v>
      </c>
      <c r="G63" s="5">
        <f>B25</f>
        <v>2000</v>
      </c>
      <c r="H63" s="5">
        <f>G63*(1+$B$26)</f>
        <v>2000</v>
      </c>
      <c r="I63" s="5">
        <f t="shared" ref="I63:K63" si="2">H63*(1+$B$26)</f>
        <v>2000</v>
      </c>
      <c r="J63" s="5">
        <f t="shared" si="2"/>
        <v>2000</v>
      </c>
      <c r="K63" s="5">
        <f t="shared" si="2"/>
        <v>2000</v>
      </c>
      <c r="L63" s="5">
        <f>L68</f>
        <v>200</v>
      </c>
    </row>
    <row r="64" spans="1:12" x14ac:dyDescent="0.35">
      <c r="A64" s="5" t="s">
        <v>35</v>
      </c>
      <c r="E64" s="17"/>
      <c r="F64" s="8"/>
      <c r="G64" s="8">
        <f>$B$28</f>
        <v>100</v>
      </c>
      <c r="H64" s="8">
        <f>G64*(1+$B$30)</f>
        <v>100</v>
      </c>
      <c r="I64" s="8">
        <f t="shared" ref="I64:K64" si="3">H64*(1+$B$30)</f>
        <v>100</v>
      </c>
      <c r="J64" s="8">
        <f t="shared" si="3"/>
        <v>100</v>
      </c>
      <c r="K64" s="8">
        <f t="shared" si="3"/>
        <v>100</v>
      </c>
      <c r="L64" s="8"/>
    </row>
    <row r="65" spans="1:12" x14ac:dyDescent="0.35">
      <c r="A65" s="5" t="s">
        <v>36</v>
      </c>
      <c r="E65" s="8">
        <f>E64*E63</f>
        <v>0</v>
      </c>
      <c r="F65" s="8">
        <f t="shared" ref="F65:J65" si="4">F64*F63</f>
        <v>0</v>
      </c>
      <c r="G65" s="8">
        <f t="shared" si="4"/>
        <v>200000</v>
      </c>
      <c r="H65" s="8">
        <f t="shared" si="4"/>
        <v>200000</v>
      </c>
      <c r="I65" s="8">
        <f t="shared" si="4"/>
        <v>200000</v>
      </c>
      <c r="J65" s="8">
        <f t="shared" si="4"/>
        <v>200000</v>
      </c>
      <c r="K65" s="8">
        <f>K64*K63</f>
        <v>200000</v>
      </c>
      <c r="L65" s="8">
        <f>K78*(1+B52)</f>
        <v>9000</v>
      </c>
    </row>
    <row r="67" spans="1:12" x14ac:dyDescent="0.35">
      <c r="A67" s="5" t="s">
        <v>37</v>
      </c>
      <c r="E67" s="5">
        <f>$B$40*E63</f>
        <v>0</v>
      </c>
      <c r="F67" s="5">
        <f t="shared" ref="F67:K67" si="5">$B$40*F63</f>
        <v>0</v>
      </c>
      <c r="G67" s="5">
        <f t="shared" si="5"/>
        <v>200</v>
      </c>
      <c r="H67" s="5">
        <f t="shared" si="5"/>
        <v>200</v>
      </c>
      <c r="I67" s="5">
        <f t="shared" si="5"/>
        <v>200</v>
      </c>
      <c r="J67" s="5">
        <f t="shared" si="5"/>
        <v>200</v>
      </c>
      <c r="K67" s="5">
        <f t="shared" si="5"/>
        <v>200</v>
      </c>
      <c r="L67" s="5">
        <v>0</v>
      </c>
    </row>
    <row r="68" spans="1:12" x14ac:dyDescent="0.35">
      <c r="A68" s="5" t="s">
        <v>38</v>
      </c>
      <c r="E68" s="5">
        <v>0</v>
      </c>
      <c r="F68" s="5">
        <f>E67</f>
        <v>0</v>
      </c>
      <c r="G68" s="5">
        <f t="shared" ref="G68:K68" si="6">F67</f>
        <v>0</v>
      </c>
      <c r="H68" s="5">
        <f t="shared" si="6"/>
        <v>200</v>
      </c>
      <c r="I68" s="5">
        <f t="shared" si="6"/>
        <v>200</v>
      </c>
      <c r="J68" s="5">
        <f t="shared" si="6"/>
        <v>200</v>
      </c>
      <c r="K68" s="5">
        <f t="shared" si="6"/>
        <v>200</v>
      </c>
      <c r="L68" s="5">
        <f>K67</f>
        <v>200</v>
      </c>
    </row>
    <row r="69" spans="1:12" x14ac:dyDescent="0.35">
      <c r="A69" s="5" t="s">
        <v>39</v>
      </c>
      <c r="E69" s="5">
        <f>E63</f>
        <v>0</v>
      </c>
      <c r="F69" s="5">
        <f t="shared" ref="F69:L69" si="7">F63</f>
        <v>0</v>
      </c>
      <c r="G69" s="5">
        <f t="shared" si="7"/>
        <v>2000</v>
      </c>
      <c r="H69" s="5">
        <f t="shared" si="7"/>
        <v>2000</v>
      </c>
      <c r="I69" s="5">
        <f t="shared" si="7"/>
        <v>2000</v>
      </c>
      <c r="J69" s="5">
        <f t="shared" si="7"/>
        <v>2000</v>
      </c>
      <c r="K69" s="5">
        <f t="shared" si="7"/>
        <v>2000</v>
      </c>
      <c r="L69" s="5">
        <f t="shared" si="7"/>
        <v>200</v>
      </c>
    </row>
    <row r="70" spans="1:12" x14ac:dyDescent="0.35">
      <c r="A70" s="5" t="s">
        <v>40</v>
      </c>
      <c r="E70" s="5">
        <f>E67+E69-E68</f>
        <v>0</v>
      </c>
      <c r="F70" s="5">
        <f t="shared" ref="F70:L70" si="8">F67+F69-F68</f>
        <v>0</v>
      </c>
      <c r="G70" s="5">
        <f t="shared" si="8"/>
        <v>2200</v>
      </c>
      <c r="H70" s="5">
        <f t="shared" si="8"/>
        <v>2000</v>
      </c>
      <c r="I70" s="5">
        <f t="shared" si="8"/>
        <v>2000</v>
      </c>
      <c r="J70" s="5">
        <f t="shared" si="8"/>
        <v>2000</v>
      </c>
      <c r="K70" s="5">
        <f t="shared" si="8"/>
        <v>2000</v>
      </c>
      <c r="L70" s="5">
        <f t="shared" si="8"/>
        <v>0</v>
      </c>
    </row>
    <row r="72" spans="1:12" x14ac:dyDescent="0.35">
      <c r="A72" s="5" t="s">
        <v>41</v>
      </c>
      <c r="E72" s="8">
        <f>E64*(1-$B$29)</f>
        <v>0</v>
      </c>
      <c r="F72" s="8">
        <f t="shared" ref="F72:L72" si="9">F64*(1-$B$29)</f>
        <v>0</v>
      </c>
      <c r="G72" s="8">
        <f t="shared" si="9"/>
        <v>44.999999999999993</v>
      </c>
      <c r="H72" s="8">
        <f t="shared" si="9"/>
        <v>44.999999999999993</v>
      </c>
      <c r="I72" s="8">
        <f t="shared" si="9"/>
        <v>44.999999999999993</v>
      </c>
      <c r="J72" s="8">
        <f t="shared" si="9"/>
        <v>44.999999999999993</v>
      </c>
      <c r="K72" s="8">
        <f t="shared" si="9"/>
        <v>44.999999999999993</v>
      </c>
      <c r="L72" s="8">
        <f t="shared" si="9"/>
        <v>0</v>
      </c>
    </row>
    <row r="75" spans="1:12" x14ac:dyDescent="0.35">
      <c r="A75" s="5" t="s">
        <v>42</v>
      </c>
      <c r="E75" s="8">
        <v>0</v>
      </c>
      <c r="F75" s="8">
        <f>E78</f>
        <v>0</v>
      </c>
      <c r="G75" s="8">
        <f>F78</f>
        <v>0</v>
      </c>
      <c r="H75" s="8">
        <f t="shared" ref="H75:L75" si="10">G78</f>
        <v>9000</v>
      </c>
      <c r="I75" s="8">
        <f t="shared" si="10"/>
        <v>9000</v>
      </c>
      <c r="J75" s="8">
        <f t="shared" si="10"/>
        <v>9000</v>
      </c>
      <c r="K75" s="8">
        <f t="shared" si="10"/>
        <v>9000</v>
      </c>
      <c r="L75" s="8">
        <f t="shared" si="10"/>
        <v>9000</v>
      </c>
    </row>
    <row r="76" spans="1:12" x14ac:dyDescent="0.35">
      <c r="A76" s="5" t="s">
        <v>43</v>
      </c>
      <c r="E76" s="8">
        <v>0</v>
      </c>
      <c r="F76" s="8">
        <f t="shared" ref="F76:F78" si="11">E79</f>
        <v>0</v>
      </c>
      <c r="G76" s="8">
        <f>G70*G72</f>
        <v>98999.999999999985</v>
      </c>
      <c r="H76" s="8">
        <f t="shared" ref="H76:K76" si="12">H70*H72</f>
        <v>89999.999999999985</v>
      </c>
      <c r="I76" s="8">
        <f t="shared" si="12"/>
        <v>89999.999999999985</v>
      </c>
      <c r="J76" s="8">
        <f t="shared" si="12"/>
        <v>89999.999999999985</v>
      </c>
      <c r="K76" s="8">
        <f t="shared" si="12"/>
        <v>89999.999999999985</v>
      </c>
      <c r="L76" s="8">
        <f>L70*L72</f>
        <v>0</v>
      </c>
    </row>
    <row r="77" spans="1:12" x14ac:dyDescent="0.35">
      <c r="A77" s="5" t="s">
        <v>44</v>
      </c>
      <c r="E77" s="8">
        <v>0</v>
      </c>
      <c r="F77" s="8">
        <f t="shared" si="11"/>
        <v>0</v>
      </c>
      <c r="G77" s="8">
        <f>G69*G72</f>
        <v>89999.999999999985</v>
      </c>
      <c r="H77" s="8">
        <f t="shared" ref="H77:K77" si="13">H69*H72</f>
        <v>89999.999999999985</v>
      </c>
      <c r="I77" s="8">
        <f t="shared" si="13"/>
        <v>89999.999999999985</v>
      </c>
      <c r="J77" s="8">
        <f t="shared" si="13"/>
        <v>89999.999999999985</v>
      </c>
      <c r="K77" s="8">
        <f t="shared" si="13"/>
        <v>89999.999999999985</v>
      </c>
      <c r="L77" s="8">
        <f>K78</f>
        <v>9000</v>
      </c>
    </row>
    <row r="78" spans="1:12" x14ac:dyDescent="0.35">
      <c r="A78" s="5" t="s">
        <v>45</v>
      </c>
      <c r="E78" s="8">
        <v>0</v>
      </c>
      <c r="F78" s="8">
        <f t="shared" si="11"/>
        <v>0</v>
      </c>
      <c r="G78" s="8">
        <f>G75+G76-G77</f>
        <v>9000</v>
      </c>
      <c r="H78" s="8">
        <f t="shared" ref="H78:L78" si="14">H75+H76-H77</f>
        <v>9000</v>
      </c>
      <c r="I78" s="8">
        <f t="shared" si="14"/>
        <v>9000</v>
      </c>
      <c r="J78" s="8">
        <f t="shared" si="14"/>
        <v>9000</v>
      </c>
      <c r="K78" s="8">
        <f t="shared" si="14"/>
        <v>9000</v>
      </c>
      <c r="L78" s="8">
        <f t="shared" si="14"/>
        <v>0</v>
      </c>
    </row>
    <row r="82" spans="1:12" s="20" customFormat="1" ht="21" x14ac:dyDescent="0.4">
      <c r="A82" s="4" t="s">
        <v>46</v>
      </c>
    </row>
    <row r="83" spans="1:12" s="20" customFormat="1" ht="21" x14ac:dyDescent="0.4">
      <c r="E83" s="3">
        <v>1</v>
      </c>
      <c r="F83" s="3">
        <v>2</v>
      </c>
      <c r="G83" s="3">
        <v>3</v>
      </c>
      <c r="H83" s="3">
        <v>4</v>
      </c>
      <c r="I83" s="3">
        <v>5</v>
      </c>
      <c r="J83" s="3">
        <v>6</v>
      </c>
      <c r="K83" s="3">
        <v>7</v>
      </c>
      <c r="L83" s="3">
        <v>8</v>
      </c>
    </row>
    <row r="84" spans="1:12" s="20" customFormat="1" ht="21" x14ac:dyDescent="0.4">
      <c r="A84" s="20" t="s">
        <v>36</v>
      </c>
      <c r="E84" s="21">
        <f>E65</f>
        <v>0</v>
      </c>
      <c r="F84" s="21">
        <f t="shared" ref="F84:L84" si="15">F65</f>
        <v>0</v>
      </c>
      <c r="G84" s="21">
        <f t="shared" si="15"/>
        <v>200000</v>
      </c>
      <c r="H84" s="21">
        <f t="shared" si="15"/>
        <v>200000</v>
      </c>
      <c r="I84" s="21">
        <f t="shared" si="15"/>
        <v>200000</v>
      </c>
      <c r="J84" s="21">
        <f t="shared" si="15"/>
        <v>200000</v>
      </c>
      <c r="K84" s="21">
        <f t="shared" si="15"/>
        <v>200000</v>
      </c>
      <c r="L84" s="21">
        <f t="shared" si="15"/>
        <v>9000</v>
      </c>
    </row>
    <row r="85" spans="1:12" s="20" customFormat="1" ht="24.6" x14ac:dyDescent="0.7">
      <c r="A85" s="22" t="s">
        <v>47</v>
      </c>
      <c r="E85" s="23">
        <f>E84*(1-$B$29)</f>
        <v>0</v>
      </c>
      <c r="F85" s="23">
        <f>F84*(1-$B$29)</f>
        <v>0</v>
      </c>
      <c r="G85" s="23">
        <f>G77</f>
        <v>89999.999999999985</v>
      </c>
      <c r="H85" s="23">
        <f t="shared" ref="H85:L85" si="16">H77</f>
        <v>89999.999999999985</v>
      </c>
      <c r="I85" s="23">
        <f t="shared" si="16"/>
        <v>89999.999999999985</v>
      </c>
      <c r="J85" s="23">
        <f t="shared" si="16"/>
        <v>89999.999999999985</v>
      </c>
      <c r="K85" s="23">
        <f t="shared" si="16"/>
        <v>89999.999999999985</v>
      </c>
      <c r="L85" s="23">
        <f t="shared" si="16"/>
        <v>9000</v>
      </c>
    </row>
    <row r="86" spans="1:12" s="20" customFormat="1" ht="21" x14ac:dyDescent="0.4">
      <c r="A86" s="24" t="s">
        <v>48</v>
      </c>
      <c r="E86" s="21">
        <f>E84-E85</f>
        <v>0</v>
      </c>
      <c r="F86" s="21">
        <f t="shared" ref="F86:L86" si="17">F84-F85</f>
        <v>0</v>
      </c>
      <c r="G86" s="21">
        <f t="shared" si="17"/>
        <v>110000.00000000001</v>
      </c>
      <c r="H86" s="21">
        <f t="shared" si="17"/>
        <v>110000.00000000001</v>
      </c>
      <c r="I86" s="21">
        <f t="shared" si="17"/>
        <v>110000.00000000001</v>
      </c>
      <c r="J86" s="21">
        <f t="shared" si="17"/>
        <v>110000.00000000001</v>
      </c>
      <c r="K86" s="21">
        <f t="shared" si="17"/>
        <v>110000.00000000001</v>
      </c>
      <c r="L86" s="21">
        <f t="shared" si="17"/>
        <v>0</v>
      </c>
    </row>
    <row r="87" spans="1:12" s="20" customFormat="1" ht="21" x14ac:dyDescent="0.4">
      <c r="A87" s="20" t="s">
        <v>49</v>
      </c>
      <c r="E87" s="21">
        <f>E60</f>
        <v>10000</v>
      </c>
      <c r="F87" s="21">
        <f t="shared" ref="F87:L87" si="18">F60</f>
        <v>10000</v>
      </c>
      <c r="G87" s="21">
        <f t="shared" si="18"/>
        <v>10000</v>
      </c>
      <c r="H87" s="21">
        <f t="shared" si="18"/>
        <v>10000</v>
      </c>
      <c r="I87" s="21">
        <f t="shared" si="18"/>
        <v>10000</v>
      </c>
      <c r="J87" s="21">
        <f t="shared" si="18"/>
        <v>10000</v>
      </c>
      <c r="K87" s="21">
        <f t="shared" si="18"/>
        <v>10000</v>
      </c>
      <c r="L87" s="21">
        <f t="shared" si="18"/>
        <v>0</v>
      </c>
    </row>
    <row r="88" spans="1:12" s="20" customFormat="1" ht="21" x14ac:dyDescent="0.4">
      <c r="A88" s="20" t="s">
        <v>50</v>
      </c>
      <c r="E88" s="21">
        <f>$B$23</f>
        <v>20000</v>
      </c>
      <c r="F88" s="21">
        <f>$B$23</f>
        <v>20000</v>
      </c>
      <c r="G88" s="21">
        <v>0</v>
      </c>
      <c r="H88" s="21">
        <v>0</v>
      </c>
      <c r="I88" s="21">
        <v>0</v>
      </c>
      <c r="J88" s="21">
        <v>0</v>
      </c>
      <c r="K88" s="21">
        <v>0</v>
      </c>
      <c r="L88" s="21">
        <v>0</v>
      </c>
    </row>
    <row r="89" spans="1:12" s="20" customFormat="1" ht="21" x14ac:dyDescent="0.4">
      <c r="A89" s="20" t="s">
        <v>51</v>
      </c>
      <c r="E89" s="21">
        <f t="shared" ref="E89:F89" si="19">$B$32+$B$33*E63</f>
        <v>25000</v>
      </c>
      <c r="F89" s="21">
        <f t="shared" si="19"/>
        <v>25000</v>
      </c>
      <c r="G89" s="21">
        <f>$B$32+$B$33*G63</f>
        <v>55000</v>
      </c>
      <c r="H89" s="21">
        <f t="shared" ref="H89:K89" si="20">$B$32+$B$33*H63</f>
        <v>55000</v>
      </c>
      <c r="I89" s="21">
        <f t="shared" si="20"/>
        <v>55000</v>
      </c>
      <c r="J89" s="21">
        <f t="shared" si="20"/>
        <v>55000</v>
      </c>
      <c r="K89" s="21">
        <f t="shared" si="20"/>
        <v>55000</v>
      </c>
      <c r="L89" s="21">
        <f>$B$53+B54*L63</f>
        <v>0</v>
      </c>
    </row>
    <row r="90" spans="1:12" s="20" customFormat="1" ht="21" x14ac:dyDescent="0.4">
      <c r="A90" s="22" t="s">
        <v>52</v>
      </c>
      <c r="E90" s="25">
        <f>0</f>
        <v>0</v>
      </c>
      <c r="F90" s="25">
        <f>0</f>
        <v>0</v>
      </c>
      <c r="G90" s="25">
        <f>0</f>
        <v>0</v>
      </c>
      <c r="H90" s="25">
        <f>0</f>
        <v>0</v>
      </c>
      <c r="I90" s="25">
        <f>0</f>
        <v>0</v>
      </c>
      <c r="J90" s="25">
        <f>0</f>
        <v>0</v>
      </c>
      <c r="K90" s="25">
        <f>0</f>
        <v>0</v>
      </c>
      <c r="L90" s="21">
        <f>-((B50-K105)-B51)</f>
        <v>-3000</v>
      </c>
    </row>
    <row r="91" spans="1:12" s="20" customFormat="1" ht="21" x14ac:dyDescent="0.4">
      <c r="A91" s="20" t="s">
        <v>53</v>
      </c>
      <c r="E91" s="21">
        <f>E86-SUM(E87:E90)</f>
        <v>-55000</v>
      </c>
      <c r="F91" s="21">
        <f t="shared" ref="F91:L91" si="21">F86-SUM(F87:F90)</f>
        <v>-55000</v>
      </c>
      <c r="G91" s="21">
        <f t="shared" si="21"/>
        <v>45000.000000000015</v>
      </c>
      <c r="H91" s="21">
        <f t="shared" si="21"/>
        <v>45000.000000000015</v>
      </c>
      <c r="I91" s="21">
        <f t="shared" si="21"/>
        <v>45000.000000000015</v>
      </c>
      <c r="J91" s="21">
        <f t="shared" si="21"/>
        <v>45000.000000000015</v>
      </c>
      <c r="K91" s="21">
        <f t="shared" si="21"/>
        <v>45000.000000000015</v>
      </c>
      <c r="L91" s="21">
        <f t="shared" si="21"/>
        <v>3000</v>
      </c>
    </row>
    <row r="92" spans="1:12" s="20" customFormat="1" ht="21" x14ac:dyDescent="0.4">
      <c r="A92" s="22" t="s">
        <v>54</v>
      </c>
      <c r="E92" s="25">
        <f t="shared" ref="E92:L92" si="22">E152</f>
        <v>-26120</v>
      </c>
      <c r="F92" s="25">
        <f t="shared" si="22"/>
        <v>-23600</v>
      </c>
      <c r="G92" s="25">
        <f t="shared" si="22"/>
        <v>17800.000000000007</v>
      </c>
      <c r="H92" s="25">
        <f t="shared" si="22"/>
        <v>19200.000000000007</v>
      </c>
      <c r="I92" s="25">
        <f t="shared" si="22"/>
        <v>19760.000000000007</v>
      </c>
      <c r="J92" s="25">
        <f t="shared" si="22"/>
        <v>20320.000000000007</v>
      </c>
      <c r="K92" s="25">
        <f t="shared" si="22"/>
        <v>20600.000000000007</v>
      </c>
      <c r="L92" s="25">
        <f t="shared" si="22"/>
        <v>1200</v>
      </c>
    </row>
    <row r="93" spans="1:12" s="20" customFormat="1" ht="21" x14ac:dyDescent="0.4">
      <c r="A93" s="24" t="s">
        <v>56</v>
      </c>
      <c r="E93" s="21">
        <f>E91-E92</f>
        <v>-28880</v>
      </c>
      <c r="F93" s="21">
        <f t="shared" ref="F93:L93" si="23">F91-F92</f>
        <v>-31400</v>
      </c>
      <c r="G93" s="21">
        <f t="shared" si="23"/>
        <v>27200.000000000007</v>
      </c>
      <c r="H93" s="21">
        <f t="shared" si="23"/>
        <v>25800.000000000007</v>
      </c>
      <c r="I93" s="21">
        <f t="shared" si="23"/>
        <v>25240.000000000007</v>
      </c>
      <c r="J93" s="21">
        <f t="shared" si="23"/>
        <v>24680.000000000007</v>
      </c>
      <c r="K93" s="21">
        <f t="shared" si="23"/>
        <v>24400.000000000007</v>
      </c>
      <c r="L93" s="21">
        <f t="shared" si="23"/>
        <v>1800</v>
      </c>
    </row>
    <row r="94" spans="1:12" s="20" customFormat="1" ht="21" x14ac:dyDescent="0.4"/>
    <row r="95" spans="1:12" s="20" customFormat="1" ht="21" x14ac:dyDescent="0.4">
      <c r="A95" s="4" t="s">
        <v>57</v>
      </c>
    </row>
    <row r="96" spans="1:12" s="20" customFormat="1" ht="21" x14ac:dyDescent="0.4"/>
    <row r="97" spans="1:12" s="20" customFormat="1" ht="21" x14ac:dyDescent="0.4">
      <c r="A97" s="24" t="s">
        <v>58</v>
      </c>
      <c r="D97" s="3">
        <v>0</v>
      </c>
      <c r="E97" s="3">
        <v>1</v>
      </c>
      <c r="F97" s="3">
        <v>2</v>
      </c>
      <c r="G97" s="3">
        <v>3</v>
      </c>
      <c r="H97" s="3">
        <v>4</v>
      </c>
      <c r="I97" s="3">
        <v>5</v>
      </c>
      <c r="J97" s="3">
        <v>6</v>
      </c>
      <c r="K97" s="3">
        <v>7</v>
      </c>
      <c r="L97" s="3">
        <v>8</v>
      </c>
    </row>
    <row r="98" spans="1:12" s="20" customFormat="1" ht="21" x14ac:dyDescent="0.4">
      <c r="A98" s="20" t="s">
        <v>59</v>
      </c>
    </row>
    <row r="99" spans="1:12" s="20" customFormat="1" ht="21" x14ac:dyDescent="0.4">
      <c r="A99" s="20" t="s">
        <v>60</v>
      </c>
      <c r="D99" s="21">
        <f>-B19</f>
        <v>-70000</v>
      </c>
      <c r="E99" s="21">
        <f>D99+E136</f>
        <v>-81380</v>
      </c>
      <c r="F99" s="21">
        <f t="shared" ref="F99:L99" si="24">E99+F136</f>
        <v>-102780</v>
      </c>
      <c r="G99" s="21">
        <f t="shared" si="24"/>
        <v>-80629.999999999985</v>
      </c>
      <c r="H99" s="21">
        <f t="shared" si="24"/>
        <v>-45279.999999999978</v>
      </c>
      <c r="I99" s="21">
        <f t="shared" si="24"/>
        <v>-10039.999999999971</v>
      </c>
      <c r="J99" s="21">
        <f t="shared" si="24"/>
        <v>24640.000000000036</v>
      </c>
      <c r="K99" s="21">
        <f t="shared" si="24"/>
        <v>59040.000000000044</v>
      </c>
      <c r="L99" s="21">
        <f t="shared" si="24"/>
        <v>68840.000000000044</v>
      </c>
    </row>
    <row r="100" spans="1:12" s="20" customFormat="1" ht="21" x14ac:dyDescent="0.4">
      <c r="A100" s="20" t="s">
        <v>61</v>
      </c>
      <c r="D100" s="21">
        <v>0</v>
      </c>
      <c r="E100" s="21">
        <f>E84*$B$38</f>
        <v>0</v>
      </c>
      <c r="F100" s="21">
        <f t="shared" ref="F100:K100" si="25">F84*$B$38</f>
        <v>0</v>
      </c>
      <c r="G100" s="21">
        <f t="shared" si="25"/>
        <v>19999.999999999996</v>
      </c>
      <c r="H100" s="21">
        <f t="shared" si="25"/>
        <v>19999.999999999996</v>
      </c>
      <c r="I100" s="21">
        <f t="shared" si="25"/>
        <v>19999.999999999996</v>
      </c>
      <c r="J100" s="21">
        <f t="shared" si="25"/>
        <v>19999.999999999996</v>
      </c>
      <c r="K100" s="21">
        <f t="shared" si="25"/>
        <v>19999.999999999996</v>
      </c>
      <c r="L100" s="21">
        <v>0</v>
      </c>
    </row>
    <row r="101" spans="1:12" s="20" customFormat="1" ht="21" x14ac:dyDescent="0.4">
      <c r="A101" s="22" t="s">
        <v>62</v>
      </c>
      <c r="D101" s="25">
        <v>0</v>
      </c>
      <c r="E101" s="25">
        <f>E78</f>
        <v>0</v>
      </c>
      <c r="F101" s="25">
        <f t="shared" ref="F101:L101" si="26">F78</f>
        <v>0</v>
      </c>
      <c r="G101" s="25">
        <f t="shared" si="26"/>
        <v>9000</v>
      </c>
      <c r="H101" s="25">
        <f t="shared" si="26"/>
        <v>9000</v>
      </c>
      <c r="I101" s="25">
        <f t="shared" si="26"/>
        <v>9000</v>
      </c>
      <c r="J101" s="25">
        <f t="shared" si="26"/>
        <v>9000</v>
      </c>
      <c r="K101" s="25">
        <f t="shared" si="26"/>
        <v>9000</v>
      </c>
      <c r="L101" s="25">
        <f t="shared" si="26"/>
        <v>0</v>
      </c>
    </row>
    <row r="102" spans="1:12" s="20" customFormat="1" ht="21" x14ac:dyDescent="0.4">
      <c r="A102" s="24" t="s">
        <v>63</v>
      </c>
      <c r="D102" s="21">
        <f>SUM(D99:D101)</f>
        <v>-70000</v>
      </c>
      <c r="E102" s="21">
        <f t="shared" ref="E102:L102" si="27">SUM(E99:E101)</f>
        <v>-81380</v>
      </c>
      <c r="F102" s="21">
        <f t="shared" si="27"/>
        <v>-102780</v>
      </c>
      <c r="G102" s="21">
        <f t="shared" si="27"/>
        <v>-51629.999999999985</v>
      </c>
      <c r="H102" s="21">
        <f t="shared" si="27"/>
        <v>-16279.999999999982</v>
      </c>
      <c r="I102" s="21">
        <f t="shared" si="27"/>
        <v>18960.000000000025</v>
      </c>
      <c r="J102" s="21">
        <f t="shared" si="27"/>
        <v>53640.000000000029</v>
      </c>
      <c r="K102" s="21">
        <f t="shared" si="27"/>
        <v>88040.000000000044</v>
      </c>
      <c r="L102" s="21">
        <f t="shared" si="27"/>
        <v>68840.000000000044</v>
      </c>
    </row>
    <row r="103" spans="1:12" s="20" customFormat="1" ht="21" x14ac:dyDescent="0.4">
      <c r="A103" s="20" t="s">
        <v>64</v>
      </c>
      <c r="D103" s="21">
        <f>B19</f>
        <v>70000</v>
      </c>
      <c r="E103" s="21">
        <f>D103</f>
        <v>70000</v>
      </c>
      <c r="F103" s="21">
        <f t="shared" ref="F103:K103" si="28">E103</f>
        <v>70000</v>
      </c>
      <c r="G103" s="21">
        <f t="shared" si="28"/>
        <v>70000</v>
      </c>
      <c r="H103" s="21">
        <f t="shared" si="28"/>
        <v>70000</v>
      </c>
      <c r="I103" s="21">
        <f t="shared" si="28"/>
        <v>70000</v>
      </c>
      <c r="J103" s="21">
        <f t="shared" si="28"/>
        <v>70000</v>
      </c>
      <c r="K103" s="21">
        <f t="shared" si="28"/>
        <v>70000</v>
      </c>
      <c r="L103" s="21">
        <v>0</v>
      </c>
    </row>
    <row r="104" spans="1:12" s="20" customFormat="1" ht="21" x14ac:dyDescent="0.4">
      <c r="A104" s="20" t="s">
        <v>65</v>
      </c>
      <c r="D104" s="25">
        <v>0</v>
      </c>
      <c r="E104" s="25">
        <f>D104+E87</f>
        <v>10000</v>
      </c>
      <c r="F104" s="25">
        <f t="shared" ref="F104:K104" si="29">E104+F87</f>
        <v>20000</v>
      </c>
      <c r="G104" s="25">
        <f t="shared" si="29"/>
        <v>30000</v>
      </c>
      <c r="H104" s="25">
        <f t="shared" si="29"/>
        <v>40000</v>
      </c>
      <c r="I104" s="25">
        <f t="shared" si="29"/>
        <v>50000</v>
      </c>
      <c r="J104" s="25">
        <f t="shared" si="29"/>
        <v>60000</v>
      </c>
      <c r="K104" s="25">
        <f t="shared" si="29"/>
        <v>70000</v>
      </c>
      <c r="L104" s="25">
        <v>0</v>
      </c>
    </row>
    <row r="105" spans="1:12" s="20" customFormat="1" ht="21" x14ac:dyDescent="0.4">
      <c r="A105" s="24" t="s">
        <v>66</v>
      </c>
      <c r="D105" s="25">
        <f>D103-D104</f>
        <v>70000</v>
      </c>
      <c r="E105" s="25">
        <f t="shared" ref="E105:K105" si="30">E103-E104</f>
        <v>60000</v>
      </c>
      <c r="F105" s="25">
        <f t="shared" si="30"/>
        <v>50000</v>
      </c>
      <c r="G105" s="25">
        <f t="shared" si="30"/>
        <v>40000</v>
      </c>
      <c r="H105" s="25">
        <f t="shared" si="30"/>
        <v>30000</v>
      </c>
      <c r="I105" s="25">
        <f t="shared" si="30"/>
        <v>20000</v>
      </c>
      <c r="J105" s="25">
        <f t="shared" si="30"/>
        <v>10000</v>
      </c>
      <c r="K105" s="25">
        <f t="shared" si="30"/>
        <v>0</v>
      </c>
      <c r="L105" s="25">
        <v>0</v>
      </c>
    </row>
    <row r="106" spans="1:12" s="20" customFormat="1" ht="21" x14ac:dyDescent="0.4">
      <c r="A106" s="24" t="s">
        <v>67</v>
      </c>
      <c r="D106" s="21">
        <f>D102+D105</f>
        <v>0</v>
      </c>
      <c r="E106" s="21">
        <f t="shared" ref="E106:L106" si="31">E102+E105</f>
        <v>-21380</v>
      </c>
      <c r="F106" s="21">
        <f t="shared" si="31"/>
        <v>-52780</v>
      </c>
      <c r="G106" s="21">
        <f t="shared" si="31"/>
        <v>-11629.999999999985</v>
      </c>
      <c r="H106" s="21">
        <f t="shared" si="31"/>
        <v>13720.000000000018</v>
      </c>
      <c r="I106" s="21">
        <f t="shared" si="31"/>
        <v>38960.000000000029</v>
      </c>
      <c r="J106" s="21">
        <f t="shared" si="31"/>
        <v>63640.000000000029</v>
      </c>
      <c r="K106" s="21">
        <f t="shared" si="31"/>
        <v>88040.000000000044</v>
      </c>
      <c r="L106" s="21">
        <f t="shared" si="31"/>
        <v>68840.000000000044</v>
      </c>
    </row>
    <row r="107" spans="1:12" x14ac:dyDescent="0.35">
      <c r="D107" s="8"/>
      <c r="E107" s="8"/>
      <c r="F107" s="8"/>
      <c r="G107" s="8"/>
      <c r="H107" s="8"/>
      <c r="I107" s="8"/>
      <c r="J107" s="8"/>
      <c r="K107" s="8"/>
      <c r="L107" s="8"/>
    </row>
    <row r="108" spans="1:12" ht="21" x14ac:dyDescent="0.4">
      <c r="A108" s="24" t="s">
        <v>68</v>
      </c>
      <c r="D108" s="8"/>
      <c r="E108" s="8"/>
      <c r="F108" s="8"/>
      <c r="G108" s="8"/>
      <c r="H108" s="8"/>
      <c r="I108" s="8"/>
      <c r="J108" s="8"/>
      <c r="K108" s="8"/>
      <c r="L108" s="8"/>
    </row>
    <row r="109" spans="1:12" ht="21" x14ac:dyDescent="0.4">
      <c r="A109" s="20" t="s">
        <v>69</v>
      </c>
      <c r="D109" s="8"/>
      <c r="E109" s="8"/>
      <c r="F109" s="8"/>
      <c r="G109" s="8"/>
      <c r="H109" s="8"/>
      <c r="I109" s="8"/>
      <c r="J109" s="8"/>
      <c r="K109" s="8"/>
      <c r="L109" s="8"/>
    </row>
    <row r="110" spans="1:12" ht="21" x14ac:dyDescent="0.4">
      <c r="A110" s="20" t="s">
        <v>70</v>
      </c>
      <c r="D110" s="8">
        <v>0</v>
      </c>
      <c r="E110" s="8">
        <f>$B$44*E76</f>
        <v>0</v>
      </c>
      <c r="F110" s="8">
        <f t="shared" ref="F110:L110" si="32">$B$44*F76</f>
        <v>0</v>
      </c>
      <c r="G110" s="8">
        <f t="shared" si="32"/>
        <v>4950</v>
      </c>
      <c r="H110" s="8">
        <f t="shared" si="32"/>
        <v>4499.9999999999991</v>
      </c>
      <c r="I110" s="8">
        <f t="shared" si="32"/>
        <v>4499.9999999999991</v>
      </c>
      <c r="J110" s="8">
        <f t="shared" si="32"/>
        <v>4499.9999999999991</v>
      </c>
      <c r="K110" s="8">
        <f t="shared" si="32"/>
        <v>4499.9999999999991</v>
      </c>
      <c r="L110" s="8">
        <f t="shared" si="32"/>
        <v>0</v>
      </c>
    </row>
    <row r="111" spans="1:12" ht="21" x14ac:dyDescent="0.4">
      <c r="A111" s="20" t="s">
        <v>71</v>
      </c>
      <c r="D111" s="8">
        <v>0</v>
      </c>
      <c r="E111" s="8">
        <f>E89*$B$47</f>
        <v>7500</v>
      </c>
      <c r="F111" s="8">
        <f t="shared" ref="F111:L111" si="33">F89*$B$47</f>
        <v>7500</v>
      </c>
      <c r="G111" s="8">
        <f t="shared" si="33"/>
        <v>16500</v>
      </c>
      <c r="H111" s="8">
        <f t="shared" si="33"/>
        <v>16500</v>
      </c>
      <c r="I111" s="8">
        <f t="shared" si="33"/>
        <v>16500</v>
      </c>
      <c r="J111" s="8">
        <f t="shared" si="33"/>
        <v>16500</v>
      </c>
      <c r="K111" s="8">
        <f t="shared" si="33"/>
        <v>16500</v>
      </c>
      <c r="L111" s="8">
        <f t="shared" si="33"/>
        <v>0</v>
      </c>
    </row>
    <row r="112" spans="1:12" ht="21" x14ac:dyDescent="0.4">
      <c r="A112" s="20" t="s">
        <v>72</v>
      </c>
      <c r="D112" s="19">
        <v>0</v>
      </c>
      <c r="E112" s="19">
        <v>0</v>
      </c>
      <c r="F112" s="19">
        <v>0</v>
      </c>
      <c r="G112" s="19">
        <v>0</v>
      </c>
      <c r="H112" s="19">
        <v>0</v>
      </c>
      <c r="I112" s="19">
        <v>0</v>
      </c>
      <c r="J112" s="19">
        <v>0</v>
      </c>
      <c r="K112" s="19">
        <v>0</v>
      </c>
      <c r="L112" s="19">
        <v>0</v>
      </c>
    </row>
    <row r="113" spans="1:12" ht="21" x14ac:dyDescent="0.4">
      <c r="A113" s="24" t="s">
        <v>73</v>
      </c>
      <c r="D113" s="8">
        <f>SUM(D110:D112)</f>
        <v>0</v>
      </c>
      <c r="E113" s="8">
        <f t="shared" ref="E113:L113" si="34">SUM(E110:E112)</f>
        <v>7500</v>
      </c>
      <c r="F113" s="8">
        <f t="shared" si="34"/>
        <v>7500</v>
      </c>
      <c r="G113" s="8">
        <f t="shared" si="34"/>
        <v>21450</v>
      </c>
      <c r="H113" s="8">
        <f t="shared" si="34"/>
        <v>21000</v>
      </c>
      <c r="I113" s="8">
        <f t="shared" si="34"/>
        <v>21000</v>
      </c>
      <c r="J113" s="8">
        <f t="shared" si="34"/>
        <v>21000</v>
      </c>
      <c r="K113" s="8">
        <f t="shared" si="34"/>
        <v>21000</v>
      </c>
      <c r="L113" s="8">
        <f t="shared" si="34"/>
        <v>0</v>
      </c>
    </row>
    <row r="114" spans="1:12" ht="21" x14ac:dyDescent="0.4">
      <c r="A114" s="20"/>
      <c r="D114" s="8"/>
      <c r="E114" s="8"/>
      <c r="F114" s="8"/>
      <c r="G114" s="8"/>
      <c r="H114" s="8"/>
      <c r="I114" s="8"/>
      <c r="J114" s="8"/>
      <c r="K114" s="8"/>
      <c r="L114" s="8"/>
    </row>
    <row r="115" spans="1:12" ht="21" x14ac:dyDescent="0.4">
      <c r="A115" s="24" t="s">
        <v>74</v>
      </c>
      <c r="D115" s="8"/>
      <c r="E115" s="8"/>
      <c r="F115" s="8"/>
      <c r="G115" s="8"/>
      <c r="H115" s="8"/>
      <c r="I115" s="8"/>
      <c r="J115" s="8"/>
      <c r="K115" s="8"/>
      <c r="L115" s="8"/>
    </row>
    <row r="116" spans="1:12" ht="21" x14ac:dyDescent="0.4">
      <c r="A116" s="20" t="s">
        <v>75</v>
      </c>
      <c r="D116" s="8">
        <v>0</v>
      </c>
      <c r="E116" s="8">
        <v>0</v>
      </c>
      <c r="F116" s="8">
        <v>0</v>
      </c>
      <c r="G116" s="8">
        <v>0</v>
      </c>
      <c r="H116" s="8">
        <v>0</v>
      </c>
      <c r="I116" s="8">
        <v>0</v>
      </c>
      <c r="J116" s="8">
        <v>0</v>
      </c>
      <c r="K116" s="8">
        <v>0</v>
      </c>
      <c r="L116" s="8">
        <v>0</v>
      </c>
    </row>
    <row r="117" spans="1:12" ht="21" x14ac:dyDescent="0.4">
      <c r="A117" s="20" t="s">
        <v>76</v>
      </c>
      <c r="D117" s="19">
        <v>0</v>
      </c>
      <c r="E117" s="19">
        <f>D117+E93</f>
        <v>-28880</v>
      </c>
      <c r="F117" s="19">
        <f t="shared" ref="F117:L117" si="35">E117+F93</f>
        <v>-60280</v>
      </c>
      <c r="G117" s="19">
        <f t="shared" si="35"/>
        <v>-33079.999999999993</v>
      </c>
      <c r="H117" s="19">
        <f t="shared" si="35"/>
        <v>-7279.9999999999854</v>
      </c>
      <c r="I117" s="19">
        <f t="shared" si="35"/>
        <v>17960.000000000022</v>
      </c>
      <c r="J117" s="19">
        <f t="shared" si="35"/>
        <v>42640.000000000029</v>
      </c>
      <c r="K117" s="19">
        <f t="shared" si="35"/>
        <v>67040.000000000029</v>
      </c>
      <c r="L117" s="19">
        <f t="shared" si="35"/>
        <v>68840.000000000029</v>
      </c>
    </row>
    <row r="118" spans="1:12" ht="21" x14ac:dyDescent="0.4">
      <c r="A118" s="24" t="s">
        <v>77</v>
      </c>
      <c r="D118" s="8">
        <f>D116+D117</f>
        <v>0</v>
      </c>
      <c r="E118" s="8">
        <f t="shared" ref="E118:L118" si="36">E116+E117</f>
        <v>-28880</v>
      </c>
      <c r="F118" s="8">
        <f t="shared" si="36"/>
        <v>-60280</v>
      </c>
      <c r="G118" s="8">
        <f t="shared" si="36"/>
        <v>-33079.999999999993</v>
      </c>
      <c r="H118" s="8">
        <f t="shared" si="36"/>
        <v>-7279.9999999999854</v>
      </c>
      <c r="I118" s="8">
        <f t="shared" si="36"/>
        <v>17960.000000000022</v>
      </c>
      <c r="J118" s="8">
        <f t="shared" si="36"/>
        <v>42640.000000000029</v>
      </c>
      <c r="K118" s="8">
        <f t="shared" si="36"/>
        <v>67040.000000000029</v>
      </c>
      <c r="L118" s="8">
        <f t="shared" si="36"/>
        <v>68840.000000000029</v>
      </c>
    </row>
    <row r="119" spans="1:12" ht="21" x14ac:dyDescent="0.4">
      <c r="A119" s="24"/>
      <c r="D119" s="8"/>
      <c r="E119" s="8"/>
      <c r="F119" s="8"/>
      <c r="G119" s="8"/>
      <c r="H119" s="8"/>
      <c r="I119" s="8"/>
      <c r="J119" s="8"/>
      <c r="K119" s="8"/>
      <c r="L119" s="8"/>
    </row>
    <row r="120" spans="1:12" ht="21" x14ac:dyDescent="0.4">
      <c r="A120" s="24" t="s">
        <v>78</v>
      </c>
      <c r="D120" s="8">
        <f>D113+D118</f>
        <v>0</v>
      </c>
      <c r="E120" s="8">
        <f t="shared" ref="E120:L120" si="37">E113+E118</f>
        <v>-21380</v>
      </c>
      <c r="F120" s="8">
        <f t="shared" si="37"/>
        <v>-52780</v>
      </c>
      <c r="G120" s="8">
        <f t="shared" si="37"/>
        <v>-11629.999999999993</v>
      </c>
      <c r="H120" s="8">
        <f t="shared" si="37"/>
        <v>13720.000000000015</v>
      </c>
      <c r="I120" s="8">
        <f t="shared" si="37"/>
        <v>38960.000000000022</v>
      </c>
      <c r="J120" s="8">
        <f t="shared" si="37"/>
        <v>63640.000000000029</v>
      </c>
      <c r="K120" s="8">
        <f t="shared" si="37"/>
        <v>88040.000000000029</v>
      </c>
      <c r="L120" s="8">
        <f t="shared" si="37"/>
        <v>68840.000000000029</v>
      </c>
    </row>
    <row r="123" spans="1:12" x14ac:dyDescent="0.35">
      <c r="A123" s="18" t="s">
        <v>87</v>
      </c>
      <c r="B123" s="6"/>
      <c r="C123" s="6"/>
      <c r="D123" s="2">
        <v>0</v>
      </c>
      <c r="E123" s="2">
        <v>1</v>
      </c>
      <c r="F123" s="2">
        <v>2</v>
      </c>
      <c r="G123" s="2">
        <v>3</v>
      </c>
      <c r="H123" s="2">
        <v>4</v>
      </c>
      <c r="I123" s="2">
        <v>5</v>
      </c>
      <c r="J123" s="2">
        <v>6</v>
      </c>
      <c r="K123" s="2">
        <v>7</v>
      </c>
      <c r="L123" s="2">
        <v>8</v>
      </c>
    </row>
    <row r="124" spans="1:12" x14ac:dyDescent="0.35">
      <c r="A124" s="6" t="s">
        <v>55</v>
      </c>
      <c r="B124" s="6"/>
      <c r="C124" s="6"/>
      <c r="D124" s="6"/>
      <c r="E124" s="35">
        <f>E93</f>
        <v>-28880</v>
      </c>
      <c r="F124" s="35">
        <f t="shared" ref="F124:L124" si="38">F93</f>
        <v>-31400</v>
      </c>
      <c r="G124" s="35">
        <f t="shared" si="38"/>
        <v>27200.000000000007</v>
      </c>
      <c r="H124" s="35">
        <f t="shared" si="38"/>
        <v>25800.000000000007</v>
      </c>
      <c r="I124" s="35">
        <f t="shared" si="38"/>
        <v>25240.000000000007</v>
      </c>
      <c r="J124" s="35">
        <f t="shared" si="38"/>
        <v>24680.000000000007</v>
      </c>
      <c r="K124" s="35">
        <f t="shared" si="38"/>
        <v>24400.000000000007</v>
      </c>
      <c r="L124" s="35">
        <f t="shared" si="38"/>
        <v>1800</v>
      </c>
    </row>
    <row r="125" spans="1:12" x14ac:dyDescent="0.35">
      <c r="A125" s="6" t="s">
        <v>88</v>
      </c>
      <c r="B125" s="6"/>
      <c r="C125" s="6"/>
      <c r="D125" s="6"/>
      <c r="E125" s="35">
        <f>E87</f>
        <v>10000</v>
      </c>
      <c r="F125" s="35">
        <f t="shared" ref="F125:L125" si="39">F87</f>
        <v>10000</v>
      </c>
      <c r="G125" s="35">
        <f t="shared" si="39"/>
        <v>10000</v>
      </c>
      <c r="H125" s="35">
        <f t="shared" si="39"/>
        <v>10000</v>
      </c>
      <c r="I125" s="35">
        <f t="shared" si="39"/>
        <v>10000</v>
      </c>
      <c r="J125" s="35">
        <f t="shared" si="39"/>
        <v>10000</v>
      </c>
      <c r="K125" s="35">
        <f t="shared" si="39"/>
        <v>10000</v>
      </c>
      <c r="L125" s="35">
        <f t="shared" si="39"/>
        <v>0</v>
      </c>
    </row>
    <row r="126" spans="1:12" x14ac:dyDescent="0.35">
      <c r="A126" s="6" t="s">
        <v>89</v>
      </c>
      <c r="B126" s="6"/>
      <c r="C126" s="6"/>
      <c r="D126" s="6"/>
      <c r="E126" s="35">
        <f>-(E100-D100)</f>
        <v>0</v>
      </c>
      <c r="F126" s="35">
        <f t="shared" ref="F126:L126" si="40">-(F100-E100)</f>
        <v>0</v>
      </c>
      <c r="G126" s="35">
        <f t="shared" si="40"/>
        <v>-19999.999999999996</v>
      </c>
      <c r="H126" s="35">
        <f t="shared" si="40"/>
        <v>0</v>
      </c>
      <c r="I126" s="35">
        <f t="shared" si="40"/>
        <v>0</v>
      </c>
      <c r="J126" s="35">
        <f t="shared" si="40"/>
        <v>0</v>
      </c>
      <c r="K126" s="35">
        <f t="shared" si="40"/>
        <v>0</v>
      </c>
      <c r="L126" s="35">
        <f t="shared" si="40"/>
        <v>19999.999999999996</v>
      </c>
    </row>
    <row r="127" spans="1:12" x14ac:dyDescent="0.35">
      <c r="A127" s="6" t="s">
        <v>90</v>
      </c>
      <c r="B127" s="6"/>
      <c r="C127" s="6"/>
      <c r="D127" s="6"/>
      <c r="E127" s="35">
        <f>-(E101-D101)</f>
        <v>0</v>
      </c>
      <c r="F127" s="35">
        <f t="shared" ref="F127:L127" si="41">-(F101-E101)</f>
        <v>0</v>
      </c>
      <c r="G127" s="35">
        <f t="shared" si="41"/>
        <v>-9000</v>
      </c>
      <c r="H127" s="35">
        <f t="shared" si="41"/>
        <v>0</v>
      </c>
      <c r="I127" s="35">
        <f t="shared" si="41"/>
        <v>0</v>
      </c>
      <c r="J127" s="35">
        <f t="shared" si="41"/>
        <v>0</v>
      </c>
      <c r="K127" s="35">
        <f t="shared" si="41"/>
        <v>0</v>
      </c>
      <c r="L127" s="35">
        <f t="shared" si="41"/>
        <v>9000</v>
      </c>
    </row>
    <row r="128" spans="1:12" x14ac:dyDescent="0.35">
      <c r="A128" s="6" t="s">
        <v>91</v>
      </c>
      <c r="B128" s="6"/>
      <c r="C128" s="6"/>
      <c r="D128" s="6"/>
      <c r="E128" s="35">
        <f>E110-D110</f>
        <v>0</v>
      </c>
      <c r="F128" s="35">
        <f t="shared" ref="F128:L128" si="42">F110-E110</f>
        <v>0</v>
      </c>
      <c r="G128" s="35">
        <f t="shared" si="42"/>
        <v>4950</v>
      </c>
      <c r="H128" s="35">
        <f t="shared" si="42"/>
        <v>-450.00000000000091</v>
      </c>
      <c r="I128" s="35">
        <f t="shared" si="42"/>
        <v>0</v>
      </c>
      <c r="J128" s="35">
        <f t="shared" si="42"/>
        <v>0</v>
      </c>
      <c r="K128" s="35">
        <f t="shared" si="42"/>
        <v>0</v>
      </c>
      <c r="L128" s="35">
        <f t="shared" si="42"/>
        <v>-4499.9999999999991</v>
      </c>
    </row>
    <row r="129" spans="1:14" x14ac:dyDescent="0.35">
      <c r="A129" s="6" t="s">
        <v>92</v>
      </c>
      <c r="B129" s="6"/>
      <c r="C129" s="6"/>
      <c r="D129" s="6"/>
      <c r="E129" s="35">
        <f>E111-D111</f>
        <v>7500</v>
      </c>
      <c r="F129" s="35">
        <f t="shared" ref="F129:L129" si="43">F111-E111</f>
        <v>0</v>
      </c>
      <c r="G129" s="35">
        <f t="shared" si="43"/>
        <v>9000</v>
      </c>
      <c r="H129" s="35">
        <f t="shared" si="43"/>
        <v>0</v>
      </c>
      <c r="I129" s="35">
        <f t="shared" si="43"/>
        <v>0</v>
      </c>
      <c r="J129" s="35">
        <f t="shared" si="43"/>
        <v>0</v>
      </c>
      <c r="K129" s="35">
        <f t="shared" si="43"/>
        <v>0</v>
      </c>
      <c r="L129" s="35">
        <f t="shared" si="43"/>
        <v>-16500</v>
      </c>
    </row>
    <row r="130" spans="1:14" x14ac:dyDescent="0.35">
      <c r="A130" s="6" t="s">
        <v>93</v>
      </c>
      <c r="B130" s="6"/>
      <c r="C130" s="6"/>
      <c r="D130" s="6"/>
      <c r="E130" s="35">
        <v>0</v>
      </c>
      <c r="F130" s="35">
        <v>0</v>
      </c>
      <c r="G130" s="35">
        <v>0</v>
      </c>
      <c r="H130" s="35">
        <v>0</v>
      </c>
      <c r="I130" s="35">
        <v>0</v>
      </c>
      <c r="J130" s="35">
        <v>0</v>
      </c>
      <c r="K130" s="35">
        <v>0</v>
      </c>
      <c r="L130" s="35">
        <f>K105-B50</f>
        <v>-5000</v>
      </c>
    </row>
    <row r="131" spans="1:14" x14ac:dyDescent="0.35">
      <c r="A131" s="6" t="s">
        <v>94</v>
      </c>
      <c r="B131" s="6"/>
      <c r="C131" s="6"/>
      <c r="D131" s="6"/>
      <c r="E131" s="35">
        <f>SUM(E124:E130)</f>
        <v>-11380</v>
      </c>
      <c r="F131" s="35">
        <f t="shared" ref="F131:L131" si="44">SUM(F124:F130)</f>
        <v>-21400</v>
      </c>
      <c r="G131" s="35">
        <f t="shared" si="44"/>
        <v>22150.000000000011</v>
      </c>
      <c r="H131" s="35">
        <f t="shared" si="44"/>
        <v>35350.000000000007</v>
      </c>
      <c r="I131" s="35">
        <f t="shared" si="44"/>
        <v>35240.000000000007</v>
      </c>
      <c r="J131" s="35">
        <f t="shared" si="44"/>
        <v>34680.000000000007</v>
      </c>
      <c r="K131" s="35">
        <f t="shared" si="44"/>
        <v>34400.000000000007</v>
      </c>
      <c r="L131" s="35">
        <f t="shared" si="44"/>
        <v>4799.9999999999964</v>
      </c>
    </row>
    <row r="132" spans="1:14" x14ac:dyDescent="0.3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</row>
    <row r="133" spans="1:14" x14ac:dyDescent="0.35">
      <c r="A133" s="6" t="s">
        <v>95</v>
      </c>
      <c r="B133" s="6"/>
      <c r="C133" s="6"/>
      <c r="D133" s="35">
        <f>-D103</f>
        <v>-70000</v>
      </c>
      <c r="E133" s="35">
        <v>0</v>
      </c>
      <c r="F133" s="35">
        <v>0</v>
      </c>
      <c r="G133" s="35">
        <v>0</v>
      </c>
      <c r="H133" s="35">
        <v>0</v>
      </c>
      <c r="I133" s="35">
        <v>0</v>
      </c>
      <c r="J133" s="35">
        <v>0</v>
      </c>
      <c r="K133" s="35">
        <v>0</v>
      </c>
      <c r="L133" s="35">
        <v>0</v>
      </c>
    </row>
    <row r="134" spans="1:14" x14ac:dyDescent="0.35">
      <c r="A134" s="6" t="s">
        <v>96</v>
      </c>
      <c r="B134" s="6"/>
      <c r="C134" s="6"/>
      <c r="D134" s="35">
        <v>0</v>
      </c>
      <c r="E134" s="35">
        <v>0</v>
      </c>
      <c r="F134" s="35">
        <v>0</v>
      </c>
      <c r="G134" s="35">
        <v>0</v>
      </c>
      <c r="H134" s="35">
        <v>0</v>
      </c>
      <c r="I134" s="35">
        <v>0</v>
      </c>
      <c r="J134" s="35">
        <v>0</v>
      </c>
      <c r="K134" s="35">
        <v>0</v>
      </c>
      <c r="L134" s="35">
        <f>-L130</f>
        <v>5000</v>
      </c>
    </row>
    <row r="135" spans="1:14" x14ac:dyDescent="0.3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</row>
    <row r="136" spans="1:14" x14ac:dyDescent="0.35">
      <c r="A136" s="6" t="s">
        <v>97</v>
      </c>
      <c r="B136" s="6"/>
      <c r="C136" s="6"/>
      <c r="D136" s="35">
        <f>D134+D133+D131</f>
        <v>-70000</v>
      </c>
      <c r="E136" s="35">
        <f t="shared" ref="E136:L136" si="45">E134+E133+E131</f>
        <v>-11380</v>
      </c>
      <c r="F136" s="35">
        <f t="shared" si="45"/>
        <v>-21400</v>
      </c>
      <c r="G136" s="35">
        <f t="shared" si="45"/>
        <v>22150.000000000011</v>
      </c>
      <c r="H136" s="35">
        <f t="shared" si="45"/>
        <v>35350.000000000007</v>
      </c>
      <c r="I136" s="35">
        <f t="shared" si="45"/>
        <v>35240.000000000007</v>
      </c>
      <c r="J136" s="35">
        <f t="shared" si="45"/>
        <v>34680.000000000007</v>
      </c>
      <c r="K136" s="35">
        <f t="shared" si="45"/>
        <v>34400.000000000007</v>
      </c>
      <c r="L136" s="35">
        <f t="shared" si="45"/>
        <v>9799.9999999999964</v>
      </c>
    </row>
    <row r="138" spans="1:14" x14ac:dyDescent="0.35">
      <c r="A138" s="30" t="s">
        <v>99</v>
      </c>
      <c r="B138" s="31">
        <f>NPV(B15,E136:L136)</f>
        <v>96624.32074372709</v>
      </c>
      <c r="L138" s="33">
        <f>N138/(1+B15)^7</f>
        <v>381299.41181013943</v>
      </c>
      <c r="M138" s="33"/>
      <c r="N138" s="33">
        <f>K136/B15</f>
        <v>573333.33333333349</v>
      </c>
    </row>
    <row r="139" spans="1:14" x14ac:dyDescent="0.35">
      <c r="A139" s="30" t="s">
        <v>100</v>
      </c>
      <c r="B139" s="31">
        <f>B138+D136</f>
        <v>26624.32074372709</v>
      </c>
      <c r="F139" s="33" t="s">
        <v>98</v>
      </c>
      <c r="G139" s="34">
        <f>D136+NPV(B15,E136:K136)</f>
        <v>20475.679504577201</v>
      </c>
      <c r="H139" s="33"/>
      <c r="I139" s="33"/>
      <c r="J139" s="33"/>
      <c r="K139" s="33"/>
      <c r="L139" s="33">
        <f>N139/(1+B15)^7</f>
        <v>585915.31710127823</v>
      </c>
      <c r="M139" s="33"/>
      <c r="N139" s="33">
        <f>I136/(B15-2%)</f>
        <v>881000.00000000035</v>
      </c>
    </row>
    <row r="140" spans="1:14" x14ac:dyDescent="0.35">
      <c r="A140" s="30"/>
      <c r="B140" s="30"/>
    </row>
    <row r="141" spans="1:14" x14ac:dyDescent="0.35">
      <c r="A141" s="30" t="s">
        <v>101</v>
      </c>
      <c r="B141" s="32">
        <f>IRR(D136:L136)</f>
        <v>0.11521145746599792</v>
      </c>
    </row>
    <row r="143" spans="1:14" ht="21" x14ac:dyDescent="0.4">
      <c r="A143" s="26" t="s">
        <v>79</v>
      </c>
      <c r="E143" s="2">
        <f t="shared" ref="E143:L146" si="46">E83</f>
        <v>1</v>
      </c>
      <c r="F143" s="2">
        <f t="shared" si="46"/>
        <v>2</v>
      </c>
      <c r="G143" s="2">
        <f t="shared" si="46"/>
        <v>3</v>
      </c>
      <c r="H143" s="2">
        <f t="shared" si="46"/>
        <v>4</v>
      </c>
      <c r="I143" s="2">
        <f t="shared" si="46"/>
        <v>5</v>
      </c>
      <c r="J143" s="2">
        <f t="shared" si="46"/>
        <v>6</v>
      </c>
      <c r="K143" s="2">
        <f t="shared" si="46"/>
        <v>7</v>
      </c>
      <c r="L143" s="2">
        <f t="shared" si="46"/>
        <v>8</v>
      </c>
    </row>
    <row r="144" spans="1:14" ht="21" x14ac:dyDescent="0.4">
      <c r="A144" s="20" t="s">
        <v>36</v>
      </c>
      <c r="E144" s="8">
        <f t="shared" si="46"/>
        <v>0</v>
      </c>
      <c r="F144" s="8">
        <f t="shared" si="46"/>
        <v>0</v>
      </c>
      <c r="G144" s="8">
        <f t="shared" si="46"/>
        <v>200000</v>
      </c>
      <c r="H144" s="8">
        <f t="shared" si="46"/>
        <v>200000</v>
      </c>
      <c r="I144" s="8">
        <f t="shared" si="46"/>
        <v>200000</v>
      </c>
      <c r="J144" s="8">
        <f t="shared" si="46"/>
        <v>200000</v>
      </c>
      <c r="K144" s="8">
        <f t="shared" si="46"/>
        <v>200000</v>
      </c>
      <c r="L144" s="8">
        <f t="shared" si="46"/>
        <v>9000</v>
      </c>
    </row>
    <row r="145" spans="1:12" ht="21" x14ac:dyDescent="0.4">
      <c r="A145" s="22" t="s">
        <v>80</v>
      </c>
      <c r="E145" s="8">
        <f t="shared" si="46"/>
        <v>0</v>
      </c>
      <c r="F145" s="8">
        <f t="shared" si="46"/>
        <v>0</v>
      </c>
      <c r="G145" s="8">
        <f t="shared" si="46"/>
        <v>89999.999999999985</v>
      </c>
      <c r="H145" s="8">
        <f t="shared" si="46"/>
        <v>89999.999999999985</v>
      </c>
      <c r="I145" s="8">
        <f t="shared" si="46"/>
        <v>89999.999999999985</v>
      </c>
      <c r="J145" s="8">
        <f t="shared" si="46"/>
        <v>89999.999999999985</v>
      </c>
      <c r="K145" s="8">
        <f t="shared" si="46"/>
        <v>89999.999999999985</v>
      </c>
      <c r="L145" s="8">
        <f t="shared" si="46"/>
        <v>9000</v>
      </c>
    </row>
    <row r="146" spans="1:12" ht="21" x14ac:dyDescent="0.4">
      <c r="A146" s="24" t="s">
        <v>48</v>
      </c>
      <c r="E146" s="8">
        <f t="shared" si="46"/>
        <v>0</v>
      </c>
      <c r="F146" s="8">
        <f t="shared" si="46"/>
        <v>0</v>
      </c>
      <c r="G146" s="8">
        <f t="shared" si="46"/>
        <v>110000.00000000001</v>
      </c>
      <c r="H146" s="8">
        <f t="shared" si="46"/>
        <v>110000.00000000001</v>
      </c>
      <c r="I146" s="8">
        <f t="shared" si="46"/>
        <v>110000.00000000001</v>
      </c>
      <c r="J146" s="8">
        <f t="shared" si="46"/>
        <v>110000.00000000001</v>
      </c>
      <c r="K146" s="8">
        <f t="shared" si="46"/>
        <v>110000.00000000001</v>
      </c>
      <c r="L146" s="8">
        <f t="shared" si="46"/>
        <v>0</v>
      </c>
    </row>
    <row r="147" spans="1:12" ht="21" x14ac:dyDescent="0.4">
      <c r="A147" s="20" t="s">
        <v>81</v>
      </c>
      <c r="E147" s="8">
        <f t="shared" ref="E147:L147" si="47">E61</f>
        <v>20300</v>
      </c>
      <c r="F147" s="8">
        <f t="shared" si="47"/>
        <v>14000</v>
      </c>
      <c r="G147" s="8">
        <f t="shared" si="47"/>
        <v>10500</v>
      </c>
      <c r="H147" s="8">
        <f t="shared" si="47"/>
        <v>7000</v>
      </c>
      <c r="I147" s="8">
        <f t="shared" si="47"/>
        <v>5600</v>
      </c>
      <c r="J147" s="8">
        <f t="shared" si="47"/>
        <v>4200</v>
      </c>
      <c r="K147" s="8">
        <f t="shared" si="47"/>
        <v>3500</v>
      </c>
      <c r="L147" s="8">
        <f t="shared" si="47"/>
        <v>0</v>
      </c>
    </row>
    <row r="148" spans="1:12" ht="21" x14ac:dyDescent="0.4">
      <c r="A148" s="20" t="s">
        <v>82</v>
      </c>
      <c r="E148" s="8">
        <f t="shared" ref="E148:L150" si="48">E88</f>
        <v>20000</v>
      </c>
      <c r="F148" s="8">
        <f t="shared" si="48"/>
        <v>20000</v>
      </c>
      <c r="G148" s="8">
        <f t="shared" si="48"/>
        <v>0</v>
      </c>
      <c r="H148" s="8">
        <f t="shared" si="48"/>
        <v>0</v>
      </c>
      <c r="I148" s="8">
        <f t="shared" si="48"/>
        <v>0</v>
      </c>
      <c r="J148" s="8">
        <f t="shared" si="48"/>
        <v>0</v>
      </c>
      <c r="K148" s="8">
        <f t="shared" si="48"/>
        <v>0</v>
      </c>
      <c r="L148" s="8">
        <f t="shared" si="48"/>
        <v>0</v>
      </c>
    </row>
    <row r="149" spans="1:12" ht="21" x14ac:dyDescent="0.4">
      <c r="A149" s="20" t="s">
        <v>83</v>
      </c>
      <c r="E149" s="8">
        <f t="shared" si="48"/>
        <v>25000</v>
      </c>
      <c r="F149" s="8">
        <f t="shared" si="48"/>
        <v>25000</v>
      </c>
      <c r="G149" s="8">
        <f t="shared" si="48"/>
        <v>55000</v>
      </c>
      <c r="H149" s="8">
        <f t="shared" si="48"/>
        <v>55000</v>
      </c>
      <c r="I149" s="8">
        <f t="shared" si="48"/>
        <v>55000</v>
      </c>
      <c r="J149" s="8">
        <f t="shared" si="48"/>
        <v>55000</v>
      </c>
      <c r="K149" s="8">
        <f t="shared" si="48"/>
        <v>55000</v>
      </c>
      <c r="L149" s="8">
        <f t="shared" si="48"/>
        <v>0</v>
      </c>
    </row>
    <row r="150" spans="1:12" ht="21" x14ac:dyDescent="0.4">
      <c r="A150" s="22" t="s">
        <v>84</v>
      </c>
      <c r="E150" s="8">
        <f t="shared" si="48"/>
        <v>0</v>
      </c>
      <c r="F150" s="8">
        <f t="shared" si="48"/>
        <v>0</v>
      </c>
      <c r="G150" s="8">
        <f t="shared" si="48"/>
        <v>0</v>
      </c>
      <c r="H150" s="8">
        <f t="shared" si="48"/>
        <v>0</v>
      </c>
      <c r="I150" s="8">
        <f t="shared" si="48"/>
        <v>0</v>
      </c>
      <c r="J150" s="8">
        <f t="shared" si="48"/>
        <v>0</v>
      </c>
      <c r="K150" s="8">
        <f t="shared" si="48"/>
        <v>0</v>
      </c>
      <c r="L150" s="8">
        <f t="shared" si="48"/>
        <v>-3000</v>
      </c>
    </row>
    <row r="151" spans="1:12" ht="21" x14ac:dyDescent="0.4">
      <c r="A151" s="24" t="s">
        <v>85</v>
      </c>
      <c r="E151" s="8">
        <f>E146-SUM(E147:E150)</f>
        <v>-65300</v>
      </c>
      <c r="F151" s="8">
        <f t="shared" ref="F151:L151" si="49">F146-SUM(F147:F150)</f>
        <v>-59000</v>
      </c>
      <c r="G151" s="8">
        <f t="shared" si="49"/>
        <v>44500.000000000015</v>
      </c>
      <c r="H151" s="8">
        <f t="shared" si="49"/>
        <v>48000.000000000015</v>
      </c>
      <c r="I151" s="8">
        <f t="shared" si="49"/>
        <v>49400.000000000015</v>
      </c>
      <c r="J151" s="8">
        <f t="shared" si="49"/>
        <v>50800.000000000015</v>
      </c>
      <c r="K151" s="8">
        <f t="shared" si="49"/>
        <v>51500.000000000015</v>
      </c>
      <c r="L151" s="8">
        <f t="shared" si="49"/>
        <v>3000</v>
      </c>
    </row>
    <row r="152" spans="1:12" ht="21" x14ac:dyDescent="0.4">
      <c r="A152" s="22" t="s">
        <v>86</v>
      </c>
      <c r="E152" s="8">
        <f>E151*$B$16</f>
        <v>-26120</v>
      </c>
      <c r="F152" s="8">
        <f t="shared" ref="F152:L152" si="50">F151*$B$16</f>
        <v>-23600</v>
      </c>
      <c r="G152" s="8">
        <f t="shared" si="50"/>
        <v>17800.000000000007</v>
      </c>
      <c r="H152" s="8">
        <f t="shared" si="50"/>
        <v>19200.000000000007</v>
      </c>
      <c r="I152" s="8">
        <f t="shared" si="50"/>
        <v>19760.000000000007</v>
      </c>
      <c r="J152" s="8">
        <f t="shared" si="50"/>
        <v>20320.000000000007</v>
      </c>
      <c r="K152" s="8">
        <f t="shared" si="50"/>
        <v>20600.000000000007</v>
      </c>
      <c r="L152" s="8">
        <f t="shared" si="50"/>
        <v>1200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D4051-E4D2-4E07-AB1E-A4EEE09B983F}">
  <dimension ref="A1:D46"/>
  <sheetViews>
    <sheetView topLeftCell="A29" zoomScale="128" workbookViewId="0">
      <selection activeCell="A63" sqref="A63"/>
    </sheetView>
  </sheetViews>
  <sheetFormatPr defaultRowHeight="18" x14ac:dyDescent="0.35"/>
  <cols>
    <col min="1" max="1" width="33.6640625" style="5" bestFit="1" customWidth="1"/>
    <col min="2" max="2" width="37.44140625" style="5" bestFit="1" customWidth="1"/>
    <col min="3" max="3" width="15.88671875" style="5" bestFit="1" customWidth="1"/>
    <col min="4" max="4" width="11.77734375" style="5" bestFit="1" customWidth="1"/>
    <col min="5" max="16384" width="8.88671875" style="5"/>
  </cols>
  <sheetData>
    <row r="1" spans="1:4" x14ac:dyDescent="0.35">
      <c r="A1" s="6" t="s">
        <v>102</v>
      </c>
    </row>
    <row r="2" spans="1:4" x14ac:dyDescent="0.35">
      <c r="A2" s="6" t="s">
        <v>103</v>
      </c>
      <c r="B2" s="6" t="s">
        <v>98</v>
      </c>
      <c r="C2" s="6" t="s">
        <v>104</v>
      </c>
    </row>
    <row r="3" spans="1:4" x14ac:dyDescent="0.35">
      <c r="A3" s="5" t="str">
        <f>2400&amp;" (20% Higher)"</f>
        <v>2400 (20% Higher)</v>
      </c>
      <c r="B3" s="27">
        <v>61961.048845972633</v>
      </c>
      <c r="C3" s="29">
        <v>0.17687657595915285</v>
      </c>
    </row>
    <row r="4" spans="1:4" x14ac:dyDescent="0.35">
      <c r="A4" s="5" t="str">
        <f>2000&amp;" (Original Forecast)"</f>
        <v>2000 (Original Forecast)</v>
      </c>
      <c r="B4" s="27">
        <v>26624.32074372709</v>
      </c>
      <c r="C4" s="29">
        <v>0.11521145746599792</v>
      </c>
    </row>
    <row r="5" spans="1:4" x14ac:dyDescent="0.35">
      <c r="A5" s="5" t="str">
        <f>1600&amp;" (20% lower)"</f>
        <v>1600 (20% lower)</v>
      </c>
      <c r="B5" s="27">
        <v>-8712.4073585184742</v>
      </c>
      <c r="C5" s="29">
        <v>3.9628036451142545E-2</v>
      </c>
    </row>
    <row r="7" spans="1:4" x14ac:dyDescent="0.35">
      <c r="A7" s="6" t="s">
        <v>105</v>
      </c>
    </row>
    <row r="8" spans="1:4" x14ac:dyDescent="0.35">
      <c r="A8" s="6" t="s">
        <v>103</v>
      </c>
      <c r="B8" s="6" t="s">
        <v>98</v>
      </c>
      <c r="C8" s="6" t="s">
        <v>104</v>
      </c>
    </row>
    <row r="9" spans="1:4" x14ac:dyDescent="0.35">
      <c r="A9" s="5" t="str">
        <f>A4</f>
        <v>2000 (Original Forecast)</v>
      </c>
      <c r="B9" s="27">
        <f t="shared" ref="B9:C9" si="0">B4</f>
        <v>26624.32074372709</v>
      </c>
      <c r="C9" s="29">
        <f t="shared" si="0"/>
        <v>0.11521145746599792</v>
      </c>
    </row>
    <row r="10" spans="1:4" x14ac:dyDescent="0.35">
      <c r="A10" s="5" t="str">
        <f>1698&amp;" (Breakeven Volume)"</f>
        <v>1698 (Breakeven Volume)</v>
      </c>
      <c r="B10" s="27">
        <f>0</f>
        <v>0</v>
      </c>
      <c r="C10" s="29">
        <v>0.06</v>
      </c>
    </row>
    <row r="12" spans="1:4" x14ac:dyDescent="0.35">
      <c r="A12" s="6" t="s">
        <v>106</v>
      </c>
    </row>
    <row r="13" spans="1:4" x14ac:dyDescent="0.35">
      <c r="B13" s="6" t="s">
        <v>107</v>
      </c>
      <c r="C13" s="6" t="s">
        <v>98</v>
      </c>
      <c r="D13" s="6" t="s">
        <v>104</v>
      </c>
    </row>
    <row r="14" spans="1:4" x14ac:dyDescent="0.35">
      <c r="B14" s="28">
        <v>0.65</v>
      </c>
      <c r="C14" s="27">
        <v>71819.640371818794</v>
      </c>
      <c r="D14" s="29">
        <v>0.19546650358837381</v>
      </c>
    </row>
    <row r="15" spans="1:4" x14ac:dyDescent="0.35">
      <c r="A15" s="5" t="s">
        <v>108</v>
      </c>
      <c r="B15" s="28">
        <v>0.55000000000000004</v>
      </c>
      <c r="C15" s="27">
        <v>26624.32074372709</v>
      </c>
      <c r="D15" s="29">
        <v>0.11521145746599792</v>
      </c>
    </row>
    <row r="16" spans="1:4" x14ac:dyDescent="0.35">
      <c r="B16" s="28">
        <v>0.45</v>
      </c>
      <c r="C16" s="27">
        <v>-18570.998884364693</v>
      </c>
      <c r="D16" s="29">
        <v>1.6701570459807691E-2</v>
      </c>
    </row>
    <row r="17" spans="1:4" x14ac:dyDescent="0.35">
      <c r="A17" s="5" t="s">
        <v>109</v>
      </c>
      <c r="B17" s="29">
        <v>0.49109053556249516</v>
      </c>
      <c r="C17" s="27">
        <v>0</v>
      </c>
      <c r="D17" s="28">
        <v>0.06</v>
      </c>
    </row>
    <row r="19" spans="1:4" x14ac:dyDescent="0.35">
      <c r="A19" s="6" t="s">
        <v>110</v>
      </c>
    </row>
    <row r="20" spans="1:4" x14ac:dyDescent="0.35">
      <c r="B20" s="6" t="s">
        <v>111</v>
      </c>
      <c r="C20" s="6" t="s">
        <v>98</v>
      </c>
      <c r="D20" s="6" t="s">
        <v>104</v>
      </c>
    </row>
    <row r="21" spans="1:4" x14ac:dyDescent="0.35">
      <c r="A21" s="5" t="s">
        <v>108</v>
      </c>
      <c r="B21" s="28">
        <v>0</v>
      </c>
      <c r="C21" s="27">
        <v>26624.32074372709</v>
      </c>
      <c r="D21" s="29">
        <v>0.11521145746599792</v>
      </c>
    </row>
    <row r="22" spans="1:4" x14ac:dyDescent="0.35">
      <c r="A22" s="5" t="s">
        <v>112</v>
      </c>
      <c r="B22" s="28">
        <v>0.25</v>
      </c>
      <c r="C22" s="27">
        <v>132624.19508964344</v>
      </c>
      <c r="D22" s="29">
        <v>0.25059063007295901</v>
      </c>
    </row>
    <row r="32" spans="1:4" x14ac:dyDescent="0.35">
      <c r="A32" s="6" t="s">
        <v>113</v>
      </c>
    </row>
    <row r="33" spans="1:4" x14ac:dyDescent="0.35">
      <c r="B33" s="6" t="s">
        <v>115</v>
      </c>
      <c r="C33" s="6" t="s">
        <v>98</v>
      </c>
      <c r="D33" s="6" t="s">
        <v>104</v>
      </c>
    </row>
    <row r="34" spans="1:4" x14ac:dyDescent="0.35">
      <c r="A34" s="5" t="s">
        <v>114</v>
      </c>
      <c r="B34" s="28">
        <v>0</v>
      </c>
      <c r="C34" s="27">
        <v>26624.32074372709</v>
      </c>
      <c r="D34" s="29">
        <v>0.11521145746599792</v>
      </c>
    </row>
    <row r="35" spans="1:4" x14ac:dyDescent="0.35">
      <c r="A35" s="5">
        <v>1</v>
      </c>
      <c r="B35" s="28">
        <v>0.1</v>
      </c>
      <c r="C35" s="27">
        <v>77298.105917244451</v>
      </c>
      <c r="D35" s="29">
        <v>0.19150968650907996</v>
      </c>
    </row>
    <row r="36" spans="1:4" x14ac:dyDescent="0.35">
      <c r="A36" s="5">
        <v>2</v>
      </c>
      <c r="B36" s="28">
        <v>0.5</v>
      </c>
      <c r="C36" s="27">
        <v>398226.8352521066</v>
      </c>
      <c r="D36" s="29">
        <v>0.42533210951573341</v>
      </c>
    </row>
    <row r="46" spans="1:4" x14ac:dyDescent="0.35">
      <c r="A46" s="5" t="s">
        <v>116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Model- New Venture Capital</vt:lpstr>
      <vt:lpstr>Scenarios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gopal gupta</dc:creator>
  <cp:lastModifiedBy>gopal gupta</cp:lastModifiedBy>
  <dcterms:created xsi:type="dcterms:W3CDTF">2023-05-14T07:48:35Z</dcterms:created>
  <dcterms:modified xsi:type="dcterms:W3CDTF">2023-07-04T15:18:35Z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2023-07-04T15:01:36Z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80f690be-8e4c-4661-a2c2-e9348fbc3b14</vt:lpwstr>
  </property>
  <property fmtid="{D5CDD505-2E9C-101B-9397-08002B2CF9AE}" pid="7" name="MSIP_Label_defa4170-0d19-0005-0004-bc88714345d2_ActionId">
    <vt:lpwstr>ca491772-67c6-41b5-8cc7-2763b3a4b94e</vt:lpwstr>
  </property>
  <property fmtid="{D5CDD505-2E9C-101B-9397-08002B2CF9AE}" pid="8" name="MSIP_Label_defa4170-0d19-0005-0004-bc88714345d2_ContentBits">
    <vt:lpwstr>0</vt:lpwstr>
  </property>
</Properties>
</file>