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240" yWindow="60" windowWidth="20055" windowHeight="7950" firstSheet="6" activeTab="17"/>
  </bookViews>
  <sheets>
    <sheet name="SDP" sheetId="21" r:id="rId1"/>
    <sheet name="1090" sheetId="5" r:id="rId2"/>
    <sheet name="Sheet4" sheetId="4" r:id="rId3"/>
    <sheet name="6518" sheetId="7" r:id="rId4"/>
    <sheet name="dep2" sheetId="10" r:id="rId5"/>
    <sheet name="dep1" sheetId="9" r:id="rId6"/>
    <sheet name="bs" sheetId="13" r:id="rId7"/>
    <sheet name="cf" sheetId="12" r:id="rId8"/>
    <sheet name="bs Annex" sheetId="14" r:id="rId9"/>
    <sheet name="pl" sheetId="11" r:id="rId10"/>
    <sheet name="Sheet1" sheetId="22" r:id="rId11"/>
    <sheet name="nn 13" sheetId="26" r:id="rId12"/>
    <sheet name="Sheet5" sheetId="24" r:id="rId13"/>
    <sheet name="pl Annex" sheetId="15" r:id="rId14"/>
    <sheet name="Sheet3" sheetId="20" r:id="rId15"/>
    <sheet name="Sheet6" sheetId="25" r:id="rId16"/>
    <sheet name="guthi" sheetId="17" r:id="rId17"/>
    <sheet name="Sheet7" sheetId="30" r:id="rId18"/>
    <sheet name="1038" sheetId="28" r:id="rId19"/>
    <sheet name="sis" sheetId="29" r:id="rId20"/>
    <sheet name="666" sheetId="27" r:id="rId21"/>
  </sheets>
  <calcPr calcId="162913"/>
</workbook>
</file>

<file path=xl/calcChain.xml><?xml version="1.0" encoding="utf-8"?>
<calcChain xmlns="http://schemas.openxmlformats.org/spreadsheetml/2006/main">
  <c r="C60" i="28" l="1"/>
  <c r="E60" i="28"/>
  <c r="Q23" i="28"/>
  <c r="R23" i="28"/>
  <c r="V24" i="28"/>
  <c r="R24" i="28" s="1"/>
  <c r="B16" i="28"/>
  <c r="B15" i="28"/>
  <c r="T5" i="28"/>
  <c r="T10" i="28" s="1"/>
  <c r="T6" i="28"/>
  <c r="T7" i="28"/>
  <c r="T8" i="28"/>
  <c r="T9" i="28"/>
  <c r="F36" i="28"/>
  <c r="J36" i="28" s="1"/>
  <c r="J39" i="28" s="1"/>
  <c r="J41" i="28" s="1"/>
  <c r="J42" i="28" s="1"/>
  <c r="G36" i="28"/>
  <c r="H36" i="28"/>
  <c r="I36" i="28"/>
  <c r="E15" i="28"/>
  <c r="N15" i="28" s="1"/>
  <c r="F15" i="28"/>
  <c r="G15" i="28"/>
  <c r="H15" i="28"/>
  <c r="I15" i="28"/>
  <c r="J15" i="28"/>
  <c r="K15" i="28"/>
  <c r="L15" i="28"/>
  <c r="M15" i="28"/>
  <c r="C13" i="28"/>
  <c r="S4" i="27" l="1"/>
  <c r="E17" i="17"/>
  <c r="E42" i="17" s="1"/>
  <c r="E23" i="17"/>
  <c r="B15" i="27"/>
  <c r="D29" i="27"/>
  <c r="G29" i="27"/>
  <c r="H29" i="27"/>
  <c r="D22" i="27"/>
  <c r="E22" i="27"/>
  <c r="F22" i="27"/>
  <c r="O22" i="27" s="1"/>
  <c r="G22" i="27"/>
  <c r="I22" i="27"/>
  <c r="J22" i="27"/>
  <c r="K22" i="27"/>
  <c r="L22" i="27"/>
  <c r="C15" i="27"/>
  <c r="D15" i="27"/>
  <c r="E15" i="27"/>
  <c r="F15" i="27"/>
  <c r="G15" i="27"/>
  <c r="I15" i="27"/>
  <c r="J15" i="27"/>
  <c r="K15" i="27"/>
  <c r="F26" i="27"/>
  <c r="F29" i="27" s="1"/>
  <c r="C20" i="17"/>
  <c r="C42" i="17" s="1"/>
  <c r="H4" i="27"/>
  <c r="H3" i="27"/>
  <c r="H15" i="27" s="1"/>
  <c r="L3" i="27"/>
  <c r="L15" i="27" s="1"/>
  <c r="C18" i="27"/>
  <c r="N18" i="27"/>
  <c r="O15" i="27" l="1"/>
  <c r="O31" i="27" s="1"/>
  <c r="O29" i="27"/>
  <c r="N58" i="25"/>
  <c r="O58" i="25"/>
  <c r="E96" i="25" l="1"/>
  <c r="E89" i="25"/>
  <c r="E90" i="25"/>
  <c r="E91" i="25"/>
  <c r="E92" i="25"/>
  <c r="E93" i="25"/>
  <c r="E94" i="25"/>
  <c r="E95" i="25"/>
  <c r="M35" i="25"/>
  <c r="M33" i="25"/>
  <c r="M34" i="25"/>
  <c r="M32" i="25"/>
  <c r="L55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109" i="25"/>
  <c r="L110" i="25"/>
  <c r="L111" i="25"/>
  <c r="L38" i="25"/>
  <c r="I52" i="25"/>
  <c r="I54" i="25"/>
  <c r="I51" i="25"/>
  <c r="I53" i="25"/>
  <c r="I55" i="25"/>
  <c r="I70" i="25"/>
  <c r="I71" i="25"/>
  <c r="I72" i="25"/>
  <c r="I5" i="25"/>
  <c r="J5" i="25" s="1"/>
  <c r="K5" i="25" s="1"/>
  <c r="I6" i="25"/>
  <c r="J6" i="25" s="1"/>
  <c r="K6" i="25" s="1"/>
  <c r="I7" i="25"/>
  <c r="J7" i="25" s="1"/>
  <c r="K7" i="25" s="1"/>
  <c r="I8" i="25"/>
  <c r="J8" i="25" s="1"/>
  <c r="K8" i="25" s="1"/>
  <c r="I9" i="25"/>
  <c r="J9" i="25" s="1"/>
  <c r="K9" i="25" s="1"/>
  <c r="I10" i="25"/>
  <c r="J10" i="25" s="1"/>
  <c r="K10" i="25" s="1"/>
  <c r="I11" i="25"/>
  <c r="J11" i="25" s="1"/>
  <c r="K11" i="25" s="1"/>
  <c r="I12" i="25"/>
  <c r="J12" i="25" s="1"/>
  <c r="K12" i="25" s="1"/>
  <c r="I13" i="25"/>
  <c r="J13" i="25" s="1"/>
  <c r="K13" i="25" s="1"/>
  <c r="I14" i="25"/>
  <c r="J14" i="25" s="1"/>
  <c r="K14" i="25" s="1"/>
  <c r="I15" i="25"/>
  <c r="J15" i="25" s="1"/>
  <c r="K15" i="25" s="1"/>
  <c r="I16" i="25"/>
  <c r="J16" i="25" s="1"/>
  <c r="K16" i="25" s="1"/>
  <c r="I17" i="25"/>
  <c r="J17" i="25" s="1"/>
  <c r="K17" i="25" s="1"/>
  <c r="I18" i="25"/>
  <c r="J18" i="25" s="1"/>
  <c r="K18" i="25" s="1"/>
  <c r="I19" i="25"/>
  <c r="J19" i="25" s="1"/>
  <c r="K19" i="25" s="1"/>
  <c r="I20" i="25"/>
  <c r="J20" i="25" s="1"/>
  <c r="K20" i="25" s="1"/>
  <c r="I21" i="25"/>
  <c r="J21" i="25" s="1"/>
  <c r="K21" i="25" s="1"/>
  <c r="I22" i="25"/>
  <c r="J22" i="25" s="1"/>
  <c r="K22" i="25" s="1"/>
  <c r="I23" i="25"/>
  <c r="J23" i="25" s="1"/>
  <c r="K23" i="25" s="1"/>
  <c r="I24" i="25"/>
  <c r="J24" i="25" s="1"/>
  <c r="K24" i="25" s="1"/>
  <c r="I25" i="25"/>
  <c r="J25" i="25" s="1"/>
  <c r="K25" i="25" s="1"/>
  <c r="I26" i="25"/>
  <c r="J26" i="25" s="1"/>
  <c r="K26" i="25" s="1"/>
  <c r="I27" i="25"/>
  <c r="J27" i="25" s="1"/>
  <c r="K27" i="25" s="1"/>
  <c r="I28" i="25"/>
  <c r="J28" i="25" s="1"/>
  <c r="K28" i="25" s="1"/>
  <c r="I29" i="25"/>
  <c r="J29" i="25" s="1"/>
  <c r="K29" i="25" s="1"/>
  <c r="I30" i="25"/>
  <c r="J30" i="25" s="1"/>
  <c r="K30" i="25" s="1"/>
  <c r="I31" i="25"/>
  <c r="J31" i="25" s="1"/>
  <c r="K31" i="25" s="1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4" i="25"/>
  <c r="J4" i="25" s="1"/>
  <c r="F24" i="25"/>
  <c r="N24" i="25" s="1"/>
  <c r="F23" i="25"/>
  <c r="N23" i="25" s="1"/>
  <c r="F21" i="25"/>
  <c r="N21" i="25" s="1"/>
  <c r="F20" i="25"/>
  <c r="N20" i="25" s="1"/>
  <c r="F31" i="25"/>
  <c r="F22" i="25"/>
  <c r="N22" i="25" s="1"/>
  <c r="F25" i="25"/>
  <c r="N25" i="25" s="1"/>
  <c r="F26" i="25"/>
  <c r="N26" i="25" s="1"/>
  <c r="F27" i="25"/>
  <c r="N27" i="25" s="1"/>
  <c r="F28" i="25"/>
  <c r="N28" i="25" s="1"/>
  <c r="F29" i="25"/>
  <c r="N29" i="25" s="1"/>
  <c r="F30" i="25"/>
  <c r="N30" i="25" s="1"/>
  <c r="F14" i="25"/>
  <c r="N14" i="25" s="1"/>
  <c r="F15" i="25"/>
  <c r="N15" i="25" s="1"/>
  <c r="F16" i="25"/>
  <c r="N16" i="25" s="1"/>
  <c r="F17" i="25"/>
  <c r="N17" i="25" s="1"/>
  <c r="F18" i="25"/>
  <c r="N18" i="25" s="1"/>
  <c r="F19" i="25"/>
  <c r="N19" i="25" s="1"/>
  <c r="F5" i="25"/>
  <c r="N5" i="25" s="1"/>
  <c r="F6" i="25"/>
  <c r="N6" i="25" s="1"/>
  <c r="F7" i="25"/>
  <c r="N7" i="25" s="1"/>
  <c r="F8" i="25"/>
  <c r="N8" i="25" s="1"/>
  <c r="F9" i="25"/>
  <c r="N9" i="25" s="1"/>
  <c r="F10" i="25"/>
  <c r="N10" i="25" s="1"/>
  <c r="F11" i="25"/>
  <c r="N11" i="25" s="1"/>
  <c r="F12" i="25"/>
  <c r="N12" i="25" s="1"/>
  <c r="F13" i="25"/>
  <c r="N13" i="25" s="1"/>
  <c r="F4" i="25"/>
  <c r="N4" i="25" s="1"/>
  <c r="M67" i="25"/>
  <c r="C90" i="25"/>
  <c r="C91" i="25"/>
  <c r="C92" i="25"/>
  <c r="C93" i="25"/>
  <c r="C94" i="25"/>
  <c r="C95" i="25"/>
  <c r="C96" i="25"/>
  <c r="C89" i="25"/>
  <c r="M85" i="25"/>
  <c r="D41" i="25"/>
  <c r="D42" i="25"/>
  <c r="D43" i="25"/>
  <c r="D44" i="25"/>
  <c r="D45" i="25"/>
  <c r="D46" i="25"/>
  <c r="D47" i="25"/>
  <c r="D51" i="25"/>
  <c r="D52" i="25"/>
  <c r="D53" i="25"/>
  <c r="D54" i="25"/>
  <c r="D55" i="25"/>
  <c r="D109" i="25"/>
  <c r="D110" i="25"/>
  <c r="D111" i="25"/>
  <c r="D40" i="25"/>
  <c r="C41" i="25"/>
  <c r="C42" i="25"/>
  <c r="C43" i="25"/>
  <c r="C44" i="25"/>
  <c r="C45" i="25"/>
  <c r="C46" i="25"/>
  <c r="C47" i="25"/>
  <c r="C51" i="25"/>
  <c r="C52" i="25"/>
  <c r="C53" i="25"/>
  <c r="C54" i="25"/>
  <c r="C55" i="25"/>
  <c r="C109" i="25"/>
  <c r="C110" i="25"/>
  <c r="C111" i="25"/>
  <c r="C85" i="25"/>
  <c r="C86" i="25"/>
  <c r="C40" i="25"/>
  <c r="F67" i="25"/>
  <c r="F68" i="25"/>
  <c r="F66" i="25"/>
  <c r="F61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61" i="25"/>
  <c r="C62" i="25"/>
  <c r="C63" i="25"/>
  <c r="C64" i="25"/>
  <c r="C65" i="25"/>
  <c r="C17" i="25"/>
  <c r="L7" i="24"/>
  <c r="K7" i="24"/>
  <c r="K6" i="24"/>
  <c r="D154" i="15"/>
  <c r="D149" i="15"/>
  <c r="D145" i="15"/>
  <c r="D157" i="15"/>
  <c r="C75" i="15"/>
  <c r="E20" i="20" s="1"/>
  <c r="E9" i="20"/>
  <c r="E8" i="20"/>
  <c r="E7" i="20"/>
  <c r="C80" i="24"/>
  <c r="B71" i="24"/>
  <c r="B70" i="24"/>
  <c r="C69" i="24"/>
  <c r="B69" i="24"/>
  <c r="C68" i="24"/>
  <c r="B68" i="24"/>
  <c r="F60" i="24"/>
  <c r="B58" i="24"/>
  <c r="B60" i="24" s="1"/>
  <c r="B61" i="24" s="1"/>
  <c r="B62" i="24" s="1"/>
  <c r="F57" i="24"/>
  <c r="F45" i="24"/>
  <c r="E45" i="24"/>
  <c r="D45" i="24"/>
  <c r="D52" i="24" s="1"/>
  <c r="E52" i="24" s="1"/>
  <c r="E53" i="24" s="1"/>
  <c r="C45" i="24"/>
  <c r="C46" i="24" s="1"/>
  <c r="B45" i="24"/>
  <c r="C76" i="15"/>
  <c r="C140" i="15"/>
  <c r="B67" i="24" s="1"/>
  <c r="C141" i="15"/>
  <c r="C67" i="24" s="1"/>
  <c r="M28" i="9"/>
  <c r="E28" i="9"/>
  <c r="H9" i="9"/>
  <c r="H10" i="9"/>
  <c r="H11" i="9"/>
  <c r="H12" i="9"/>
  <c r="H13" i="9"/>
  <c r="H14" i="9"/>
  <c r="J14" i="9" s="1"/>
  <c r="H15" i="9"/>
  <c r="H16" i="9"/>
  <c r="H17" i="9"/>
  <c r="J17" i="9" s="1"/>
  <c r="H18" i="9"/>
  <c r="J18" i="9" s="1"/>
  <c r="H19" i="9"/>
  <c r="H20" i="9"/>
  <c r="H21" i="9"/>
  <c r="J21" i="9" s="1"/>
  <c r="H22" i="9"/>
  <c r="J22" i="9" s="1"/>
  <c r="H23" i="9"/>
  <c r="H24" i="9"/>
  <c r="H25" i="9"/>
  <c r="J25" i="9" s="1"/>
  <c r="H26" i="9"/>
  <c r="J26" i="9" s="1"/>
  <c r="H27" i="9"/>
  <c r="H8" i="9"/>
  <c r="H28" i="9" s="1"/>
  <c r="J9" i="9"/>
  <c r="J10" i="9"/>
  <c r="J11" i="9"/>
  <c r="J12" i="9"/>
  <c r="J13" i="9"/>
  <c r="J15" i="9"/>
  <c r="J16" i="9"/>
  <c r="J19" i="9"/>
  <c r="J20" i="9"/>
  <c r="J23" i="9"/>
  <c r="J24" i="9"/>
  <c r="J27" i="9"/>
  <c r="J8" i="9"/>
  <c r="G12" i="10"/>
  <c r="C52" i="15"/>
  <c r="C49" i="24" l="1"/>
  <c r="J48" i="25"/>
  <c r="K48" i="25" s="1"/>
  <c r="N48" i="25"/>
  <c r="J44" i="25"/>
  <c r="K44" i="25" s="1"/>
  <c r="N44" i="25"/>
  <c r="J40" i="25"/>
  <c r="K40" i="25" s="1"/>
  <c r="N40" i="25"/>
  <c r="J36" i="25"/>
  <c r="K36" i="25" s="1"/>
  <c r="N36" i="25"/>
  <c r="J32" i="25"/>
  <c r="K32" i="25" s="1"/>
  <c r="N32" i="25"/>
  <c r="J53" i="25"/>
  <c r="K53" i="25" s="1"/>
  <c r="N53" i="25"/>
  <c r="N31" i="25"/>
  <c r="J49" i="25"/>
  <c r="K49" i="25" s="1"/>
  <c r="N49" i="25"/>
  <c r="J45" i="25"/>
  <c r="K45" i="25" s="1"/>
  <c r="N45" i="25"/>
  <c r="J41" i="25"/>
  <c r="K41" i="25" s="1"/>
  <c r="N41" i="25"/>
  <c r="J37" i="25"/>
  <c r="K37" i="25" s="1"/>
  <c r="N37" i="25"/>
  <c r="J33" i="25"/>
  <c r="K33" i="25" s="1"/>
  <c r="N33" i="25"/>
  <c r="N57" i="25" s="1"/>
  <c r="J55" i="25"/>
  <c r="K55" i="25" s="1"/>
  <c r="N55" i="25"/>
  <c r="J52" i="25"/>
  <c r="K52" i="25" s="1"/>
  <c r="N52" i="25"/>
  <c r="J50" i="25"/>
  <c r="K50" i="25" s="1"/>
  <c r="N50" i="25"/>
  <c r="J46" i="25"/>
  <c r="K46" i="25" s="1"/>
  <c r="N46" i="25"/>
  <c r="J42" i="25"/>
  <c r="K42" i="25" s="1"/>
  <c r="N42" i="25"/>
  <c r="J38" i="25"/>
  <c r="K38" i="25" s="1"/>
  <c r="N38" i="25"/>
  <c r="J34" i="25"/>
  <c r="K34" i="25" s="1"/>
  <c r="N34" i="25"/>
  <c r="J54" i="25"/>
  <c r="K54" i="25" s="1"/>
  <c r="N54" i="25"/>
  <c r="J47" i="25"/>
  <c r="K47" i="25" s="1"/>
  <c r="N47" i="25"/>
  <c r="J43" i="25"/>
  <c r="K43" i="25" s="1"/>
  <c r="N43" i="25"/>
  <c r="J39" i="25"/>
  <c r="K39" i="25" s="1"/>
  <c r="N39" i="25"/>
  <c r="J35" i="25"/>
  <c r="K35" i="25" s="1"/>
  <c r="N35" i="25"/>
  <c r="J51" i="25"/>
  <c r="K51" i="25" s="1"/>
  <c r="N51" i="25"/>
  <c r="H12" i="25"/>
  <c r="G12" i="25"/>
  <c r="H8" i="25"/>
  <c r="G8" i="25"/>
  <c r="H19" i="25"/>
  <c r="G19" i="25"/>
  <c r="H15" i="25"/>
  <c r="G15" i="25"/>
  <c r="H28" i="25"/>
  <c r="G28" i="25"/>
  <c r="H22" i="25"/>
  <c r="G22" i="25"/>
  <c r="H23" i="25"/>
  <c r="G23" i="25"/>
  <c r="H13" i="25"/>
  <c r="G13" i="25"/>
  <c r="G9" i="25"/>
  <c r="H9" i="25"/>
  <c r="H5" i="25"/>
  <c r="G5" i="25"/>
  <c r="H16" i="25"/>
  <c r="G16" i="25"/>
  <c r="H29" i="25"/>
  <c r="G29" i="25"/>
  <c r="G25" i="25"/>
  <c r="H25" i="25"/>
  <c r="H21" i="25"/>
  <c r="G21" i="25"/>
  <c r="K4" i="25"/>
  <c r="H4" i="25"/>
  <c r="G4" i="25"/>
  <c r="H10" i="25"/>
  <c r="G10" i="25"/>
  <c r="H6" i="25"/>
  <c r="G6" i="25"/>
  <c r="G17" i="25"/>
  <c r="H17" i="25"/>
  <c r="H30" i="25"/>
  <c r="G30" i="25"/>
  <c r="H26" i="25"/>
  <c r="G26" i="25"/>
  <c r="H20" i="25"/>
  <c r="G20" i="25"/>
  <c r="H11" i="25"/>
  <c r="G11" i="25"/>
  <c r="H7" i="25"/>
  <c r="G7" i="25"/>
  <c r="H18" i="25"/>
  <c r="G18" i="25"/>
  <c r="H14" i="25"/>
  <c r="G14" i="25"/>
  <c r="H27" i="25"/>
  <c r="G27" i="25"/>
  <c r="H31" i="25"/>
  <c r="G31" i="25"/>
  <c r="H24" i="25"/>
  <c r="G24" i="25"/>
  <c r="E98" i="25"/>
  <c r="E105" i="25" s="1"/>
  <c r="L57" i="25"/>
  <c r="I57" i="25"/>
  <c r="F57" i="25"/>
  <c r="F69" i="25"/>
  <c r="I69" i="25" s="1"/>
  <c r="E62" i="25"/>
  <c r="B72" i="24"/>
  <c r="B74" i="24" s="1"/>
  <c r="E73" i="24" s="1"/>
  <c r="E23" i="20"/>
  <c r="E24" i="20" s="1"/>
  <c r="C78" i="15"/>
  <c r="C70" i="24"/>
  <c r="C72" i="24" s="1"/>
  <c r="D72" i="24" s="1"/>
  <c r="D78" i="24" s="1"/>
  <c r="D79" i="24" s="1"/>
  <c r="B47" i="24"/>
  <c r="B51" i="24" s="1"/>
  <c r="D53" i="24"/>
  <c r="D54" i="24" s="1"/>
  <c r="J57" i="25" l="1"/>
  <c r="N60" i="25"/>
  <c r="P58" i="25"/>
  <c r="K57" i="25"/>
  <c r="H57" i="25"/>
  <c r="F62" i="25"/>
  <c r="B48" i="24"/>
  <c r="B49" i="24" s="1"/>
  <c r="C89" i="15"/>
  <c r="C105" i="15" s="1"/>
  <c r="M62" i="25" l="1"/>
  <c r="M84" i="25"/>
  <c r="M86" i="25" s="1"/>
  <c r="M94" i="25" s="1"/>
  <c r="L62" i="25"/>
  <c r="L64" i="25" s="1"/>
  <c r="I62" i="25"/>
  <c r="E13" i="10" l="1"/>
  <c r="D13" i="10"/>
  <c r="F13" i="10"/>
  <c r="H13" i="10"/>
  <c r="J13" i="10"/>
  <c r="L13" i="10"/>
  <c r="G11" i="10"/>
  <c r="G9" i="10"/>
  <c r="M9" i="10" s="1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8" i="9"/>
  <c r="N28" i="9" s="1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8" i="9"/>
  <c r="L28" i="9" s="1"/>
  <c r="I28" i="9"/>
  <c r="J28" i="9"/>
  <c r="I11" i="10" l="1"/>
  <c r="K11" i="10" s="1"/>
  <c r="G10" i="10"/>
  <c r="M11" i="10" l="1"/>
  <c r="I10" i="10"/>
  <c r="G13" i="10"/>
  <c r="I13" i="10" l="1"/>
  <c r="K10" i="10"/>
  <c r="K13" i="10" s="1"/>
  <c r="M10" i="10"/>
  <c r="M13" i="10" s="1"/>
  <c r="G30" i="11" l="1"/>
  <c r="G18" i="11"/>
  <c r="E71" i="21"/>
  <c r="E55" i="21" l="1"/>
  <c r="C56" i="21"/>
  <c r="C55" i="21"/>
  <c r="D30" i="5" l="1"/>
  <c r="C58" i="21"/>
  <c r="E38" i="21"/>
  <c r="E39" i="21"/>
  <c r="E44" i="21" l="1"/>
  <c r="C44" i="21" l="1"/>
  <c r="F21" i="21" l="1"/>
  <c r="C24" i="21" l="1"/>
  <c r="F15" i="21"/>
  <c r="F24" i="21" s="1"/>
  <c r="J32" i="5" l="1"/>
  <c r="K29" i="5"/>
  <c r="G30" i="5"/>
  <c r="G14" i="7"/>
  <c r="E14" i="7"/>
  <c r="D14" i="7"/>
  <c r="F13" i="7"/>
  <c r="F12" i="7"/>
  <c r="H12" i="7" s="1"/>
  <c r="F11" i="7"/>
  <c r="H11" i="7" s="1"/>
  <c r="F10" i="7"/>
  <c r="H10" i="7" s="1"/>
  <c r="F9" i="7"/>
  <c r="H9" i="7" s="1"/>
  <c r="F8" i="7"/>
  <c r="H8" i="7" s="1"/>
  <c r="H22" i="11"/>
  <c r="G25" i="11"/>
  <c r="E42" i="10"/>
  <c r="E51" i="10"/>
  <c r="E50" i="10"/>
  <c r="B3" i="20"/>
  <c r="O8" i="20"/>
  <c r="N8" i="20"/>
  <c r="I14" i="20" s="1"/>
  <c r="N11" i="20"/>
  <c r="I8" i="7" l="1"/>
  <c r="H13" i="7"/>
  <c r="H14" i="7" s="1"/>
  <c r="J34" i="5"/>
  <c r="F14" i="7"/>
  <c r="J45" i="10"/>
  <c r="L45" i="10"/>
  <c r="M41" i="10"/>
  <c r="K42" i="10"/>
  <c r="H43" i="10"/>
  <c r="G42" i="10"/>
  <c r="G45" i="10" s="1"/>
  <c r="C30" i="5"/>
  <c r="I43" i="10" l="1"/>
  <c r="M43" i="10" s="1"/>
  <c r="H45" i="10"/>
  <c r="E56" i="21"/>
  <c r="E58" i="21" s="1"/>
  <c r="D35" i="5"/>
  <c r="I42" i="10"/>
  <c r="I45" i="10" s="1"/>
  <c r="M42" i="10"/>
  <c r="M45" i="10" s="1"/>
  <c r="C120" i="15"/>
  <c r="B2" i="20"/>
  <c r="B1" i="20"/>
  <c r="D95" i="14"/>
  <c r="K43" i="10" l="1"/>
  <c r="K45" i="10" s="1"/>
  <c r="H30" i="5"/>
  <c r="E9" i="4"/>
  <c r="E25" i="4"/>
  <c r="D32" i="5" l="1"/>
</calcChain>
</file>

<file path=xl/sharedStrings.xml><?xml version="1.0" encoding="utf-8"?>
<sst xmlns="http://schemas.openxmlformats.org/spreadsheetml/2006/main" count="1082" uniqueCount="513">
  <si>
    <t>k]ZsL</t>
  </si>
  <si>
    <t>/fjf=j}s 1090</t>
  </si>
  <si>
    <t>w/f}l^</t>
  </si>
  <si>
    <t>g]=j}=ln=</t>
  </si>
  <si>
    <t>cGo cfDbfgL</t>
  </si>
  <si>
    <t>z}nhf cfrfo{ :d[lt kf]ln^]lSgs</t>
  </si>
  <si>
    <t>&gt;L s[i)F k|;fb sf]O{/fnf ;]jf u"&amp;L tyf l;=l^=O{=le=^L jf^ ;+o'tm ?kdf ;+rflnt</t>
  </si>
  <si>
    <t>lzzjgL hxbf 3, df]/+u</t>
  </si>
  <si>
    <t>cfDbfgL</t>
  </si>
  <si>
    <t>k|fKtL ljj/)f</t>
  </si>
  <si>
    <t>e"QmfgL ljj/)f</t>
  </si>
  <si>
    <t>/sd ?</t>
  </si>
  <si>
    <t>cg';'lr</t>
  </si>
  <si>
    <t>j}s df}Hbft</t>
  </si>
  <si>
    <t>qm=;=</t>
  </si>
  <si>
    <t>n]vfkfn</t>
  </si>
  <si>
    <t>lk|lG;kn</t>
  </si>
  <si>
    <t>cWoIf</t>
  </si>
  <si>
    <t>n]vfk/LIfs</t>
  </si>
  <si>
    <t>;]jf cGo</t>
  </si>
  <si>
    <t>ljljw vr{</t>
  </si>
  <si>
    <t>kfl/&gt;lds</t>
  </si>
  <si>
    <t>hDdf</t>
  </si>
  <si>
    <t>gfd</t>
  </si>
  <si>
    <t>vftf g+</t>
  </si>
  <si>
    <t>ljifo</t>
  </si>
  <si>
    <t>s}lkmot</t>
  </si>
  <si>
    <t>ljljw</t>
  </si>
  <si>
    <t>;'hg lgdf{)f ;]jf</t>
  </si>
  <si>
    <t>efjgf cfrfo{</t>
  </si>
  <si>
    <t>k'/fgf] k]ZsL</t>
  </si>
  <si>
    <t>&gt;j)f s'df/ ufdL</t>
  </si>
  <si>
    <t>cfly{s jif{ 2071.072 ciff( d;fGtsf] qm]l*^;{ ljj/)f ljj/)f</t>
  </si>
  <si>
    <t>;fO{lG^lkms Nofj|]^/L</t>
  </si>
  <si>
    <t>Nofj ;fdfg</t>
  </si>
  <si>
    <t>;'/]; s'df/ zdf{</t>
  </si>
  <si>
    <t xml:space="preserve">k'/fgf] </t>
  </si>
  <si>
    <t>d'gfn O{^f pBf]u</t>
  </si>
  <si>
    <t>Jofj;flos tflnd s]Gb|</t>
  </si>
  <si>
    <t>cfly{s jif{ 2071.072 ciff( d;fGtsf] w/f}l^ ljj/)f ljj/)f</t>
  </si>
  <si>
    <t>g]kfn b'/;+rf/ ;+:yfg</t>
  </si>
  <si>
    <t>^]lnkmf]g</t>
  </si>
  <si>
    <t>lgdf{)f</t>
  </si>
  <si>
    <t>ljWofly{ w/f}l^</t>
  </si>
  <si>
    <t>n]vfkfn       k|jGw lgb]{zs</t>
  </si>
  <si>
    <t>kfgL tyf ljh'nL</t>
  </si>
  <si>
    <t>;+rf/ dxz'n</t>
  </si>
  <si>
    <t>;+rfng tyf dd{t</t>
  </si>
  <si>
    <t>sf=v=vr{</t>
  </si>
  <si>
    <t>l;k ljsf;</t>
  </si>
  <si>
    <t>e|d)f vr{</t>
  </si>
  <si>
    <t>kflg,ljh"nL</t>
  </si>
  <si>
    <t>dd{t</t>
  </si>
  <si>
    <t>sfof{no ;fdfg</t>
  </si>
  <si>
    <t>;+rf/</t>
  </si>
  <si>
    <t>O{Gwg</t>
  </si>
  <si>
    <t>lj!fkg</t>
  </si>
  <si>
    <t>kl/ifb z"Ns</t>
  </si>
  <si>
    <t>e|d)F eQf</t>
  </si>
  <si>
    <t>cfDbfgL ljj/)f</t>
  </si>
  <si>
    <t>ljlgof]hg g]kfn ;/sf/</t>
  </si>
  <si>
    <t>hu]*f- g]kfn ;/sf/,l;=l^=O{le=l^=,P;l*kL</t>
  </si>
  <si>
    <t>cfGtl/s cfDbfgL -;+:yf_</t>
  </si>
  <si>
    <t>w/f}l^ vftf -;+:yf _</t>
  </si>
  <si>
    <t>cfGtl/s vr{ vftf -;+:yf _</t>
  </si>
  <si>
    <t>pkbfg vftf -;+:yf _</t>
  </si>
  <si>
    <t>ut c=Nof</t>
  </si>
  <si>
    <t>sfof{no vr{</t>
  </si>
  <si>
    <t xml:space="preserve">P;=lj= cfO{ </t>
  </si>
  <si>
    <t>g]kfn j}s ln</t>
  </si>
  <si>
    <t>g]kfn j}s ln d'$tL</t>
  </si>
  <si>
    <t>jfl)fHo j}s d'$tL</t>
  </si>
  <si>
    <t>P;=lj= cfO{ d'$tL</t>
  </si>
  <si>
    <t>jl)fHo j}s</t>
  </si>
  <si>
    <t>au{</t>
  </si>
  <si>
    <t>l;=g+=</t>
  </si>
  <si>
    <t>laa/)f</t>
  </si>
  <si>
    <t>x|f; b/</t>
  </si>
  <si>
    <t>;'? Df}Hbft</t>
  </si>
  <si>
    <t>o; jif{ yk</t>
  </si>
  <si>
    <t>laqmL</t>
  </si>
  <si>
    <t xml:space="preserve">x|f; sl§ </t>
  </si>
  <si>
    <t>afls d"No</t>
  </si>
  <si>
    <t xml:space="preserve"> k|lt;t</t>
  </si>
  <si>
    <t>31ciff(073</t>
  </si>
  <si>
    <t>ut jif{sf]</t>
  </si>
  <si>
    <t>o; jif{sf]</t>
  </si>
  <si>
    <t>df}Hbft</t>
  </si>
  <si>
    <t>o; aif{sf]</t>
  </si>
  <si>
    <t>v</t>
  </si>
  <si>
    <t>HjfO{)^ *]S;</t>
  </si>
  <si>
    <t>vf^</t>
  </si>
  <si>
    <t>rfOlgh k+vf</t>
  </si>
  <si>
    <t>rfOlgh jf^/kDk</t>
  </si>
  <si>
    <t>sf&amp;sf] kn~</t>
  </si>
  <si>
    <t>sf&amp;sf] ^]jn</t>
  </si>
  <si>
    <t>sf&amp;sf] s'l;{</t>
  </si>
  <si>
    <t>sfk]{^ ^]jn s'l;{</t>
  </si>
  <si>
    <t>kfgl ^of+sL</t>
  </si>
  <si>
    <t>;]jfu'&amp;L tkmsf kmlg{r/</t>
  </si>
  <si>
    <t>Knfi^Ls s'l;{</t>
  </si>
  <si>
    <t>kn~ nf] j]*</t>
  </si>
  <si>
    <t>l:^n ^]jn j]*</t>
  </si>
  <si>
    <t>cfNdf/L /ofs</t>
  </si>
  <si>
    <t>kn~ ^]jn</t>
  </si>
  <si>
    <t>nf]j]* tyf kn~</t>
  </si>
  <si>
    <t>l:^n /ofs</t>
  </si>
  <si>
    <t>lalaw kmlg{r/</t>
  </si>
  <si>
    <t>yk</t>
  </si>
  <si>
    <t>s</t>
  </si>
  <si>
    <t xml:space="preserve">#/ hUuf </t>
  </si>
  <si>
    <t>u</t>
  </si>
  <si>
    <t>;jf/L ;fwg</t>
  </si>
  <si>
    <t>d]lzg/L</t>
  </si>
  <si>
    <t>hDdf ?</t>
  </si>
  <si>
    <t>ljj/)f</t>
  </si>
  <si>
    <t>cGo cfo</t>
  </si>
  <si>
    <t>Go"g M u'l&amp; vr{</t>
  </si>
  <si>
    <t>Go"g M ;/sf/L vr{</t>
  </si>
  <si>
    <t>;+rfng d'gfkmf</t>
  </si>
  <si>
    <t>hf]* Jofh cfDbfgL</t>
  </si>
  <si>
    <t>Go"g M Jofh vr{</t>
  </si>
  <si>
    <t>Go"g M x|f; sl§ vr{</t>
  </si>
  <si>
    <t>Go"g M e"QmfgL ug{ jfsL n]=k= ;'Ns</t>
  </si>
  <si>
    <t>Go"g M cfos/ Joj:yf</t>
  </si>
  <si>
    <t xml:space="preserve"> jif{sf] /sd ?</t>
  </si>
  <si>
    <t>1_</t>
  </si>
  <si>
    <t>;+rfng ultljlwsf] gub k|jfx</t>
  </si>
  <si>
    <t>o; jif{ jrt</t>
  </si>
  <si>
    <t>Go"g M cfos/</t>
  </si>
  <si>
    <t>hDdf ;+rfng ultljlwsf] gub k|jfx</t>
  </si>
  <si>
    <t>sfo{l;n k"+hL kl/jt{g cl#sf]</t>
  </si>
  <si>
    <t>sfo{l;n k"+lh kl/jt{g cufl*sf]</t>
  </si>
  <si>
    <t>nufgL ultljlwsf] gub k|jfx</t>
  </si>
  <si>
    <t>1_ l:y/ ;DktL sdL -a[l$ _</t>
  </si>
  <si>
    <t>2_ cGo</t>
  </si>
  <si>
    <t>hDdf nufgL ultljlwsf] gub k|jfx</t>
  </si>
  <si>
    <t>ljlQo ultljlwsf] gub k|jfx</t>
  </si>
  <si>
    <t>1_ z]o/ k"hLdf j[lb -sld_</t>
  </si>
  <si>
    <t>hDdf ljlQo ultljlwsf] gub k|jfx</t>
  </si>
  <si>
    <t>gubdf ePsf] s'n j[l$ -sld_ s® v® u</t>
  </si>
  <si>
    <t>jif{f/Defdf gub tyf j}s df}Hbft</t>
  </si>
  <si>
    <t>jif{fGtsf] gub tyf j}s df}Hbft</t>
  </si>
  <si>
    <t>sf]if lx;fj</t>
  </si>
  <si>
    <t>cg'bfg lx;fj</t>
  </si>
  <si>
    <t>sf]ifsf] pkef]u</t>
  </si>
  <si>
    <t>kmlg{r/ sfof{no ;fdfg</t>
  </si>
  <si>
    <t>#/ hUuf d]l;g/L tyf oftfoft</t>
  </si>
  <si>
    <t>rfn' ;+ktL</t>
  </si>
  <si>
    <t>hDdf rfn' ;+ktL</t>
  </si>
  <si>
    <t>Go"gM  rfn' bfloTj</t>
  </si>
  <si>
    <t>hDdf rfn' bfloTj</t>
  </si>
  <si>
    <t>v'b rfn' ;+ktL</t>
  </si>
  <si>
    <t>ldnfg</t>
  </si>
  <si>
    <t>lg)fo{</t>
  </si>
  <si>
    <t>hu]*f- g]kfn ;/sf/,l;=l^=O{{=le=l^=,P;l*kL</t>
  </si>
  <si>
    <t>g]kfn ;/sf/ cg'bfg</t>
  </si>
  <si>
    <t>cfGtl/s cfDbfgL tkm{sf] vr{ ljj/)f</t>
  </si>
  <si>
    <t>cg';'lr 8</t>
  </si>
  <si>
    <t>u'l&amp; tkm{ vr{</t>
  </si>
  <si>
    <t xml:space="preserve">   n]vfk/LIfs</t>
  </si>
  <si>
    <t>g]kfn ;/sf/  cg'bfg tkm{sf] vr{ ljj/)f</t>
  </si>
  <si>
    <t>l;=l^=O=le=l^= P;=l*lk=cg'bfg tkm{sf] vr{</t>
  </si>
  <si>
    <t>cg';'lr 9</t>
  </si>
  <si>
    <t>cg';'lr 10</t>
  </si>
  <si>
    <t>hDDff</t>
  </si>
  <si>
    <t>cg';'lr 11</t>
  </si>
  <si>
    <t>hUuf</t>
  </si>
  <si>
    <t>Go"g M l;=l^=O{=le=l^= P;=l*=lk=</t>
  </si>
  <si>
    <t>df]xg hf]zL k]ZsL</t>
  </si>
  <si>
    <t>hDdf cfo</t>
  </si>
  <si>
    <t>df]xg hf]zL</t>
  </si>
  <si>
    <t>o; cf=j=</t>
  </si>
  <si>
    <t>Go"gM cfGtl/s tkm{ vr{</t>
  </si>
  <si>
    <t xml:space="preserve">rfn' ;+ktLdf -j[l$_ sdL </t>
  </si>
  <si>
    <t>rfn' bfOTjdf -sld_ j[l$</t>
  </si>
  <si>
    <t>cg';'lr 1</t>
  </si>
  <si>
    <t>cg';'lr 12</t>
  </si>
  <si>
    <t>cg';'lr 2</t>
  </si>
  <si>
    <t>cg';'lr 3</t>
  </si>
  <si>
    <t>cg';'lr 5</t>
  </si>
  <si>
    <t>Plss[t cfo cfDbfgL</t>
  </si>
  <si>
    <t>kmlg{r/</t>
  </si>
  <si>
    <t>ut cg'bfg lx;fj</t>
  </si>
  <si>
    <t>z'/]; zdf{ lx=ld=</t>
  </si>
  <si>
    <t>d'gfn O{^f pBf] lx=ld=</t>
  </si>
  <si>
    <t>Aoj;flos tflnd s]Gb| lx=ld=</t>
  </si>
  <si>
    <t>cGo lx=ld=</t>
  </si>
  <si>
    <t>j}s tyf gub df}Hbft</t>
  </si>
  <si>
    <t>w/f}l^ lx;fj</t>
  </si>
  <si>
    <t>k]ZsL lx;fj</t>
  </si>
  <si>
    <t>n]vfk/LIf)f ;'Ns</t>
  </si>
  <si>
    <t>cg';'rL 8</t>
  </si>
  <si>
    <t>tflnd ;fdflu|</t>
  </si>
  <si>
    <t>tnj,eQfn"uf / cGo</t>
  </si>
  <si>
    <t>#/ ef*f</t>
  </si>
  <si>
    <t>sf=;f tyf k"":ts</t>
  </si>
  <si>
    <t>cGo sfo{qmd</t>
  </si>
  <si>
    <t>e}k/L cfpg]</t>
  </si>
  <si>
    <t xml:space="preserve">%Fqj[tL </t>
  </si>
  <si>
    <t>lgdf{)F</t>
  </si>
  <si>
    <t>d]l;g/L cf}hf/</t>
  </si>
  <si>
    <t>sd{rf/L tflnd</t>
  </si>
  <si>
    <t>a}&amp;s eQf</t>
  </si>
  <si>
    <t>k|of]]ufTds</t>
  </si>
  <si>
    <t>sfo{qmd vr{</t>
  </si>
  <si>
    <t>1&gt;fj)f2073</t>
  </si>
  <si>
    <t>tnj</t>
  </si>
  <si>
    <t>tnj vr{</t>
  </si>
  <si>
    <t>ut /sd ?</t>
  </si>
  <si>
    <t>o; cf=j= /sd ?</t>
  </si>
  <si>
    <t>^]lnkmf]]g  tyf cGo w/f}l^</t>
  </si>
  <si>
    <t>%fqj[lQ</t>
  </si>
  <si>
    <t xml:space="preserve">lgdf{)F </t>
  </si>
  <si>
    <t>bfloTj lx;fj</t>
  </si>
  <si>
    <t>e'QmfgL lbg' kg]{</t>
  </si>
  <si>
    <t>cfGtl/s cfDbfgL tkm{ tnj</t>
  </si>
  <si>
    <t>u'&amp;L tkm{</t>
  </si>
  <si>
    <t>Go"g M pkbfg - nufgL _ tkm{</t>
  </si>
  <si>
    <t>cg';'lr 13</t>
  </si>
  <si>
    <t>n]vfkfn            sf]zfWoIf</t>
  </si>
  <si>
    <t xml:space="preserve">           sf]zfWoIf</t>
  </si>
  <si>
    <t>n]vfkfn             sf]zfWoIf</t>
  </si>
  <si>
    <t>n]vfkfn           sf]zfWoIf</t>
  </si>
  <si>
    <t xml:space="preserve">  </t>
  </si>
  <si>
    <t>tnj ?</t>
  </si>
  <si>
    <t>;f=;'= s/ ?</t>
  </si>
  <si>
    <t>e"kfn lu/L</t>
  </si>
  <si>
    <t>ljsf; k/fh'nL</t>
  </si>
  <si>
    <t xml:space="preserve"> lk|lG;kn       cWoIf</t>
  </si>
  <si>
    <t>ut cf=j=</t>
  </si>
  <si>
    <t>vr{ ljj/)f</t>
  </si>
  <si>
    <t xml:space="preserve">o; cf=j </t>
  </si>
  <si>
    <t>o; cf=j</t>
  </si>
  <si>
    <t>1416408.32545375+443376.7</t>
  </si>
  <si>
    <t>32 ciff( 2075 sf] #/ hUuf tyf ;jf/L ;fwg tyf x|f; sl§  ljj/)f</t>
  </si>
  <si>
    <t>jrt tyf sf]if lx;fj</t>
  </si>
  <si>
    <t xml:space="preserve">o; cf=j jrt - #f^f _ </t>
  </si>
  <si>
    <t>Jofh cfo</t>
  </si>
  <si>
    <t>ejg lgdf{)f sf]if</t>
  </si>
  <si>
    <t>l;k ljsf; tkm{</t>
  </si>
  <si>
    <t>s[lif tkm{</t>
  </si>
  <si>
    <t>ljz]if gl;{~ sfo{qmd</t>
  </si>
  <si>
    <t>hDdf vr{</t>
  </si>
  <si>
    <t>o; jif{sf] v'b jrt -#f^f_ jf;nftdf</t>
  </si>
  <si>
    <t>n]vfkfn         sf]zfWoIf       cWoIf</t>
  </si>
  <si>
    <t>cGo w/f}l^</t>
  </si>
  <si>
    <t>3_ ef}lts k"jf{wf/ sf]if</t>
  </si>
  <si>
    <t>s[lif</t>
  </si>
  <si>
    <t>ljif]; gl;{~</t>
  </si>
  <si>
    <t>c=j= 2074.075 df s/ bflvn ljj/)f</t>
  </si>
  <si>
    <t>sf]zfWoIf</t>
  </si>
  <si>
    <t>ul&amp; tkm{ cfDbfgL</t>
  </si>
  <si>
    <t>vftfx?sf] gfd</t>
  </si>
  <si>
    <t>lx;fj g+=</t>
  </si>
  <si>
    <t>ut cf=j=
2074÷2075 sf]
 cNof</t>
  </si>
  <si>
    <t>rfn" cf=j=sf]  cfDbfgL</t>
  </si>
  <si>
    <t>s'n hDdf  cfDbfgL</t>
  </si>
  <si>
    <t>rfn" cf=j= sf] hDDff vr{</t>
  </si>
  <si>
    <t>rfn" cf=j=sf] hDDff jrt</t>
  </si>
  <si>
    <t>ljlgof]hg -g]kfn ;/sf/_</t>
  </si>
  <si>
    <t>hu]*f 
- g]kfn ;/sf/ . l;^LOle^L . P;l*kL _</t>
  </si>
  <si>
    <t>cfh{g vftf -;+:yf_</t>
  </si>
  <si>
    <t>w/f}^L vftf -;+:yf_</t>
  </si>
  <si>
    <t>cfGtl/s vr{ vftf -;+:yf_</t>
  </si>
  <si>
    <t>pkbfg vftf -;+:yf_</t>
  </si>
  <si>
    <t>s'n hDdf</t>
  </si>
  <si>
    <t>cfly{s jif{ 2074.075 ciff( d;fGtsf] k]ZsL ljj/)f</t>
  </si>
  <si>
    <t>k'/:sf/</t>
  </si>
  <si>
    <t>ljWofly{ ;'Ns</t>
  </si>
  <si>
    <t>Aof=s/</t>
  </si>
  <si>
    <t>ef}lts k"jf{wf/</t>
  </si>
  <si>
    <t>s[lif l;k ljsf;</t>
  </si>
  <si>
    <t>ljz]if g/l;{~ sfo{qmd</t>
  </si>
  <si>
    <t>lzk ljsf; tkm{</t>
  </si>
  <si>
    <t>tflnd l;=l^=le=l^</t>
  </si>
  <si>
    <t>k|b]z g+ 1 ;/sf/</t>
  </si>
  <si>
    <t>vfhf vr{</t>
  </si>
  <si>
    <t>ejg</t>
  </si>
  <si>
    <t>j}s 1038 df}Hbft</t>
  </si>
  <si>
    <t>r]s O{g ^&lt;lGh^</t>
  </si>
  <si>
    <t>df}Hbt</t>
  </si>
  <si>
    <t>cfly{s jif{ 2075.076 sf] cfGtl/s vr{ vftf tkm{sf] k|fKtL tyf e"QmfgL ljj/)f</t>
  </si>
  <si>
    <t>cfly{s jif{ 2075.076 sf] cfh{g tkm{sf] k|fKtL tyf e"QmfgL ljj/)f</t>
  </si>
  <si>
    <t>cfly{s jif{ 2075.076 sf] g]kfn ;/sf/ tkm{sf] k|fKtL tyf e"QmfgL  ljj/)f</t>
  </si>
  <si>
    <t>u'&amp;L bflvnf</t>
  </si>
  <si>
    <t>k|of]ufTds</t>
  </si>
  <si>
    <t>ljWofly{ lkmtf{</t>
  </si>
  <si>
    <t xml:space="preserve">kl/ifb ;'Ns </t>
  </si>
  <si>
    <t>cfly{s jif{ 2075.076 sf] pkbfg vftf tkm{sf] k|fKtL tyf e"QmfgL ljj/)f</t>
  </si>
  <si>
    <t xml:space="preserve">Joo </t>
  </si>
  <si>
    <t>1090 df ^&lt;fG;km/</t>
  </si>
  <si>
    <t xml:space="preserve">j}s g]kfn </t>
  </si>
  <si>
    <t>P; lj=cfO{ j}s</t>
  </si>
  <si>
    <t>P; lj=cfO{ j}s  36</t>
  </si>
  <si>
    <t>g]kfn j}s</t>
  </si>
  <si>
    <t>d]#f j}s</t>
  </si>
  <si>
    <t>d]#f j}s Jofh</t>
  </si>
  <si>
    <t>P; lj=cfO{ Jofh</t>
  </si>
  <si>
    <t>ut cf=j= k]ZsL</t>
  </si>
  <si>
    <t>d'$tL g]kfn P;=lj=cfO{</t>
  </si>
  <si>
    <t>e'kfn lu/L k]ZsL</t>
  </si>
  <si>
    <t xml:space="preserve">cf=j= 2075.076 sf] cfo ;DjlGw cg';'lr </t>
  </si>
  <si>
    <t>qmfo{qmd ;+rfng cg'bfg</t>
  </si>
  <si>
    <t>cfGtl/s cfDbfgL -;+:yf_  - 6518_</t>
  </si>
  <si>
    <t>d'$tL  Jofh</t>
  </si>
  <si>
    <t>u'l&amp; tkm{ cfo</t>
  </si>
  <si>
    <t>hDDff ?</t>
  </si>
  <si>
    <t>g]kfn ;/sf/,l;=l^=O{{=le=l^=,P;l*kL</t>
  </si>
  <si>
    <t>g]kfn ;/sf/  sfo{qmd ;+rfng cg'bfg</t>
  </si>
  <si>
    <t xml:space="preserve">cf=j= 2075.076 sf] cfo , Joo ;DjlGw cg';'lr </t>
  </si>
  <si>
    <t>ut sf]if lx;fj c=Nof=</t>
  </si>
  <si>
    <t>1&gt;fj)f2075</t>
  </si>
  <si>
    <t>31ciff(076</t>
  </si>
  <si>
    <t>31 ciff( 2076 sf] #/ hUuf tyf ;jf/L ;fwg tyf x|f; sl§  ljj/)f</t>
  </si>
  <si>
    <t>31 ciff( 2076 sf] jf;nft</t>
  </si>
  <si>
    <t>cfly{s jif{ 2075.076 sf] cfo Joo ljj/)f ljj/)f</t>
  </si>
  <si>
    <t>4_g]kfn ;/sf/,l;=l^=O{{=le=l^=,P;l*kL</t>
  </si>
  <si>
    <t>32 ciff( 2076 sf] gub k|jfx ljj/)f</t>
  </si>
  <si>
    <t>n]=k=</t>
  </si>
  <si>
    <t>df]=;f</t>
  </si>
  <si>
    <t>d'$tL ^'l/hd j}s</t>
  </si>
  <si>
    <t>;jf/L ;fwg s/</t>
  </si>
  <si>
    <t>clkm; dd{t /+u/f]ug</t>
  </si>
  <si>
    <t>u'l&amp; s]=sf= /+u /f]ug</t>
  </si>
  <si>
    <t>kfgL ljh'nL</t>
  </si>
  <si>
    <t>;+rf/ vr{</t>
  </si>
  <si>
    <t>;fwf/)f;ef vr{</t>
  </si>
  <si>
    <t>sfg'lg ;Nnfxsf/</t>
  </si>
  <si>
    <t>;fdflhs ;]jf vr{</t>
  </si>
  <si>
    <t>ljWofly{{ ;Ddfg</t>
  </si>
  <si>
    <t>cGo sfo{qmd vr{</t>
  </si>
  <si>
    <t>;Gt axfb'/ clwsf/L</t>
  </si>
  <si>
    <t>k|d"v</t>
  </si>
  <si>
    <t>;"lgtf /fpt</t>
  </si>
  <si>
    <t>k|lzIFs</t>
  </si>
  <si>
    <t>clhtf df]tmfg</t>
  </si>
  <si>
    <t>k|lzIfs</t>
  </si>
  <si>
    <t>/Tgdfof tfdé</t>
  </si>
  <si>
    <t>ddtf ;fx ;f]gf/</t>
  </si>
  <si>
    <r>
      <t>/+hgf u"?</t>
    </r>
    <r>
      <rPr>
        <sz val="8"/>
        <rFont val="Fontasy Himali"/>
        <family val="5"/>
      </rPr>
      <t>e</t>
    </r>
  </si>
  <si>
    <t>lgldtf cof{n</t>
  </si>
  <si>
    <t>cf+k|lzIFs</t>
  </si>
  <si>
    <t>zlzsnf ltjf/L</t>
  </si>
  <si>
    <t>ljZj gf/fo)F rf}w/L</t>
  </si>
  <si>
    <t>lht]Gb| dmf</t>
  </si>
  <si>
    <t>!fg" s"df/L rf}w/L</t>
  </si>
  <si>
    <t>k|ltef s^"jfn</t>
  </si>
  <si>
    <t>v"Zj" rf}w/L</t>
  </si>
  <si>
    <t>*fM/fw]Zofd d+)*n</t>
  </si>
  <si>
    <t>*f hulj/ ofbj</t>
  </si>
  <si>
    <t>o"j/fh af:tf]nf</t>
  </si>
  <si>
    <t>cf+ ;=k|lzIfs</t>
  </si>
  <si>
    <t>dx]z lwld/]</t>
  </si>
  <si>
    <t>k}=;xfos</t>
  </si>
  <si>
    <t>;/:jtL ofbj</t>
  </si>
  <si>
    <t>cf=;=k|</t>
  </si>
  <si>
    <t>o;f]bf /fO{</t>
  </si>
  <si>
    <t>;+lutf /fhj+zL</t>
  </si>
  <si>
    <t>pkbfg</t>
  </si>
  <si>
    <t>zNs tyf cGo cfo</t>
  </si>
  <si>
    <t>31 ciff( 2076 sf] kmlg{r/ clkm; ;fdfg tyf x|f; sl§  ljj/)f</t>
  </si>
  <si>
    <t>Go"gM l;=l^=O{=le=l^= P;=l*=lk=</t>
  </si>
  <si>
    <t>Jofh vr{ / x|F; sl§ cufl*sf] jrt</t>
  </si>
  <si>
    <t>Go"g M ejg lgdf{)f sf]if</t>
  </si>
  <si>
    <t>Go"gM sd{rf/L pkbfg sf]if</t>
  </si>
  <si>
    <t>Jofh vr{ / x|F; sl§ k%fl*sf] jrt</t>
  </si>
  <si>
    <t xml:space="preserve">ejg lgdf{)f sf]if </t>
  </si>
  <si>
    <t>ut</t>
  </si>
  <si>
    <t>o; cf=j yk</t>
  </si>
  <si>
    <t>Go"g M o; cf=j ejg lgdf{)f vr{</t>
  </si>
  <si>
    <t>Go"g M ;jf/L ;fwg vl/b</t>
  </si>
  <si>
    <t>Go"g ejg /+u /f]ug dd{t</t>
  </si>
  <si>
    <t>hFDdf ?</t>
  </si>
  <si>
    <t>g]kfn P;=lj=cfO{= j}sdf /x]sf]</t>
  </si>
  <si>
    <t>zGt j = clwsf/L</t>
  </si>
  <si>
    <t>ejg lgdf{)f k]ZsL</t>
  </si>
  <si>
    <t>ljBfyL{ w/f}l^</t>
  </si>
  <si>
    <t>cGo bfloTj</t>
  </si>
  <si>
    <t>2_ sd{rf/L pkbfg sf]ifdf j[l$</t>
  </si>
  <si>
    <t>sd{rf/L pkbfg sf]if</t>
  </si>
  <si>
    <t>ejg yk</t>
  </si>
  <si>
    <t xml:space="preserve">tnj,eQf </t>
  </si>
  <si>
    <t>e|d)F vr{</t>
  </si>
  <si>
    <t>P; =l*=lk= tkm{</t>
  </si>
  <si>
    <t>g]kfn ;/sf/ tkm{</t>
  </si>
  <si>
    <t>tflnd l;=l^=O{=le=l^</t>
  </si>
  <si>
    <t>kfl/&gt;lds tkm{</t>
  </si>
  <si>
    <t>j}&amp;s eQf</t>
  </si>
  <si>
    <t>sfg'gL ;Nnfxsf/</t>
  </si>
  <si>
    <t>cfly{s jif{ 2075.076 sf] g]kfn ;/sf/ P;=l*=lk= tkm{sf] Joo ljj/)f</t>
  </si>
  <si>
    <t xml:space="preserve">n]vfkfn             sf]zfWoIf     </t>
  </si>
  <si>
    <t>cg';'lr 4</t>
  </si>
  <si>
    <t>lgdf{)f tkm{ vr{ g]kfn ;/sf/ k|b]z g+ 1</t>
  </si>
  <si>
    <t>;jf/L ;fwg vl/b</t>
  </si>
  <si>
    <t>pkbfg tkm{ vr{</t>
  </si>
  <si>
    <t>hDDf ?</t>
  </si>
  <si>
    <t>clkm;  lgdf{)f</t>
  </si>
  <si>
    <t>cg';'lr 6</t>
  </si>
  <si>
    <t>cfGtl/s tkm{</t>
  </si>
  <si>
    <t>ejg lgdf{)f sf]if jfsL df}Hbft</t>
  </si>
  <si>
    <t>vftfdf /x]sf] bfloTj</t>
  </si>
  <si>
    <t>;+:yfut jrt lx;fj</t>
  </si>
  <si>
    <t>hDdf jrt tyf  - #f^f _</t>
  </si>
  <si>
    <t xml:space="preserve">cf=j= 2075.076 sf] jf;nft ;+u ;DjlGw cg';'lr </t>
  </si>
  <si>
    <t>cg';'lr 7</t>
  </si>
  <si>
    <t>n]vfkfn       sf]zfWoIf      cWoIf</t>
  </si>
  <si>
    <t>2075.12.03</t>
  </si>
  <si>
    <t>ck|lzIFs</t>
  </si>
  <si>
    <t>ejg lgdf{)f cg'bfg</t>
  </si>
  <si>
    <t xml:space="preserve"> cWoIf</t>
  </si>
  <si>
    <t>n]vfk/Lifs</t>
  </si>
  <si>
    <t>cf=j= 2075.076 sf] Plss[t k|fKtL tyf e"QmfgL ljj/)f</t>
  </si>
  <si>
    <t>ef`hf l*lh^n</t>
  </si>
  <si>
    <t>k"hf km]G;L :^f]/</t>
  </si>
  <si>
    <t>&gt;]i^ :^f]/</t>
  </si>
  <si>
    <t>;+lht</t>
  </si>
  <si>
    <t>:^f/ P*e/^fO{lh~</t>
  </si>
  <si>
    <t>;u/dfyf hg/n ;Knfo;{</t>
  </si>
  <si>
    <t>Go" ;u/dfyf</t>
  </si>
  <si>
    <t>j+unfd'vL df]^/</t>
  </si>
  <si>
    <t>lbks lu|n</t>
  </si>
  <si>
    <t>g]kfn df]^/ l/lkol/~</t>
  </si>
  <si>
    <t>s'j]/ P)* ^&lt;*</t>
  </si>
  <si>
    <t>cljgf;</t>
  </si>
  <si>
    <t>lx/f</t>
  </si>
  <si>
    <t>o"/]sf</t>
  </si>
  <si>
    <t>dxfnIdL</t>
  </si>
  <si>
    <t>;Eo s[lif e)*F/</t>
  </si>
  <si>
    <t>jh/+ujnL</t>
  </si>
  <si>
    <t>lzl$ljgfos</t>
  </si>
  <si>
    <t>Go" Pl;l;</t>
  </si>
  <si>
    <t>/fd sfi^ kmlg{r/</t>
  </si>
  <si>
    <t xml:space="preserve">;'l;n ^&lt;* </t>
  </si>
  <si>
    <t>k|lbk sfi^</t>
  </si>
  <si>
    <t>c?)f sfi^</t>
  </si>
  <si>
    <t>cd/ ^&lt;*</t>
  </si>
  <si>
    <t>jfl)fHo j}s d</t>
  </si>
  <si>
    <t>j}}s ^&lt;&lt;G:km/</t>
  </si>
  <si>
    <t>g]=j}=ln= Jofh</t>
  </si>
  <si>
    <t>;'lgtf</t>
  </si>
  <si>
    <t>sf=v= k]ZsL ;"/]g</t>
  </si>
  <si>
    <t>sf=v= ;"lgtf p/fj</t>
  </si>
  <si>
    <t>k]ZsL ;"o{</t>
  </si>
  <si>
    <t>k]ZsL ;"lgtf</t>
  </si>
  <si>
    <t>sf=v= k]ZsL czf]s</t>
  </si>
  <si>
    <t>z}= e|d)f k]ZsL e'kfn</t>
  </si>
  <si>
    <t>sf=v= k]ZsL ;"o{</t>
  </si>
  <si>
    <t>gljs/)f k]ZsL</t>
  </si>
  <si>
    <t>;f=;'= s/</t>
  </si>
  <si>
    <t>ljdf</t>
  </si>
  <si>
    <t>:^]zg/L vr{</t>
  </si>
  <si>
    <t>;=;f vl/b</t>
  </si>
  <si>
    <t>cldg</t>
  </si>
  <si>
    <t>s/</t>
  </si>
  <si>
    <t>;'jf; k]ZsL</t>
  </si>
  <si>
    <t>;=ef*f</t>
  </si>
  <si>
    <t>tflnd vr{</t>
  </si>
  <si>
    <t>s/ 15%</t>
  </si>
  <si>
    <t>lj~fkg vr{</t>
  </si>
  <si>
    <t>j[Iff/f]k)f</t>
  </si>
  <si>
    <t>s/ bflvnf</t>
  </si>
  <si>
    <t>jg sfof{no</t>
  </si>
  <si>
    <t>kl/Iff</t>
  </si>
  <si>
    <t>tflnd</t>
  </si>
  <si>
    <t>j[If/f]k)f vr{</t>
  </si>
  <si>
    <t>;jf/L ef*f</t>
  </si>
  <si>
    <t>;=;f=s/</t>
  </si>
  <si>
    <t>;fdflu|</t>
  </si>
  <si>
    <t>ljh'nL , kfgL</t>
  </si>
  <si>
    <t>;'o{ gf p/fp</t>
  </si>
  <si>
    <t>czf]s yfkf</t>
  </si>
  <si>
    <t>;'jf; lji^</t>
  </si>
  <si>
    <t>g]=j}=ln= d'$tL</t>
  </si>
  <si>
    <t>g]kfn j}s d'$tL</t>
  </si>
  <si>
    <t>c=Nof=</t>
  </si>
  <si>
    <t>c+lst e^\^/fO[</t>
  </si>
  <si>
    <t>d's]z s'df/</t>
  </si>
  <si>
    <t>;'lgtf /fpt</t>
  </si>
  <si>
    <t>tflnd ;f</t>
  </si>
  <si>
    <t>e|D)f eQf</t>
  </si>
  <si>
    <t>#/ef*f</t>
  </si>
  <si>
    <t>km^f] skL</t>
  </si>
  <si>
    <t>pkbfg sf]if</t>
  </si>
  <si>
    <t>6511 df</t>
  </si>
  <si>
    <t>l;=l^ k|b]z kl/Iff</t>
  </si>
  <si>
    <t>hu]*f cg'bfg</t>
  </si>
  <si>
    <t>tflnd ;+rfng g=kf=</t>
  </si>
  <si>
    <t>sf vr{</t>
  </si>
  <si>
    <t>dfwj (sfn</t>
  </si>
  <si>
    <t>;'o{ gf= p/fp</t>
  </si>
  <si>
    <t>e'kfn lu/L</t>
  </si>
  <si>
    <t>kfgL ljh"nL</t>
  </si>
  <si>
    <t>lgdf)f{</t>
  </si>
  <si>
    <t>%fqj[lt</t>
  </si>
  <si>
    <t>kl/ifb z'Ns</t>
  </si>
  <si>
    <t>k|j]z k/LIff z"Ns</t>
  </si>
  <si>
    <t>ljBfyL{ a(L /sd lkmtf{</t>
  </si>
  <si>
    <t>;+lrt ljbf</t>
  </si>
  <si>
    <t>/sd ^&lt;fG;km/</t>
  </si>
  <si>
    <t>r]s eHg jfsL</t>
  </si>
  <si>
    <t>Jofh s/</t>
  </si>
  <si>
    <t>j}s df]Hbft</t>
  </si>
  <si>
    <t>cf=j= 2076.077 sf] u'&amp;L tkm{sf] k|fKtL tyf e"QmfgL ljj/)f</t>
  </si>
  <si>
    <t>j}s df}Hbft x]g]{</t>
  </si>
  <si>
    <t>df]xgnfn dxtf]</t>
  </si>
  <si>
    <t>gu/kflnsf cg'bfg</t>
  </si>
  <si>
    <t xml:space="preserve">zGt j clwsf/L </t>
  </si>
  <si>
    <t xml:space="preserve">e'kfn lu/L </t>
  </si>
  <si>
    <t>lzzjgL tkm{ vr{ 6518 jf^</t>
  </si>
  <si>
    <t>j}s x]g]{</t>
  </si>
  <si>
    <t>hu]*f vftf jf^</t>
  </si>
  <si>
    <t>g]j}nL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</si>
</sst>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5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PCS NEPALI"/>
      <family val="5"/>
    </font>
    <font>
      <b/>
      <sz val="10"/>
      <name val="PCS NEPALI"/>
      <family val="5"/>
    </font>
    <font>
      <b/>
      <sz val="8"/>
      <name val="PCS NEPALI"/>
      <family val="5"/>
    </font>
    <font>
      <sz val="10"/>
      <name val="Arial"/>
      <family val="2"/>
    </font>
    <font>
      <b/>
      <sz val="12"/>
      <name val="PCS NEPALI"/>
      <family val="5"/>
    </font>
    <font>
      <sz val="18"/>
      <name val="PCS NEPALI"/>
      <family val="5"/>
    </font>
    <font>
      <sz val="12"/>
      <name val="PCS NEPALI"/>
      <family val="5"/>
    </font>
    <font>
      <sz val="11"/>
      <color theme="1"/>
      <name val="PCS NEPALI"/>
      <family val="5"/>
    </font>
    <font>
      <b/>
      <sz val="8"/>
      <color theme="1"/>
      <name val="PCS NEPALI"/>
      <family val="5"/>
    </font>
    <font>
      <sz val="14"/>
      <color theme="1"/>
      <name val="PCS NEPALI"/>
      <family val="5"/>
    </font>
    <font>
      <sz val="10"/>
      <color theme="1"/>
      <name val="PCS NEPALI"/>
      <family val="5"/>
    </font>
    <font>
      <sz val="10"/>
      <name val="FONTASY_HIMALI_TT"/>
      <family val="5"/>
    </font>
    <font>
      <b/>
      <sz val="10"/>
      <name val="FONTASY_HIMALI_TT"/>
      <family val="5"/>
    </font>
    <font>
      <b/>
      <sz val="14"/>
      <name val="FONTASY_HIMALI_TT"/>
      <family val="5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FONTASY_ HIMALI_ TT"/>
      <family val="5"/>
    </font>
    <font>
      <sz val="11"/>
      <name val="FONTASY_HIMALI_TT"/>
      <family val="5"/>
    </font>
    <font>
      <sz val="8"/>
      <name val="PCS NEPALI"/>
      <family val="5"/>
    </font>
    <font>
      <sz val="8"/>
      <name val="Arial"/>
      <family val="2"/>
    </font>
    <font>
      <sz val="9"/>
      <name val="PCS NEPALI"/>
      <family val="5"/>
    </font>
    <font>
      <sz val="11"/>
      <name val="PCS NEPALI"/>
      <family val="5"/>
    </font>
    <font>
      <sz val="12"/>
      <name val="FONTASY_HIMALI_TT"/>
      <family val="5"/>
    </font>
    <font>
      <sz val="12"/>
      <color theme="1"/>
      <name val="PCS NEPALI"/>
      <family val="5"/>
    </font>
    <font>
      <sz val="12"/>
      <color theme="1"/>
      <name val="Calibri"/>
      <family val="2"/>
      <scheme val="minor"/>
    </font>
    <font>
      <sz val="8"/>
      <color theme="1"/>
      <name val="PCS NEPALI"/>
      <family val="5"/>
    </font>
    <font>
      <b/>
      <sz val="18"/>
      <name val="PCS NEPALI"/>
      <family val="5"/>
    </font>
    <font>
      <b/>
      <sz val="12"/>
      <color theme="1"/>
      <name val="PCS NEPALI"/>
      <family val="5"/>
    </font>
    <font>
      <b/>
      <sz val="11"/>
      <color theme="1"/>
      <name val="PCS NEPALI"/>
      <family val="5"/>
    </font>
    <font>
      <sz val="24"/>
      <color theme="1"/>
      <name val="PCS NEPALI"/>
      <family val="5"/>
    </font>
    <font>
      <b/>
      <sz val="9"/>
      <color theme="1"/>
      <name val="FONTASY_HIMALI_TT"/>
      <family val="5"/>
    </font>
    <font>
      <sz val="10"/>
      <color theme="1"/>
      <name val="FONTASY_HIMALI_TT"/>
      <family val="5"/>
    </font>
    <font>
      <b/>
      <sz val="10"/>
      <color theme="1"/>
      <name val="FONTASY_HIMALI_TT"/>
      <family val="5"/>
    </font>
    <font>
      <b/>
      <sz val="11"/>
      <color theme="1"/>
      <name val="Calibri"/>
      <family val="2"/>
      <scheme val="minor"/>
    </font>
    <font>
      <sz val="8"/>
      <name val="FONTASY_HIMALI_TT"/>
      <family val="5"/>
    </font>
    <font>
      <sz val="8"/>
      <name val="Fontasy Himali"/>
      <family val="5"/>
    </font>
    <font>
      <sz val="8"/>
      <color theme="1"/>
      <name val="FONTASY_ HIMALI_ TT"/>
      <family val="5"/>
    </font>
    <font>
      <sz val="11"/>
      <color theme="1"/>
      <name val="FONTASY_HIMALI_TT"/>
      <family val="5"/>
    </font>
    <font>
      <b/>
      <sz val="10"/>
      <color theme="1"/>
      <name val="PCS NEPALI"/>
      <family val="5"/>
    </font>
    <font>
      <b/>
      <sz val="11"/>
      <name val="PCS NEPALI"/>
      <family val="5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9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wrapText="1" shrinkToFit="1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37" applyNumberFormat="0" applyAlignment="0" applyProtection="0"/>
    <xf numFmtId="0" fontId="20" fillId="21" borderId="38" applyNumberFormat="0" applyAlignment="0" applyProtection="0"/>
    <xf numFmtId="43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9" applyNumberFormat="0" applyFill="0" applyAlignment="0" applyProtection="0"/>
    <xf numFmtId="0" fontId="24" fillId="0" borderId="40" applyNumberFormat="0" applyFill="0" applyAlignment="0" applyProtection="0"/>
    <xf numFmtId="0" fontId="25" fillId="0" borderId="41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37" applyNumberFormat="0" applyAlignment="0" applyProtection="0"/>
    <xf numFmtId="0" fontId="27" fillId="0" borderId="42" applyNumberFormat="0" applyFill="0" applyAlignment="0" applyProtection="0"/>
    <xf numFmtId="0" fontId="28" fillId="22" borderId="0" applyNumberFormat="0" applyBorder="0" applyAlignment="0" applyProtection="0"/>
    <xf numFmtId="0" fontId="5" fillId="23" borderId="43" applyNumberFormat="0" applyFont="0" applyAlignment="0" applyProtection="0"/>
    <xf numFmtId="0" fontId="29" fillId="20" borderId="44" applyNumberFormat="0" applyAlignment="0" applyProtection="0"/>
    <xf numFmtId="0" fontId="30" fillId="0" borderId="0" applyNumberFormat="0" applyFill="0" applyBorder="0" applyAlignment="0" applyProtection="0"/>
    <xf numFmtId="0" fontId="31" fillId="0" borderId="4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>
      <alignment wrapText="1" shrinkToFit="1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37" applyNumberFormat="0" applyAlignment="0" applyProtection="0"/>
    <xf numFmtId="0" fontId="20" fillId="21" borderId="38" applyNumberFormat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0" borderId="39" applyNumberFormat="0" applyFill="0" applyAlignment="0" applyProtection="0"/>
    <xf numFmtId="0" fontId="24" fillId="0" borderId="40" applyNumberFormat="0" applyFill="0" applyAlignment="0" applyProtection="0"/>
    <xf numFmtId="0" fontId="25" fillId="0" borderId="41" applyNumberFormat="0" applyFill="0" applyAlignment="0" applyProtection="0"/>
    <xf numFmtId="0" fontId="25" fillId="0" borderId="0" applyNumberFormat="0" applyFill="0" applyBorder="0" applyAlignment="0" applyProtection="0"/>
    <xf numFmtId="0" fontId="26" fillId="7" borderId="37" applyNumberFormat="0" applyAlignment="0" applyProtection="0"/>
    <xf numFmtId="0" fontId="27" fillId="0" borderId="42" applyNumberFormat="0" applyFill="0" applyAlignment="0" applyProtection="0"/>
    <xf numFmtId="0" fontId="28" fillId="22" borderId="0" applyNumberFormat="0" applyBorder="0" applyAlignment="0" applyProtection="0"/>
    <xf numFmtId="0" fontId="5" fillId="23" borderId="43" applyNumberFormat="0" applyFont="0" applyAlignment="0" applyProtection="0"/>
    <xf numFmtId="0" fontId="29" fillId="20" borderId="44" applyNumberFormat="0" applyAlignment="0" applyProtection="0"/>
    <xf numFmtId="0" fontId="30" fillId="0" borderId="0" applyNumberFormat="0" applyFill="0" applyBorder="0" applyAlignment="0" applyProtection="0"/>
    <xf numFmtId="0" fontId="31" fillId="0" borderId="4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/>
    <xf numFmtId="0" fontId="1" fillId="0" borderId="0"/>
    <xf numFmtId="0" fontId="1" fillId="0" borderId="0"/>
  </cellStyleXfs>
  <cellXfs count="644">
    <xf numFmtId="0" fontId="0" fillId="0" borderId="0" xfId="0"/>
    <xf numFmtId="0" fontId="4" fillId="0" borderId="2" xfId="1" applyFont="1" applyBorder="1"/>
    <xf numFmtId="0" fontId="4" fillId="0" borderId="2" xfId="1" applyFont="1" applyBorder="1" applyAlignment="1">
      <alignment horizontal="left"/>
    </xf>
    <xf numFmtId="0" fontId="0" fillId="0" borderId="0" xfId="0"/>
    <xf numFmtId="0" fontId="9" fillId="0" borderId="0" xfId="0" applyFont="1"/>
    <xf numFmtId="4" fontId="9" fillId="0" borderId="10" xfId="0" applyNumberFormat="1" applyFont="1" applyBorder="1"/>
    <xf numFmtId="4" fontId="9" fillId="0" borderId="3" xfId="0" applyNumberFormat="1" applyFont="1" applyBorder="1"/>
    <xf numFmtId="0" fontId="11" fillId="0" borderId="0" xfId="0" applyFont="1" applyAlignment="1">
      <alignment horizontal="center"/>
    </xf>
    <xf numFmtId="0" fontId="1" fillId="0" borderId="0" xfId="4"/>
    <xf numFmtId="0" fontId="8" fillId="0" borderId="19" xfId="4" applyFont="1" applyBorder="1" applyAlignment="1">
      <alignment horizontal="center"/>
    </xf>
    <xf numFmtId="0" fontId="8" fillId="0" borderId="25" xfId="4" applyFont="1" applyBorder="1" applyAlignment="1">
      <alignment horizontal="center"/>
    </xf>
    <xf numFmtId="0" fontId="8" fillId="0" borderId="20" xfId="4" applyFont="1" applyBorder="1" applyAlignment="1">
      <alignment horizontal="center"/>
    </xf>
    <xf numFmtId="0" fontId="8" fillId="0" borderId="21" xfId="4" applyFont="1" applyBorder="1"/>
    <xf numFmtId="4" fontId="8" fillId="0" borderId="27" xfId="4" applyNumberFormat="1" applyFont="1" applyBorder="1"/>
    <xf numFmtId="0" fontId="8" fillId="0" borderId="23" xfId="4" applyFont="1" applyBorder="1"/>
    <xf numFmtId="0" fontId="6" fillId="0" borderId="0" xfId="4" applyFont="1" applyBorder="1"/>
    <xf numFmtId="0" fontId="6" fillId="0" borderId="32" xfId="4" applyFont="1" applyBorder="1"/>
    <xf numFmtId="0" fontId="6" fillId="0" borderId="33" xfId="4" applyFont="1" applyBorder="1"/>
    <xf numFmtId="0" fontId="6" fillId="0" borderId="34" xfId="4" applyFont="1" applyBorder="1"/>
    <xf numFmtId="0" fontId="8" fillId="0" borderId="2" xfId="4" applyFont="1" applyBorder="1"/>
    <xf numFmtId="0" fontId="8" fillId="0" borderId="3" xfId="4" applyFont="1" applyBorder="1"/>
    <xf numFmtId="0" fontId="8" fillId="0" borderId="0" xfId="4" applyFont="1"/>
    <xf numFmtId="0" fontId="2" fillId="0" borderId="0" xfId="4" applyFont="1" applyBorder="1" applyAlignment="1">
      <alignment horizontal="center"/>
    </xf>
    <xf numFmtId="0" fontId="2" fillId="0" borderId="0" xfId="4" applyFont="1" applyBorder="1"/>
    <xf numFmtId="0" fontId="8" fillId="0" borderId="33" xfId="4" applyFont="1" applyBorder="1"/>
    <xf numFmtId="0" fontId="8" fillId="0" borderId="34" xfId="4" applyFont="1" applyBorder="1"/>
    <xf numFmtId="0" fontId="8" fillId="0" borderId="9" xfId="4" applyFont="1" applyBorder="1"/>
    <xf numFmtId="0" fontId="8" fillId="0" borderId="11" xfId="4" applyFont="1" applyBorder="1"/>
    <xf numFmtId="0" fontId="8" fillId="0" borderId="5" xfId="4" applyFont="1" applyBorder="1"/>
    <xf numFmtId="0" fontId="8" fillId="0" borderId="19" xfId="4" applyFont="1" applyBorder="1"/>
    <xf numFmtId="0" fontId="8" fillId="0" borderId="25" xfId="4" applyFont="1" applyBorder="1"/>
    <xf numFmtId="0" fontId="8" fillId="0" borderId="20" xfId="4" applyFont="1" applyBorder="1"/>
    <xf numFmtId="0" fontId="8" fillId="0" borderId="22" xfId="4" applyFont="1" applyBorder="1"/>
    <xf numFmtId="0" fontId="8" fillId="0" borderId="24" xfId="4" applyFont="1" applyBorder="1"/>
    <xf numFmtId="0" fontId="8" fillId="0" borderId="26" xfId="4" applyFont="1" applyBorder="1"/>
    <xf numFmtId="4" fontId="8" fillId="0" borderId="2" xfId="4" applyNumberFormat="1" applyFont="1" applyBorder="1"/>
    <xf numFmtId="4" fontId="8" fillId="0" borderId="24" xfId="4" applyNumberFormat="1" applyFont="1" applyBorder="1"/>
    <xf numFmtId="0" fontId="8" fillId="0" borderId="35" xfId="4" applyFont="1" applyBorder="1"/>
    <xf numFmtId="0" fontId="8" fillId="0" borderId="17" xfId="4" applyFont="1" applyBorder="1"/>
    <xf numFmtId="4" fontId="8" fillId="0" borderId="17" xfId="4" applyNumberFormat="1" applyFont="1" applyBorder="1"/>
    <xf numFmtId="0" fontId="8" fillId="0" borderId="36" xfId="4" applyFont="1" applyBorder="1"/>
    <xf numFmtId="0" fontId="8" fillId="0" borderId="12" xfId="4" applyFont="1" applyBorder="1"/>
    <xf numFmtId="0" fontId="8" fillId="0" borderId="35" xfId="4" applyFont="1" applyBorder="1" applyAlignment="1">
      <alignment horizontal="center"/>
    </xf>
    <xf numFmtId="0" fontId="8" fillId="0" borderId="5" xfId="4" applyFont="1" applyBorder="1" applyAlignment="1">
      <alignment horizontal="center"/>
    </xf>
    <xf numFmtId="0" fontId="8" fillId="0" borderId="13" xfId="4" applyFont="1" applyBorder="1" applyAlignment="1">
      <alignment horizontal="center"/>
    </xf>
    <xf numFmtId="0" fontId="8" fillId="0" borderId="16" xfId="4" applyFont="1" applyBorder="1"/>
    <xf numFmtId="4" fontId="8" fillId="0" borderId="16" xfId="4" applyNumberFormat="1" applyFont="1" applyBorder="1"/>
    <xf numFmtId="0" fontId="8" fillId="0" borderId="13" xfId="4" applyFont="1" applyBorder="1"/>
    <xf numFmtId="4" fontId="8" fillId="0" borderId="13" xfId="4" applyNumberFormat="1" applyFont="1" applyBorder="1"/>
    <xf numFmtId="0" fontId="2" fillId="0" borderId="5" xfId="4" applyFont="1" applyBorder="1" applyAlignment="1">
      <alignment horizontal="center"/>
    </xf>
    <xf numFmtId="0" fontId="2" fillId="0" borderId="3" xfId="4" applyFont="1" applyBorder="1"/>
    <xf numFmtId="0" fontId="2" fillId="0" borderId="11" xfId="4" applyFont="1" applyBorder="1"/>
    <xf numFmtId="0" fontId="5" fillId="0" borderId="0" xfId="48">
      <alignment wrapText="1" shrinkToFit="1"/>
    </xf>
    <xf numFmtId="4" fontId="0" fillId="0" borderId="0" xfId="0" applyNumberFormat="1"/>
    <xf numFmtId="0" fontId="4" fillId="0" borderId="2" xfId="1" applyFont="1" applyBorder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/>
    <xf numFmtId="0" fontId="0" fillId="0" borderId="0" xfId="0" applyBorder="1"/>
    <xf numFmtId="0" fontId="2" fillId="0" borderId="0" xfId="0" applyFont="1" applyAlignment="1">
      <alignment horizontal="center"/>
    </xf>
    <xf numFmtId="0" fontId="35" fillId="0" borderId="8" xfId="91" applyFont="1" applyBorder="1"/>
    <xf numFmtId="0" fontId="35" fillId="0" borderId="1" xfId="91" applyFont="1" applyBorder="1"/>
    <xf numFmtId="0" fontId="35" fillId="0" borderId="25" xfId="91" applyFont="1" applyBorder="1"/>
    <xf numFmtId="0" fontId="35" fillId="0" borderId="20" xfId="91" applyFont="1" applyBorder="1"/>
    <xf numFmtId="0" fontId="35" fillId="0" borderId="9" xfId="91" applyFont="1" applyBorder="1"/>
    <xf numFmtId="0" fontId="35" fillId="0" borderId="7" xfId="91" applyFont="1" applyBorder="1"/>
    <xf numFmtId="0" fontId="35" fillId="0" borderId="30" xfId="91" applyFont="1" applyBorder="1"/>
    <xf numFmtId="0" fontId="35" fillId="0" borderId="31" xfId="91" applyFont="1" applyBorder="1"/>
    <xf numFmtId="0" fontId="35" fillId="0" borderId="21" xfId="91" applyFont="1" applyBorder="1"/>
    <xf numFmtId="0" fontId="35" fillId="0" borderId="2" xfId="91" applyFont="1" applyBorder="1"/>
    <xf numFmtId="4" fontId="35" fillId="0" borderId="2" xfId="91" applyNumberFormat="1" applyFont="1" applyBorder="1"/>
    <xf numFmtId="4" fontId="35" fillId="0" borderId="22" xfId="91" applyNumberFormat="1" applyFont="1" applyBorder="1"/>
    <xf numFmtId="0" fontId="1" fillId="0" borderId="0" xfId="91" applyFont="1" applyBorder="1"/>
    <xf numFmtId="0" fontId="2" fillId="0" borderId="0" xfId="91" applyFont="1" applyBorder="1"/>
    <xf numFmtId="4" fontId="2" fillId="0" borderId="0" xfId="91" applyNumberFormat="1" applyFont="1" applyBorder="1"/>
    <xf numFmtId="0" fontId="1" fillId="0" borderId="0" xfId="91" applyFont="1"/>
    <xf numFmtId="0" fontId="2" fillId="0" borderId="0" xfId="91" applyFont="1"/>
    <xf numFmtId="4" fontId="1" fillId="0" borderId="0" xfId="91" applyNumberFormat="1" applyFont="1"/>
    <xf numFmtId="0" fontId="35" fillId="0" borderId="0" xfId="91" applyFont="1" applyAlignment="1">
      <alignment horizontal="center"/>
    </xf>
    <xf numFmtId="0" fontId="2" fillId="0" borderId="29" xfId="92" applyFont="1" applyBorder="1"/>
    <xf numFmtId="0" fontId="2" fillId="0" borderId="30" xfId="92" applyFont="1" applyBorder="1"/>
    <xf numFmtId="0" fontId="3" fillId="0" borderId="25" xfId="92" applyFont="1" applyBorder="1"/>
    <xf numFmtId="4" fontId="4" fillId="0" borderId="25" xfId="92" applyNumberFormat="1" applyFont="1" applyBorder="1"/>
    <xf numFmtId="0" fontId="2" fillId="0" borderId="21" xfId="92" applyFont="1" applyBorder="1"/>
    <xf numFmtId="0" fontId="2" fillId="0" borderId="2" xfId="92" applyFont="1" applyBorder="1"/>
    <xf numFmtId="3" fontId="35" fillId="0" borderId="2" xfId="92" applyNumberFormat="1" applyFont="1" applyBorder="1"/>
    <xf numFmtId="4" fontId="35" fillId="0" borderId="2" xfId="92" applyNumberFormat="1" applyFont="1" applyBorder="1"/>
    <xf numFmtId="4" fontId="35" fillId="0" borderId="2" xfId="92" applyNumberFormat="1" applyFont="1" applyFill="1" applyBorder="1"/>
    <xf numFmtId="3" fontId="2" fillId="0" borderId="30" xfId="92" applyNumberFormat="1" applyFont="1" applyBorder="1"/>
    <xf numFmtId="4" fontId="35" fillId="0" borderId="30" xfId="92" applyNumberFormat="1" applyFont="1" applyBorder="1"/>
    <xf numFmtId="0" fontId="2" fillId="0" borderId="35" xfId="92" applyFont="1" applyBorder="1"/>
    <xf numFmtId="0" fontId="2" fillId="0" borderId="52" xfId="92" applyFont="1" applyBorder="1"/>
    <xf numFmtId="0" fontId="2" fillId="0" borderId="53" xfId="92" applyFont="1" applyBorder="1"/>
    <xf numFmtId="2" fontId="0" fillId="0" borderId="0" xfId="0" applyNumberFormat="1" applyBorder="1"/>
    <xf numFmtId="4" fontId="0" fillId="0" borderId="0" xfId="0" applyNumberFormat="1" applyBorder="1"/>
    <xf numFmtId="0" fontId="1" fillId="0" borderId="0" xfId="92"/>
    <xf numFmtId="0" fontId="8" fillId="0" borderId="7" xfId="4" applyFont="1" applyBorder="1"/>
    <xf numFmtId="0" fontId="8" fillId="0" borderId="55" xfId="4" applyFont="1" applyBorder="1"/>
    <xf numFmtId="0" fontId="12" fillId="0" borderId="0" xfId="0" applyFont="1"/>
    <xf numFmtId="0" fontId="2" fillId="0" borderId="35" xfId="0" applyFont="1" applyBorder="1"/>
    <xf numFmtId="0" fontId="2" fillId="0" borderId="57" xfId="0" applyFont="1" applyBorder="1"/>
    <xf numFmtId="0" fontId="2" fillId="0" borderId="5" xfId="0" applyFont="1" applyBorder="1" applyAlignment="1">
      <alignment horizontal="center"/>
    </xf>
    <xf numFmtId="0" fontId="2" fillId="0" borderId="13" xfId="0" applyFont="1" applyBorder="1"/>
    <xf numFmtId="0" fontId="2" fillId="0" borderId="9" xfId="0" applyFont="1" applyBorder="1"/>
    <xf numFmtId="0" fontId="2" fillId="0" borderId="58" xfId="0" applyFont="1" applyBorder="1"/>
    <xf numFmtId="4" fontId="2" fillId="0" borderId="58" xfId="0" applyNumberFormat="1" applyFont="1" applyBorder="1"/>
    <xf numFmtId="4" fontId="2" fillId="0" borderId="7" xfId="0" applyNumberFormat="1" applyFont="1" applyBorder="1"/>
    <xf numFmtId="0" fontId="2" fillId="0" borderId="7" xfId="0" applyFont="1" applyBorder="1"/>
    <xf numFmtId="0" fontId="0" fillId="0" borderId="58" xfId="0" applyBorder="1"/>
    <xf numFmtId="4" fontId="2" fillId="0" borderId="57" xfId="0" applyNumberFormat="1" applyFont="1" applyBorder="1"/>
    <xf numFmtId="0" fontId="0" fillId="0" borderId="51" xfId="0" applyBorder="1"/>
    <xf numFmtId="0" fontId="0" fillId="0" borderId="7" xfId="0" applyBorder="1"/>
    <xf numFmtId="0" fontId="0" fillId="0" borderId="9" xfId="0" applyBorder="1"/>
    <xf numFmtId="4" fontId="2" fillId="0" borderId="59" xfId="0" applyNumberFormat="1" applyFont="1" applyBorder="1"/>
    <xf numFmtId="0" fontId="0" fillId="0" borderId="35" xfId="0" applyBorder="1"/>
    <xf numFmtId="0" fontId="0" fillId="0" borderId="57" xfId="0" applyBorder="1"/>
    <xf numFmtId="4" fontId="2" fillId="0" borderId="5" xfId="0" applyNumberFormat="1" applyFont="1" applyBorder="1"/>
    <xf numFmtId="0" fontId="2" fillId="0" borderId="58" xfId="0" applyFont="1" applyBorder="1" applyAlignment="1">
      <alignment horizontal="right"/>
    </xf>
    <xf numFmtId="0" fontId="2" fillId="0" borderId="58" xfId="0" applyFont="1" applyBorder="1" applyAlignment="1">
      <alignment horizontal="center"/>
    </xf>
    <xf numFmtId="0" fontId="2" fillId="0" borderId="0" xfId="0" applyFont="1"/>
    <xf numFmtId="4" fontId="2" fillId="0" borderId="0" xfId="0" applyNumberFormat="1" applyFont="1" applyBorder="1"/>
    <xf numFmtId="4" fontId="2" fillId="0" borderId="0" xfId="0" applyNumberFormat="1" applyFont="1"/>
    <xf numFmtId="0" fontId="37" fillId="0" borderId="0" xfId="0" applyFont="1" applyBorder="1" applyAlignment="1">
      <alignment horizontal="left"/>
    </xf>
    <xf numFmtId="0" fontId="37" fillId="0" borderId="0" xfId="0" applyFont="1" applyBorder="1" applyAlignment="1">
      <alignment horizontal="right"/>
    </xf>
    <xf numFmtId="0" fontId="8" fillId="0" borderId="8" xfId="4" applyFont="1" applyBorder="1" applyAlignment="1">
      <alignment horizontal="center"/>
    </xf>
    <xf numFmtId="0" fontId="8" fillId="0" borderId="1" xfId="4" applyFont="1" applyBorder="1" applyAlignment="1">
      <alignment horizontal="center"/>
    </xf>
    <xf numFmtId="4" fontId="8" fillId="0" borderId="3" xfId="4" applyNumberFormat="1" applyFont="1" applyBorder="1"/>
    <xf numFmtId="4" fontId="8" fillId="0" borderId="11" xfId="4" applyNumberFormat="1" applyFont="1" applyBorder="1"/>
    <xf numFmtId="4" fontId="8" fillId="0" borderId="5" xfId="4" applyNumberFormat="1" applyFont="1" applyBorder="1"/>
    <xf numFmtId="4" fontId="8" fillId="0" borderId="12" xfId="4" applyNumberFormat="1" applyFont="1" applyBorder="1"/>
    <xf numFmtId="4" fontId="8" fillId="0" borderId="7" xfId="4" applyNumberFormat="1" applyFont="1" applyBorder="1"/>
    <xf numFmtId="2" fontId="0" fillId="0" borderId="0" xfId="0" applyNumberFormat="1"/>
    <xf numFmtId="0" fontId="4" fillId="0" borderId="0" xfId="1" applyFont="1" applyBorder="1"/>
    <xf numFmtId="4" fontId="9" fillId="0" borderId="0" xfId="0" applyNumberFormat="1" applyFont="1" applyBorder="1"/>
    <xf numFmtId="0" fontId="4" fillId="0" borderId="0" xfId="1" applyFont="1" applyBorder="1" applyAlignment="1">
      <alignment horizontal="left"/>
    </xf>
    <xf numFmtId="0" fontId="9" fillId="0" borderId="0" xfId="0" applyFont="1" applyBorder="1"/>
    <xf numFmtId="0" fontId="12" fillId="0" borderId="0" xfId="0" applyFont="1" applyAlignment="1">
      <alignment horizontal="left"/>
    </xf>
    <xf numFmtId="0" fontId="12" fillId="0" borderId="0" xfId="0" applyFont="1" applyBorder="1" applyAlignment="1">
      <alignment horizontal="left"/>
    </xf>
    <xf numFmtId="0" fontId="33" fillId="0" borderId="50" xfId="48" applyFont="1" applyBorder="1" applyAlignment="1">
      <alignment horizontal="center" vertical="top" wrapText="1" shrinkToFit="1"/>
    </xf>
    <xf numFmtId="0" fontId="39" fillId="0" borderId="0" xfId="5" applyFont="1" applyBorder="1">
      <alignment wrapText="1" shrinkToFit="1"/>
    </xf>
    <xf numFmtId="0" fontId="41" fillId="0" borderId="0" xfId="0" applyFont="1"/>
    <xf numFmtId="0" fontId="41" fillId="0" borderId="0" xfId="0" applyFont="1" applyBorder="1"/>
    <xf numFmtId="0" fontId="2" fillId="0" borderId="0" xfId="4" applyFont="1" applyAlignment="1">
      <alignment horizontal="center"/>
    </xf>
    <xf numFmtId="4" fontId="9" fillId="0" borderId="7" xfId="0" applyNumberFormat="1" applyFont="1" applyBorder="1"/>
    <xf numFmtId="0" fontId="42" fillId="0" borderId="0" xfId="0" applyFont="1" applyBorder="1"/>
    <xf numFmtId="0" fontId="8" fillId="0" borderId="0" xfId="4" applyFont="1" applyBorder="1"/>
    <xf numFmtId="0" fontId="4" fillId="0" borderId="28" xfId="1" applyFont="1" applyFill="1" applyBorder="1" applyAlignment="1">
      <alignment horizontal="left"/>
    </xf>
    <xf numFmtId="0" fontId="2" fillId="0" borderId="1" xfId="4" applyFont="1" applyBorder="1" applyAlignment="1">
      <alignment horizontal="center"/>
    </xf>
    <xf numFmtId="0" fontId="8" fillId="0" borderId="56" xfId="4" applyFont="1" applyBorder="1" applyAlignment="1">
      <alignment horizontal="center"/>
    </xf>
    <xf numFmtId="0" fontId="2" fillId="0" borderId="51" xfId="4" applyFont="1" applyBorder="1" applyAlignment="1">
      <alignment horizontal="center"/>
    </xf>
    <xf numFmtId="0" fontId="8" fillId="0" borderId="59" xfId="4" applyFont="1" applyBorder="1" applyAlignment="1">
      <alignment horizontal="center"/>
    </xf>
    <xf numFmtId="0" fontId="38" fillId="0" borderId="60" xfId="1" applyFont="1" applyFill="1" applyBorder="1" applyAlignment="1">
      <alignment horizontal="left"/>
    </xf>
    <xf numFmtId="0" fontId="9" fillId="0" borderId="8" xfId="0" applyFont="1" applyBorder="1"/>
    <xf numFmtId="0" fontId="9" fillId="0" borderId="9" xfId="0" applyFont="1" applyBorder="1"/>
    <xf numFmtId="0" fontId="40" fillId="0" borderId="0" xfId="0" applyFont="1" applyBorder="1"/>
    <xf numFmtId="0" fontId="9" fillId="0" borderId="23" xfId="0" applyFont="1" applyBorder="1"/>
    <xf numFmtId="0" fontId="9" fillId="0" borderId="24" xfId="0" applyFont="1" applyBorder="1"/>
    <xf numFmtId="4" fontId="9" fillId="0" borderId="20" xfId="0" applyNumberFormat="1" applyFont="1" applyBorder="1"/>
    <xf numFmtId="4" fontId="9" fillId="0" borderId="22" xfId="0" applyNumberFormat="1" applyFont="1" applyBorder="1"/>
    <xf numFmtId="0" fontId="9" fillId="0" borderId="19" xfId="0" applyFont="1" applyBorder="1"/>
    <xf numFmtId="0" fontId="9" fillId="0" borderId="25" xfId="0" applyFont="1" applyBorder="1"/>
    <xf numFmtId="0" fontId="9" fillId="0" borderId="21" xfId="0" applyFont="1" applyBorder="1"/>
    <xf numFmtId="0" fontId="0" fillId="0" borderId="18" xfId="0" applyBorder="1"/>
    <xf numFmtId="0" fontId="9" fillId="0" borderId="0" xfId="0" applyFont="1" applyFill="1" applyBorder="1"/>
    <xf numFmtId="0" fontId="2" fillId="0" borderId="0" xfId="92" applyFont="1" applyAlignment="1"/>
    <xf numFmtId="0" fontId="36" fillId="0" borderId="0" xfId="91" applyFont="1" applyBorder="1"/>
    <xf numFmtId="0" fontId="35" fillId="0" borderId="0" xfId="91" applyFont="1" applyBorder="1"/>
    <xf numFmtId="4" fontId="35" fillId="0" borderId="0" xfId="91" applyNumberFormat="1" applyFont="1" applyBorder="1"/>
    <xf numFmtId="4" fontId="35" fillId="0" borderId="61" xfId="92" applyNumberFormat="1" applyFont="1" applyBorder="1"/>
    <xf numFmtId="4" fontId="35" fillId="0" borderId="46" xfId="92" applyNumberFormat="1" applyFont="1" applyBorder="1"/>
    <xf numFmtId="2" fontId="13" fillId="0" borderId="2" xfId="0" applyNumberFormat="1" applyFont="1" applyBorder="1"/>
    <xf numFmtId="0" fontId="2" fillId="0" borderId="0" xfId="2" applyFont="1" applyBorder="1" applyAlignment="1">
      <alignment horizontal="center"/>
    </xf>
    <xf numFmtId="0" fontId="35" fillId="0" borderId="0" xfId="92" applyFont="1" applyAlignment="1">
      <alignment horizontal="center"/>
    </xf>
    <xf numFmtId="0" fontId="4" fillId="0" borderId="0" xfId="1" applyFont="1" applyBorder="1" applyAlignment="1">
      <alignment horizontal="center"/>
    </xf>
    <xf numFmtId="0" fontId="2" fillId="0" borderId="19" xfId="92" applyFont="1" applyBorder="1"/>
    <xf numFmtId="4" fontId="9" fillId="0" borderId="0" xfId="0" applyNumberFormat="1" applyFont="1"/>
    <xf numFmtId="4" fontId="9" fillId="0" borderId="2" xfId="0" applyNumberFormat="1" applyFont="1" applyBorder="1"/>
    <xf numFmtId="4" fontId="9" fillId="0" borderId="1" xfId="0" applyNumberFormat="1" applyFont="1" applyBorder="1"/>
    <xf numFmtId="4" fontId="9" fillId="0" borderId="24" xfId="0" applyNumberFormat="1" applyFont="1" applyBorder="1"/>
    <xf numFmtId="0" fontId="0" fillId="0" borderId="2" xfId="0" applyBorder="1"/>
    <xf numFmtId="0" fontId="0" fillId="0" borderId="25" xfId="0" applyBorder="1"/>
    <xf numFmtId="4" fontId="8" fillId="0" borderId="22" xfId="4" applyNumberFormat="1" applyFont="1" applyBorder="1"/>
    <xf numFmtId="4" fontId="0" fillId="0" borderId="2" xfId="0" applyNumberFormat="1" applyBorder="1"/>
    <xf numFmtId="0" fontId="9" fillId="0" borderId="29" xfId="0" applyFont="1" applyBorder="1"/>
    <xf numFmtId="0" fontId="9" fillId="0" borderId="30" xfId="0" applyFont="1" applyBorder="1"/>
    <xf numFmtId="4" fontId="9" fillId="0" borderId="31" xfId="0" applyNumberFormat="1" applyFont="1" applyBorder="1"/>
    <xf numFmtId="0" fontId="9" fillId="0" borderId="52" xfId="0" applyFont="1" applyBorder="1"/>
    <xf numFmtId="0" fontId="9" fillId="0" borderId="53" xfId="0" applyFont="1" applyBorder="1"/>
    <xf numFmtId="4" fontId="9" fillId="0" borderId="54" xfId="0" applyNumberFormat="1" applyFont="1" applyBorder="1"/>
    <xf numFmtId="0" fontId="8" fillId="0" borderId="0" xfId="4" applyFont="1" applyAlignment="1">
      <alignment horizontal="center"/>
    </xf>
    <xf numFmtId="0" fontId="45" fillId="0" borderId="0" xfId="0" applyFont="1"/>
    <xf numFmtId="0" fontId="45" fillId="0" borderId="0" xfId="0" applyFont="1" applyAlignment="1">
      <alignment horizontal="center"/>
    </xf>
    <xf numFmtId="0" fontId="39" fillId="0" borderId="19" xfId="0" applyFont="1" applyBorder="1"/>
    <xf numFmtId="4" fontId="33" fillId="0" borderId="20" xfId="48" applyNumberFormat="1" applyFont="1" applyBorder="1">
      <alignment wrapText="1" shrinkToFit="1"/>
    </xf>
    <xf numFmtId="0" fontId="39" fillId="0" borderId="29" xfId="0" applyFont="1" applyBorder="1"/>
    <xf numFmtId="4" fontId="33" fillId="0" borderId="31" xfId="48" applyNumberFormat="1" applyFont="1" applyBorder="1">
      <alignment wrapText="1" shrinkToFit="1"/>
    </xf>
    <xf numFmtId="0" fontId="8" fillId="0" borderId="52" xfId="1" applyFont="1" applyFill="1" applyBorder="1" applyAlignment="1">
      <alignment horizontal="left"/>
    </xf>
    <xf numFmtId="4" fontId="8" fillId="0" borderId="20" xfId="4" applyNumberFormat="1" applyFont="1" applyBorder="1"/>
    <xf numFmtId="0" fontId="8" fillId="0" borderId="29" xfId="4" applyFont="1" applyBorder="1"/>
    <xf numFmtId="0" fontId="0" fillId="0" borderId="30" xfId="0" applyBorder="1"/>
    <xf numFmtId="0" fontId="8" fillId="0" borderId="52" xfId="4" applyFont="1" applyBorder="1"/>
    <xf numFmtId="0" fontId="0" fillId="0" borderId="53" xfId="0" applyBorder="1"/>
    <xf numFmtId="4" fontId="8" fillId="0" borderId="54" xfId="4" applyNumberFormat="1" applyFont="1" applyBorder="1"/>
    <xf numFmtId="0" fontId="9" fillId="0" borderId="0" xfId="0" applyFont="1" applyAlignment="1">
      <alignment horizontal="center"/>
    </xf>
    <xf numFmtId="4" fontId="8" fillId="0" borderId="56" xfId="4" applyNumberFormat="1" applyFont="1" applyBorder="1"/>
    <xf numFmtId="4" fontId="8" fillId="0" borderId="12" xfId="1" applyNumberFormat="1" applyFont="1" applyFill="1" applyBorder="1" applyAlignment="1">
      <alignment horizontal="right"/>
    </xf>
    <xf numFmtId="0" fontId="35" fillId="0" borderId="25" xfId="92" applyFont="1" applyBorder="1"/>
    <xf numFmtId="0" fontId="35" fillId="0" borderId="46" xfId="92" applyFont="1" applyBorder="1"/>
    <xf numFmtId="4" fontId="35" fillId="0" borderId="22" xfId="92" applyNumberFormat="1" applyFont="1" applyBorder="1"/>
    <xf numFmtId="0" fontId="35" fillId="0" borderId="2" xfId="92" applyFont="1" applyBorder="1"/>
    <xf numFmtId="0" fontId="35" fillId="0" borderId="30" xfId="92" applyFont="1" applyBorder="1"/>
    <xf numFmtId="4" fontId="35" fillId="0" borderId="31" xfId="92" applyNumberFormat="1" applyFont="1" applyBorder="1"/>
    <xf numFmtId="4" fontId="35" fillId="0" borderId="53" xfId="92" applyNumberFormat="1" applyFont="1" applyBorder="1"/>
    <xf numFmtId="0" fontId="35" fillId="0" borderId="53" xfId="92" applyFont="1" applyBorder="1"/>
    <xf numFmtId="2" fontId="35" fillId="0" borderId="53" xfId="92" applyNumberFormat="1" applyFont="1" applyBorder="1"/>
    <xf numFmtId="4" fontId="35" fillId="0" borderId="54" xfId="92" applyNumberFormat="1" applyFont="1" applyBorder="1"/>
    <xf numFmtId="0" fontId="35" fillId="0" borderId="23" xfId="92" applyFont="1" applyBorder="1" applyAlignment="1">
      <alignment horizontal="center"/>
    </xf>
    <xf numFmtId="0" fontId="35" fillId="0" borderId="24" xfId="92" applyFont="1" applyBorder="1" applyAlignment="1">
      <alignment horizontal="center"/>
    </xf>
    <xf numFmtId="0" fontId="35" fillId="0" borderId="26" xfId="92" applyFont="1" applyBorder="1" applyAlignment="1">
      <alignment horizontal="center"/>
    </xf>
    <xf numFmtId="0" fontId="35" fillId="0" borderId="56" xfId="92" applyFont="1" applyBorder="1" applyAlignment="1">
      <alignment horizontal="center"/>
    </xf>
    <xf numFmtId="0" fontId="8" fillId="0" borderId="0" xfId="1" applyFont="1" applyFill="1" applyBorder="1" applyAlignment="1">
      <alignment horizontal="left"/>
    </xf>
    <xf numFmtId="2" fontId="8" fillId="0" borderId="0" xfId="92" applyNumberFormat="1" applyFont="1" applyBorder="1"/>
    <xf numFmtId="0" fontId="9" fillId="0" borderId="35" xfId="0" applyFont="1" applyBorder="1" applyAlignment="1">
      <alignment horizontal="center"/>
    </xf>
    <xf numFmtId="0" fontId="9" fillId="0" borderId="32" xfId="0" applyFont="1" applyBorder="1"/>
    <xf numFmtId="0" fontId="9" fillId="0" borderId="33" xfId="0" applyFont="1" applyBorder="1"/>
    <xf numFmtId="0" fontId="0" fillId="0" borderId="23" xfId="0" applyBorder="1"/>
    <xf numFmtId="0" fontId="0" fillId="0" borderId="24" xfId="0" applyBorder="1"/>
    <xf numFmtId="4" fontId="35" fillId="0" borderId="0" xfId="92" applyNumberFormat="1" applyFont="1" applyFill="1" applyBorder="1"/>
    <xf numFmtId="0" fontId="8" fillId="0" borderId="0" xfId="4" applyFont="1" applyAlignment="1">
      <alignment horizontal="center"/>
    </xf>
    <xf numFmtId="0" fontId="2" fillId="0" borderId="0" xfId="4" applyFont="1" applyAlignment="1">
      <alignment horizontal="center"/>
    </xf>
    <xf numFmtId="0" fontId="35" fillId="0" borderId="0" xfId="92" applyFont="1" applyAlignment="1">
      <alignment horizontal="center"/>
    </xf>
    <xf numFmtId="0" fontId="2" fillId="0" borderId="0" xfId="2" applyFont="1" applyBorder="1" applyAlignment="1">
      <alignment horizontal="center"/>
    </xf>
    <xf numFmtId="0" fontId="35" fillId="0" borderId="1" xfId="92" applyFont="1" applyBorder="1" applyAlignment="1">
      <alignment horizontal="center"/>
    </xf>
    <xf numFmtId="0" fontId="35" fillId="0" borderId="7" xfId="92" applyFont="1" applyBorder="1" applyAlignment="1">
      <alignment horizontal="center"/>
    </xf>
    <xf numFmtId="2" fontId="5" fillId="0" borderId="0" xfId="48" applyNumberFormat="1">
      <alignment wrapText="1" shrinkToFit="1"/>
    </xf>
    <xf numFmtId="2" fontId="14" fillId="0" borderId="2" xfId="0" applyNumberFormat="1" applyFont="1" applyBorder="1"/>
    <xf numFmtId="0" fontId="8" fillId="0" borderId="2" xfId="4" applyFont="1" applyBorder="1" applyAlignment="1">
      <alignment horizontal="center"/>
    </xf>
    <xf numFmtId="0" fontId="8" fillId="0" borderId="19" xfId="4" applyFont="1" applyBorder="1" applyAlignment="1">
      <alignment horizontal="left"/>
    </xf>
    <xf numFmtId="0" fontId="8" fillId="0" borderId="21" xfId="4" applyFont="1" applyBorder="1" applyAlignment="1">
      <alignment horizontal="left"/>
    </xf>
    <xf numFmtId="0" fontId="8" fillId="0" borderId="21" xfId="4" applyFont="1" applyBorder="1" applyAlignment="1">
      <alignment horizontal="center"/>
    </xf>
    <xf numFmtId="0" fontId="0" fillId="0" borderId="21" xfId="0" applyBorder="1"/>
    <xf numFmtId="0" fontId="8" fillId="0" borderId="1" xfId="4" applyFont="1" applyBorder="1" applyAlignment="1">
      <alignment horizontal="center"/>
    </xf>
    <xf numFmtId="0" fontId="35" fillId="0" borderId="0" xfId="92" applyFont="1" applyAlignment="1">
      <alignment horizontal="center"/>
    </xf>
    <xf numFmtId="0" fontId="2" fillId="0" borderId="0" xfId="92" applyFont="1" applyAlignment="1">
      <alignment horizontal="center"/>
    </xf>
    <xf numFmtId="0" fontId="4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9" fillId="0" borderId="55" xfId="5" applyFont="1" applyBorder="1">
      <alignment wrapText="1" shrinkToFit="1"/>
    </xf>
    <xf numFmtId="4" fontId="39" fillId="0" borderId="56" xfId="5" applyNumberFormat="1" applyFont="1" applyBorder="1">
      <alignment wrapText="1" shrinkToFit="1"/>
    </xf>
    <xf numFmtId="0" fontId="35" fillId="0" borderId="29" xfId="91" applyFont="1" applyBorder="1"/>
    <xf numFmtId="4" fontId="35" fillId="0" borderId="30" xfId="91" applyNumberFormat="1" applyFont="1" applyBorder="1"/>
    <xf numFmtId="0" fontId="36" fillId="0" borderId="52" xfId="91" applyFont="1" applyBorder="1"/>
    <xf numFmtId="0" fontId="35" fillId="0" borderId="53" xfId="91" applyFont="1" applyBorder="1"/>
    <xf numFmtId="4" fontId="35" fillId="0" borderId="53" xfId="91" applyNumberFormat="1" applyFont="1" applyBorder="1"/>
    <xf numFmtId="4" fontId="35" fillId="0" borderId="54" xfId="91" applyNumberFormat="1" applyFont="1" applyBorder="1"/>
    <xf numFmtId="0" fontId="40" fillId="0" borderId="19" xfId="0" applyFont="1" applyBorder="1"/>
    <xf numFmtId="0" fontId="40" fillId="0" borderId="21" xfId="0" applyFont="1" applyBorder="1"/>
    <xf numFmtId="0" fontId="40" fillId="0" borderId="23" xfId="0" applyFont="1" applyBorder="1"/>
    <xf numFmtId="4" fontId="8" fillId="0" borderId="33" xfId="4" applyNumberFormat="1" applyFont="1" applyBorder="1"/>
    <xf numFmtId="4" fontId="0" fillId="0" borderId="56" xfId="0" applyNumberFormat="1" applyBorder="1"/>
    <xf numFmtId="0" fontId="9" fillId="0" borderId="5" xfId="0" applyFont="1" applyBorder="1"/>
    <xf numFmtId="0" fontId="9" fillId="0" borderId="55" xfId="0" applyFont="1" applyBorder="1"/>
    <xf numFmtId="4" fontId="9" fillId="0" borderId="51" xfId="0" applyNumberFormat="1" applyFont="1" applyBorder="1"/>
    <xf numFmtId="4" fontId="9" fillId="0" borderId="58" xfId="0" applyNumberFormat="1" applyFont="1" applyBorder="1"/>
    <xf numFmtId="4" fontId="9" fillId="0" borderId="59" xfId="0" applyNumberFormat="1" applyFont="1" applyBorder="1"/>
    <xf numFmtId="4" fontId="8" fillId="0" borderId="58" xfId="1" applyNumberFormat="1" applyFont="1" applyFill="1" applyBorder="1" applyAlignment="1">
      <alignment horizontal="right"/>
    </xf>
    <xf numFmtId="4" fontId="9" fillId="0" borderId="56" xfId="0" applyNumberFormat="1" applyFont="1" applyBorder="1"/>
    <xf numFmtId="4" fontId="0" fillId="0" borderId="59" xfId="0" applyNumberFormat="1" applyBorder="1"/>
    <xf numFmtId="4" fontId="0" fillId="0" borderId="58" xfId="0" applyNumberFormat="1" applyBorder="1"/>
    <xf numFmtId="4" fontId="9" fillId="0" borderId="9" xfId="0" applyNumberFormat="1" applyFont="1" applyBorder="1"/>
    <xf numFmtId="4" fontId="9" fillId="0" borderId="8" xfId="0" applyNumberFormat="1" applyFont="1" applyBorder="1"/>
    <xf numFmtId="4" fontId="9" fillId="0" borderId="55" xfId="0" applyNumberFormat="1" applyFont="1" applyBorder="1"/>
    <xf numFmtId="4" fontId="8" fillId="0" borderId="7" xfId="1" applyNumberFormat="1" applyFont="1" applyBorder="1" applyAlignment="1">
      <alignment horizontal="right"/>
    </xf>
    <xf numFmtId="4" fontId="9" fillId="0" borderId="7" xfId="0" applyNumberFormat="1" applyFont="1" applyFill="1" applyBorder="1"/>
    <xf numFmtId="4" fontId="38" fillId="0" borderId="7" xfId="1" applyNumberFormat="1" applyFont="1" applyFill="1" applyBorder="1" applyAlignment="1">
      <alignment horizontal="left"/>
    </xf>
    <xf numFmtId="4" fontId="38" fillId="0" borderId="56" xfId="1" applyNumberFormat="1" applyFont="1" applyFill="1" applyBorder="1" applyAlignment="1">
      <alignment horizontal="left"/>
    </xf>
    <xf numFmtId="4" fontId="38" fillId="0" borderId="0" xfId="1" applyNumberFormat="1" applyFont="1" applyFill="1" applyBorder="1" applyAlignment="1">
      <alignment horizontal="left"/>
    </xf>
    <xf numFmtId="4" fontId="39" fillId="0" borderId="14" xfId="0" applyNumberFormat="1" applyFont="1" applyBorder="1"/>
    <xf numFmtId="4" fontId="39" fillId="0" borderId="16" xfId="0" applyNumberFormat="1" applyFont="1" applyBorder="1"/>
    <xf numFmtId="4" fontId="8" fillId="0" borderId="13" xfId="1" applyNumberFormat="1" applyFont="1" applyFill="1" applyBorder="1" applyAlignment="1">
      <alignment horizontal="left"/>
    </xf>
    <xf numFmtId="4" fontId="8" fillId="0" borderId="54" xfId="92" applyNumberFormat="1" applyFont="1" applyBorder="1"/>
    <xf numFmtId="0" fontId="8" fillId="0" borderId="15" xfId="4" applyFont="1" applyBorder="1"/>
    <xf numFmtId="0" fontId="0" fillId="0" borderId="3" xfId="0" applyBorder="1"/>
    <xf numFmtId="0" fontId="40" fillId="0" borderId="25" xfId="0" applyFont="1" applyBorder="1"/>
    <xf numFmtId="0" fontId="41" fillId="0" borderId="20" xfId="0" applyFont="1" applyBorder="1"/>
    <xf numFmtId="0" fontId="40" fillId="0" borderId="2" xfId="0" applyFont="1" applyBorder="1"/>
    <xf numFmtId="0" fontId="40" fillId="0" borderId="24" xfId="0" applyFont="1" applyBorder="1"/>
    <xf numFmtId="0" fontId="40" fillId="0" borderId="8" xfId="0" applyFont="1" applyBorder="1"/>
    <xf numFmtId="0" fontId="40" fillId="0" borderId="18" xfId="0" applyFont="1" applyBorder="1"/>
    <xf numFmtId="0" fontId="40" fillId="0" borderId="1" xfId="0" applyFont="1" applyBorder="1"/>
    <xf numFmtId="0" fontId="8" fillId="0" borderId="9" xfId="1" applyFont="1" applyBorder="1" applyAlignment="1">
      <alignment horizontal="left"/>
    </xf>
    <xf numFmtId="4" fontId="8" fillId="0" borderId="0" xfId="1" applyNumberFormat="1" applyFont="1" applyBorder="1" applyAlignment="1">
      <alignment horizontal="right"/>
    </xf>
    <xf numFmtId="0" fontId="8" fillId="0" borderId="9" xfId="1" applyFont="1" applyBorder="1"/>
    <xf numFmtId="4" fontId="40" fillId="0" borderId="0" xfId="0" applyNumberFormat="1" applyFont="1" applyBorder="1"/>
    <xf numFmtId="4" fontId="40" fillId="0" borderId="7" xfId="0" applyNumberFormat="1" applyFont="1" applyBorder="1"/>
    <xf numFmtId="0" fontId="40" fillId="0" borderId="9" xfId="0" applyFont="1" applyBorder="1"/>
    <xf numFmtId="0" fontId="40" fillId="0" borderId="35" xfId="0" applyFont="1" applyBorder="1"/>
    <xf numFmtId="4" fontId="40" fillId="0" borderId="13" xfId="0" applyNumberFormat="1" applyFont="1" applyBorder="1"/>
    <xf numFmtId="4" fontId="40" fillId="0" borderId="5" xfId="0" applyNumberFormat="1" applyFont="1" applyBorder="1"/>
    <xf numFmtId="4" fontId="40" fillId="0" borderId="26" xfId="0" applyNumberFormat="1" applyFont="1" applyBorder="1"/>
    <xf numFmtId="4" fontId="41" fillId="0" borderId="0" xfId="0" applyNumberFormat="1" applyFont="1"/>
    <xf numFmtId="0" fontId="40" fillId="0" borderId="0" xfId="0" applyFont="1"/>
    <xf numFmtId="4" fontId="40" fillId="0" borderId="22" xfId="0" applyNumberFormat="1" applyFont="1" applyBorder="1"/>
    <xf numFmtId="4" fontId="8" fillId="0" borderId="10" xfId="1" applyNumberFormat="1" applyFont="1" applyBorder="1"/>
    <xf numFmtId="4" fontId="8" fillId="0" borderId="3" xfId="1" applyNumberFormat="1" applyFont="1" applyBorder="1"/>
    <xf numFmtId="4" fontId="8" fillId="0" borderId="3" xfId="1" applyNumberFormat="1" applyFont="1" applyFill="1" applyBorder="1" applyAlignment="1">
      <alignment horizontal="right"/>
    </xf>
    <xf numFmtId="4" fontId="40" fillId="0" borderId="4" xfId="0" applyNumberFormat="1" applyFont="1" applyBorder="1"/>
    <xf numFmtId="0" fontId="8" fillId="0" borderId="8" xfId="4" applyFont="1" applyBorder="1"/>
    <xf numFmtId="0" fontId="45" fillId="0" borderId="0" xfId="0" applyFont="1" applyBorder="1"/>
    <xf numFmtId="0" fontId="47" fillId="0" borderId="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horizontal="center" vertical="center"/>
    </xf>
    <xf numFmtId="0" fontId="48" fillId="0" borderId="2" xfId="0" applyFont="1" applyBorder="1" applyAlignment="1">
      <alignment horizontal="left" vertical="center"/>
    </xf>
    <xf numFmtId="0" fontId="48" fillId="0" borderId="2" xfId="0" applyFont="1" applyBorder="1" applyAlignment="1">
      <alignment horizontal="left" vertical="center" wrapText="1"/>
    </xf>
    <xf numFmtId="0" fontId="48" fillId="0" borderId="2" xfId="0" applyFont="1" applyBorder="1" applyAlignment="1">
      <alignment horizontal="center" vertical="center" wrapText="1"/>
    </xf>
    <xf numFmtId="0" fontId="48" fillId="0" borderId="0" xfId="0" applyFont="1"/>
    <xf numFmtId="0" fontId="48" fillId="0" borderId="0" xfId="0" applyFont="1" applyAlignment="1">
      <alignment horizontal="left"/>
    </xf>
    <xf numFmtId="0" fontId="48" fillId="0" borderId="0" xfId="0" applyFont="1" applyAlignment="1">
      <alignment horizontal="center"/>
    </xf>
    <xf numFmtId="0" fontId="49" fillId="0" borderId="27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/>
    </xf>
    <xf numFmtId="0" fontId="39" fillId="0" borderId="28" xfId="0" applyFont="1" applyFill="1" applyBorder="1"/>
    <xf numFmtId="4" fontId="5" fillId="0" borderId="0" xfId="48" applyNumberFormat="1">
      <alignment wrapText="1" shrinkToFit="1"/>
    </xf>
    <xf numFmtId="4" fontId="8" fillId="0" borderId="25" xfId="4" applyNumberFormat="1" applyFont="1" applyBorder="1" applyAlignment="1">
      <alignment horizontal="center"/>
    </xf>
    <xf numFmtId="0" fontId="15" fillId="0" borderId="0" xfId="48" applyFont="1" applyBorder="1" applyAlignment="1">
      <alignment horizontal="left"/>
    </xf>
    <xf numFmtId="0" fontId="9" fillId="0" borderId="2" xfId="0" applyFont="1" applyBorder="1" applyAlignment="1">
      <alignment wrapText="1"/>
    </xf>
    <xf numFmtId="0" fontId="9" fillId="0" borderId="46" xfId="0" applyFont="1" applyBorder="1"/>
    <xf numFmtId="4" fontId="8" fillId="0" borderId="2" xfId="4" applyNumberFormat="1" applyFont="1" applyBorder="1" applyAlignment="1">
      <alignment horizontal="center"/>
    </xf>
    <xf numFmtId="0" fontId="0" fillId="0" borderId="29" xfId="0" applyBorder="1"/>
    <xf numFmtId="4" fontId="8" fillId="0" borderId="53" xfId="4" applyNumberFormat="1" applyFont="1" applyBorder="1" applyAlignment="1">
      <alignment horizontal="center"/>
    </xf>
    <xf numFmtId="0" fontId="9" fillId="0" borderId="28" xfId="0" applyFont="1" applyFill="1" applyBorder="1"/>
    <xf numFmtId="4" fontId="9" fillId="0" borderId="53" xfId="0" applyNumberFormat="1" applyFont="1" applyBorder="1"/>
    <xf numFmtId="0" fontId="8" fillId="0" borderId="62" xfId="4" applyFont="1" applyBorder="1" applyAlignment="1">
      <alignment horizontal="left"/>
    </xf>
    <xf numFmtId="4" fontId="8" fillId="0" borderId="46" xfId="4" applyNumberFormat="1" applyFont="1" applyBorder="1" applyAlignment="1">
      <alignment horizontal="center"/>
    </xf>
    <xf numFmtId="0" fontId="8" fillId="0" borderId="24" xfId="4" applyFont="1" applyBorder="1" applyAlignment="1">
      <alignment horizontal="center"/>
    </xf>
    <xf numFmtId="0" fontId="8" fillId="0" borderId="64" xfId="4" applyFont="1" applyBorder="1" applyAlignment="1">
      <alignment horizontal="center"/>
    </xf>
    <xf numFmtId="0" fontId="8" fillId="0" borderId="26" xfId="4" applyFont="1" applyBorder="1" applyAlignment="1">
      <alignment horizontal="center"/>
    </xf>
    <xf numFmtId="4" fontId="9" fillId="0" borderId="60" xfId="0" applyNumberFormat="1" applyFont="1" applyBorder="1"/>
    <xf numFmtId="4" fontId="9" fillId="0" borderId="27" xfId="0" applyNumberFormat="1" applyFont="1" applyBorder="1"/>
    <xf numFmtId="4" fontId="0" fillId="0" borderId="27" xfId="0" applyNumberFormat="1" applyBorder="1"/>
    <xf numFmtId="4" fontId="9" fillId="0" borderId="65" xfId="0" applyNumberFormat="1" applyFont="1" applyBorder="1"/>
    <xf numFmtId="4" fontId="0" fillId="0" borderId="7" xfId="0" applyNumberFormat="1" applyBorder="1"/>
    <xf numFmtId="0" fontId="8" fillId="0" borderId="2" xfId="4" applyFont="1" applyBorder="1" applyAlignment="1">
      <alignment horizontal="left"/>
    </xf>
    <xf numFmtId="0" fontId="8" fillId="0" borderId="25" xfId="4" applyFont="1" applyBorder="1" applyAlignment="1">
      <alignment horizontal="left"/>
    </xf>
    <xf numFmtId="2" fontId="48" fillId="0" borderId="0" xfId="0" applyNumberFormat="1" applyFont="1" applyAlignment="1">
      <alignment horizontal="left"/>
    </xf>
    <xf numFmtId="4" fontId="39" fillId="0" borderId="2" xfId="0" applyNumberFormat="1" applyFont="1" applyBorder="1"/>
    <xf numFmtId="0" fontId="8" fillId="0" borderId="29" xfId="4" applyFont="1" applyBorder="1" applyAlignment="1">
      <alignment horizontal="left"/>
    </xf>
    <xf numFmtId="4" fontId="8" fillId="0" borderId="30" xfId="4" applyNumberFormat="1" applyFont="1" applyBorder="1" applyAlignment="1">
      <alignment horizontal="center"/>
    </xf>
    <xf numFmtId="0" fontId="8" fillId="0" borderId="66" xfId="4" applyFont="1" applyBorder="1" applyAlignment="1">
      <alignment horizontal="left"/>
    </xf>
    <xf numFmtId="0" fontId="9" fillId="0" borderId="31" xfId="0" applyFont="1" applyBorder="1"/>
    <xf numFmtId="4" fontId="8" fillId="0" borderId="2" xfId="4" applyNumberFormat="1" applyFont="1" applyBorder="1" applyAlignment="1">
      <alignment horizontal="right"/>
    </xf>
    <xf numFmtId="0" fontId="8" fillId="0" borderId="30" xfId="4" applyFont="1" applyBorder="1" applyAlignment="1">
      <alignment horizontal="left"/>
    </xf>
    <xf numFmtId="4" fontId="8" fillId="0" borderId="30" xfId="4" applyNumberFormat="1" applyFont="1" applyBorder="1" applyAlignment="1">
      <alignment horizontal="right"/>
    </xf>
    <xf numFmtId="4" fontId="8" fillId="0" borderId="54" xfId="4" applyNumberFormat="1" applyFont="1" applyBorder="1" applyAlignment="1">
      <alignment horizontal="right"/>
    </xf>
    <xf numFmtId="2" fontId="9" fillId="0" borderId="22" xfId="0" applyNumberFormat="1" applyFont="1" applyBorder="1"/>
    <xf numFmtId="4" fontId="9" fillId="0" borderId="26" xfId="0" applyNumberFormat="1" applyFont="1" applyBorder="1"/>
    <xf numFmtId="0" fontId="8" fillId="0" borderId="0" xfId="4" applyFont="1" applyAlignment="1">
      <alignment horizontal="center"/>
    </xf>
    <xf numFmtId="0" fontId="2" fillId="0" borderId="0" xfId="4" applyFont="1" applyAlignment="1">
      <alignment horizontal="center"/>
    </xf>
    <xf numFmtId="0" fontId="9" fillId="0" borderId="22" xfId="0" applyFont="1" applyBorder="1"/>
    <xf numFmtId="0" fontId="9" fillId="0" borderId="22" xfId="0" applyFont="1" applyBorder="1" applyAlignment="1"/>
    <xf numFmtId="0" fontId="6" fillId="0" borderId="9" xfId="1" applyFont="1" applyBorder="1" applyAlignment="1">
      <alignment horizontal="left"/>
    </xf>
    <xf numFmtId="4" fontId="6" fillId="0" borderId="7" xfId="1" applyNumberFormat="1" applyFont="1" applyBorder="1" applyAlignment="1">
      <alignment horizontal="right"/>
    </xf>
    <xf numFmtId="4" fontId="6" fillId="0" borderId="5" xfId="1" applyNumberFormat="1" applyFont="1" applyBorder="1" applyAlignment="1">
      <alignment horizontal="right"/>
    </xf>
    <xf numFmtId="0" fontId="6" fillId="0" borderId="0" xfId="1" applyFont="1" applyBorder="1"/>
    <xf numFmtId="0" fontId="6" fillId="0" borderId="8" xfId="1" applyFont="1" applyBorder="1"/>
    <xf numFmtId="0" fontId="6" fillId="0" borderId="35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4" fontId="6" fillId="0" borderId="0" xfId="1" applyNumberFormat="1" applyFont="1" applyBorder="1" applyAlignment="1">
      <alignment horizontal="right"/>
    </xf>
    <xf numFmtId="0" fontId="6" fillId="0" borderId="8" xfId="1" applyFont="1" applyBorder="1" applyAlignment="1">
      <alignment horizontal="left"/>
    </xf>
    <xf numFmtId="4" fontId="6" fillId="0" borderId="1" xfId="1" applyNumberFormat="1" applyFont="1" applyBorder="1" applyAlignment="1">
      <alignment horizontal="right"/>
    </xf>
    <xf numFmtId="4" fontId="6" fillId="0" borderId="0" xfId="1" applyNumberFormat="1" applyFont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6" fillId="0" borderId="19" xfId="1" applyFont="1" applyBorder="1" applyAlignment="1">
      <alignment horizontal="left"/>
    </xf>
    <xf numFmtId="4" fontId="6" fillId="0" borderId="20" xfId="1" applyNumberFormat="1" applyFont="1" applyBorder="1" applyAlignment="1">
      <alignment horizontal="right"/>
    </xf>
    <xf numFmtId="4" fontId="6" fillId="0" borderId="22" xfId="1" applyNumberFormat="1" applyFont="1" applyBorder="1" applyAlignment="1">
      <alignment horizontal="right"/>
    </xf>
    <xf numFmtId="4" fontId="6" fillId="0" borderId="26" xfId="1" applyNumberFormat="1" applyFont="1" applyBorder="1" applyAlignment="1">
      <alignment horizontal="right"/>
    </xf>
    <xf numFmtId="2" fontId="48" fillId="0" borderId="0" xfId="0" applyNumberFormat="1" applyFont="1"/>
    <xf numFmtId="2" fontId="48" fillId="0" borderId="0" xfId="0" applyNumberFormat="1" applyFont="1" applyAlignment="1">
      <alignment horizontal="center"/>
    </xf>
    <xf numFmtId="3" fontId="8" fillId="0" borderId="33" xfId="4" applyNumberFormat="1" applyFont="1" applyBorder="1"/>
    <xf numFmtId="3" fontId="8" fillId="0" borderId="34" xfId="4" applyNumberFormat="1" applyFont="1" applyBorder="1"/>
    <xf numFmtId="4" fontId="8" fillId="0" borderId="0" xfId="4" applyNumberFormat="1" applyFont="1" applyBorder="1"/>
    <xf numFmtId="3" fontId="2" fillId="0" borderId="0" xfId="0" applyNumberFormat="1" applyFont="1" applyBorder="1"/>
    <xf numFmtId="0" fontId="0" fillId="0" borderId="52" xfId="0" applyBorder="1"/>
    <xf numFmtId="0" fontId="0" fillId="0" borderId="54" xfId="0" applyBorder="1"/>
    <xf numFmtId="0" fontId="0" fillId="0" borderId="22" xfId="0" applyBorder="1"/>
    <xf numFmtId="0" fontId="0" fillId="0" borderId="26" xfId="0" applyBorder="1"/>
    <xf numFmtId="0" fontId="0" fillId="0" borderId="46" xfId="0" applyBorder="1"/>
    <xf numFmtId="0" fontId="0" fillId="0" borderId="61" xfId="0" applyBorder="1"/>
    <xf numFmtId="4" fontId="9" fillId="0" borderId="0" xfId="0" applyNumberFormat="1" applyFont="1" applyFill="1" applyBorder="1"/>
    <xf numFmtId="0" fontId="0" fillId="0" borderId="0" xfId="0" applyFill="1" applyBorder="1"/>
    <xf numFmtId="0" fontId="50" fillId="0" borderId="62" xfId="0" applyFont="1" applyBorder="1"/>
    <xf numFmtId="0" fontId="50" fillId="0" borderId="21" xfId="0" applyFont="1" applyBorder="1"/>
    <xf numFmtId="0" fontId="50" fillId="0" borderId="46" xfId="0" applyFont="1" applyBorder="1"/>
    <xf numFmtId="0" fontId="50" fillId="0" borderId="2" xfId="0" applyFont="1" applyBorder="1"/>
    <xf numFmtId="4" fontId="9" fillId="0" borderId="1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right"/>
    </xf>
    <xf numFmtId="4" fontId="9" fillId="0" borderId="3" xfId="0" applyNumberFormat="1" applyFont="1" applyFill="1" applyBorder="1" applyAlignment="1">
      <alignment horizontal="right"/>
    </xf>
    <xf numFmtId="0" fontId="9" fillId="0" borderId="3" xfId="0" applyFont="1" applyBorder="1"/>
    <xf numFmtId="0" fontId="9" fillId="0" borderId="3" xfId="0" applyFont="1" applyFill="1" applyBorder="1"/>
    <xf numFmtId="4" fontId="9" fillId="0" borderId="11" xfId="0" applyNumberFormat="1" applyFont="1" applyBorder="1"/>
    <xf numFmtId="0" fontId="9" fillId="0" borderId="35" xfId="0" applyFont="1" applyBorder="1"/>
    <xf numFmtId="4" fontId="9" fillId="0" borderId="5" xfId="0" applyNumberFormat="1" applyFont="1" applyBorder="1"/>
    <xf numFmtId="0" fontId="51" fillId="0" borderId="2" xfId="0" applyFont="1" applyBorder="1" applyAlignment="1">
      <alignment horizontal="right" vertical="center"/>
    </xf>
    <xf numFmtId="0" fontId="51" fillId="0" borderId="2" xfId="0" applyFont="1" applyBorder="1" applyAlignment="1">
      <alignment horizontal="left" vertical="center"/>
    </xf>
    <xf numFmtId="0" fontId="51" fillId="0" borderId="2" xfId="0" applyFont="1" applyBorder="1" applyAlignment="1">
      <alignment horizontal="center" vertical="center"/>
    </xf>
    <xf numFmtId="2" fontId="51" fillId="0" borderId="2" xfId="0" applyNumberFormat="1" applyFont="1" applyBorder="1" applyAlignment="1">
      <alignment horizontal="center" vertical="center" wrapText="1"/>
    </xf>
    <xf numFmtId="0" fontId="51" fillId="24" borderId="2" xfId="0" applyFont="1" applyFill="1" applyBorder="1" applyAlignment="1">
      <alignment horizontal="left" vertical="center"/>
    </xf>
    <xf numFmtId="0" fontId="51" fillId="0" borderId="2" xfId="0" applyFont="1" applyBorder="1" applyAlignment="1">
      <alignment vertical="center" wrapText="1"/>
    </xf>
    <xf numFmtId="0" fontId="51" fillId="0" borderId="2" xfId="0" applyFont="1" applyBorder="1" applyAlignment="1">
      <alignment vertical="center"/>
    </xf>
    <xf numFmtId="0" fontId="53" fillId="0" borderId="2" xfId="0" applyFont="1" applyBorder="1"/>
    <xf numFmtId="0" fontId="35" fillId="0" borderId="1" xfId="92" applyFont="1" applyBorder="1" applyAlignment="1">
      <alignment horizontal="center"/>
    </xf>
    <xf numFmtId="2" fontId="14" fillId="0" borderId="46" xfId="0" applyNumberFormat="1" applyFont="1" applyBorder="1"/>
    <xf numFmtId="0" fontId="34" fillId="0" borderId="67" xfId="48" applyFont="1" applyBorder="1" applyAlignment="1">
      <alignment horizontal="center" wrapText="1" shrinkToFit="1"/>
    </xf>
    <xf numFmtId="0" fontId="34" fillId="0" borderId="18" xfId="48" applyFont="1" applyBorder="1" applyAlignment="1">
      <alignment horizontal="center" wrapText="1" shrinkToFit="1"/>
    </xf>
    <xf numFmtId="0" fontId="34" fillId="0" borderId="1" xfId="48" applyFont="1" applyBorder="1" applyAlignment="1">
      <alignment horizontal="center" wrapText="1" shrinkToFit="1"/>
    </xf>
    <xf numFmtId="0" fontId="34" fillId="0" borderId="56" xfId="48" applyFont="1" applyBorder="1" applyAlignment="1">
      <alignment horizontal="center" wrapText="1" shrinkToFit="1"/>
    </xf>
    <xf numFmtId="0" fontId="34" fillId="0" borderId="51" xfId="48" applyFont="1" applyBorder="1" applyAlignment="1">
      <alignment horizontal="center" wrapText="1" shrinkToFit="1"/>
    </xf>
    <xf numFmtId="0" fontId="34" fillId="0" borderId="59" xfId="48" applyFont="1" applyBorder="1" applyAlignment="1">
      <alignment horizontal="center" wrapText="1" shrinkToFit="1"/>
    </xf>
    <xf numFmtId="0" fontId="39" fillId="0" borderId="68" xfId="0" applyFont="1" applyBorder="1"/>
    <xf numFmtId="0" fontId="39" fillId="0" borderId="6" xfId="0" applyFont="1" applyBorder="1"/>
    <xf numFmtId="4" fontId="39" fillId="0" borderId="8" xfId="48" applyNumberFormat="1" applyFont="1" applyBorder="1" applyAlignment="1">
      <alignment horizontal="center" wrapText="1" shrinkToFit="1"/>
    </xf>
    <xf numFmtId="4" fontId="39" fillId="0" borderId="51" xfId="48" applyNumberFormat="1" applyFont="1" applyBorder="1" applyAlignment="1">
      <alignment horizontal="center" wrapText="1" shrinkToFit="1"/>
    </xf>
    <xf numFmtId="4" fontId="39" fillId="0" borderId="55" xfId="48" applyNumberFormat="1" applyFont="1" applyBorder="1" applyAlignment="1">
      <alignment horizontal="center" wrapText="1" shrinkToFit="1"/>
    </xf>
    <xf numFmtId="4" fontId="39" fillId="0" borderId="59" xfId="48" applyNumberFormat="1" applyFont="1" applyBorder="1" applyAlignment="1">
      <alignment horizontal="center" wrapText="1" shrinkToFit="1"/>
    </xf>
    <xf numFmtId="164" fontId="39" fillId="0" borderId="46" xfId="48" applyNumberFormat="1" applyFont="1" applyBorder="1">
      <alignment wrapText="1" shrinkToFit="1"/>
    </xf>
    <xf numFmtId="4" fontId="39" fillId="0" borderId="46" xfId="48" applyNumberFormat="1" applyFont="1" applyBorder="1">
      <alignment wrapText="1" shrinkToFit="1"/>
    </xf>
    <xf numFmtId="4" fontId="39" fillId="0" borderId="0" xfId="48" applyNumberFormat="1" applyFont="1" applyBorder="1">
      <alignment wrapText="1" shrinkToFit="1"/>
    </xf>
    <xf numFmtId="0" fontId="54" fillId="0" borderId="7" xfId="0" applyFont="1" applyBorder="1"/>
    <xf numFmtId="4" fontId="54" fillId="0" borderId="46" xfId="0" applyNumberFormat="1" applyFont="1" applyBorder="1"/>
    <xf numFmtId="164" fontId="39" fillId="0" borderId="2" xfId="48" applyNumberFormat="1" applyFont="1" applyBorder="1">
      <alignment wrapText="1" shrinkToFit="1"/>
    </xf>
    <xf numFmtId="4" fontId="39" fillId="0" borderId="2" xfId="48" applyNumberFormat="1" applyFont="1" applyBorder="1">
      <alignment wrapText="1" shrinkToFit="1"/>
    </xf>
    <xf numFmtId="4" fontId="39" fillId="0" borderId="27" xfId="48" applyNumberFormat="1" applyFont="1" applyBorder="1">
      <alignment wrapText="1" shrinkToFit="1"/>
    </xf>
    <xf numFmtId="0" fontId="39" fillId="0" borderId="3" xfId="48" applyFont="1" applyBorder="1">
      <alignment wrapText="1" shrinkToFit="1"/>
    </xf>
    <xf numFmtId="4" fontId="54" fillId="0" borderId="2" xfId="0" applyNumberFormat="1" applyFont="1" applyBorder="1"/>
    <xf numFmtId="4" fontId="13" fillId="0" borderId="2" xfId="48" applyNumberFormat="1" applyFont="1" applyBorder="1">
      <alignment wrapText="1" shrinkToFit="1"/>
    </xf>
    <xf numFmtId="4" fontId="13" fillId="0" borderId="27" xfId="48" applyNumberFormat="1" applyFont="1" applyBorder="1">
      <alignment wrapText="1" shrinkToFit="1"/>
    </xf>
    <xf numFmtId="0" fontId="39" fillId="0" borderId="6" xfId="48" applyFont="1" applyBorder="1" applyAlignment="1">
      <alignment vertical="top" wrapText="1" shrinkToFit="1"/>
    </xf>
    <xf numFmtId="0" fontId="39" fillId="0" borderId="2" xfId="48" applyFont="1" applyBorder="1">
      <alignment wrapText="1" shrinkToFit="1"/>
    </xf>
    <xf numFmtId="0" fontId="13" fillId="0" borderId="2" xfId="48" applyFont="1" applyBorder="1">
      <alignment wrapText="1" shrinkToFit="1"/>
    </xf>
    <xf numFmtId="0" fontId="13" fillId="0" borderId="4" xfId="48" applyFont="1" applyBorder="1">
      <alignment wrapText="1" shrinkToFit="1"/>
    </xf>
    <xf numFmtId="0" fontId="13" fillId="0" borderId="6" xfId="48" applyFont="1" applyBorder="1">
      <alignment wrapText="1" shrinkToFit="1"/>
    </xf>
    <xf numFmtId="2" fontId="13" fillId="0" borderId="2" xfId="48" applyNumberFormat="1" applyFont="1" applyBorder="1">
      <alignment wrapText="1" shrinkToFit="1"/>
    </xf>
    <xf numFmtId="0" fontId="9" fillId="0" borderId="11" xfId="0" applyFont="1" applyFill="1" applyBorder="1"/>
    <xf numFmtId="4" fontId="9" fillId="0" borderId="11" xfId="0" applyNumberFormat="1" applyFont="1" applyFill="1" applyBorder="1" applyAlignment="1">
      <alignment horizontal="right"/>
    </xf>
    <xf numFmtId="0" fontId="9" fillId="0" borderId="5" xfId="0" applyFont="1" applyFill="1" applyBorder="1" applyAlignment="1">
      <alignment horizontal="center"/>
    </xf>
    <xf numFmtId="4" fontId="9" fillId="0" borderId="5" xfId="0" applyNumberFormat="1" applyFont="1" applyFill="1" applyBorder="1" applyAlignment="1">
      <alignment horizontal="right"/>
    </xf>
    <xf numFmtId="0" fontId="2" fillId="0" borderId="18" xfId="4" applyFont="1" applyBorder="1" applyAlignment="1">
      <alignment horizontal="center"/>
    </xf>
    <xf numFmtId="0" fontId="8" fillId="0" borderId="67" xfId="4" applyFont="1" applyBorder="1" applyAlignment="1">
      <alignment horizontal="center"/>
    </xf>
    <xf numFmtId="0" fontId="4" fillId="0" borderId="32" xfId="1" applyFont="1" applyFill="1" applyBorder="1" applyAlignment="1">
      <alignment horizontal="right"/>
    </xf>
    <xf numFmtId="4" fontId="8" fillId="0" borderId="70" xfId="4" applyNumberFormat="1" applyFont="1" applyBorder="1"/>
    <xf numFmtId="4" fontId="8" fillId="0" borderId="69" xfId="4" applyNumberFormat="1" applyFont="1" applyBorder="1"/>
    <xf numFmtId="4" fontId="8" fillId="0" borderId="71" xfId="4" applyNumberFormat="1" applyFont="1" applyBorder="1"/>
    <xf numFmtId="0" fontId="9" fillId="0" borderId="3" xfId="0" applyFont="1" applyBorder="1" applyAlignment="1">
      <alignment horizontal="left"/>
    </xf>
    <xf numFmtId="4" fontId="40" fillId="0" borderId="2" xfId="0" applyNumberFormat="1" applyFont="1" applyBorder="1"/>
    <xf numFmtId="4" fontId="40" fillId="0" borderId="18" xfId="0" applyNumberFormat="1" applyFont="1" applyBorder="1"/>
    <xf numFmtId="4" fontId="40" fillId="0" borderId="1" xfId="0" applyNumberFormat="1" applyFont="1" applyBorder="1"/>
    <xf numFmtId="0" fontId="40" fillId="0" borderId="7" xfId="0" applyFont="1" applyBorder="1"/>
    <xf numFmtId="4" fontId="9" fillId="0" borderId="30" xfId="0" applyNumberFormat="1" applyFont="1" applyBorder="1"/>
    <xf numFmtId="0" fontId="8" fillId="0" borderId="49" xfId="4" applyFont="1" applyBorder="1"/>
    <xf numFmtId="0" fontId="0" fillId="0" borderId="28" xfId="0" applyBorder="1"/>
    <xf numFmtId="4" fontId="8" fillId="0" borderId="61" xfId="4" applyNumberFormat="1" applyFont="1" applyBorder="1"/>
    <xf numFmtId="3" fontId="0" fillId="0" borderId="0" xfId="0" applyNumberFormat="1"/>
    <xf numFmtId="4" fontId="0" fillId="0" borderId="11" xfId="0" applyNumberFormat="1" applyBorder="1"/>
    <xf numFmtId="0" fontId="8" fillId="0" borderId="18" xfId="4" applyFont="1" applyBorder="1" applyAlignment="1">
      <alignment horizontal="center"/>
    </xf>
    <xf numFmtId="0" fontId="4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67" xfId="4" applyFont="1" applyBorder="1"/>
    <xf numFmtId="0" fontId="8" fillId="0" borderId="1" xfId="4" applyFont="1" applyBorder="1"/>
    <xf numFmtId="0" fontId="8" fillId="0" borderId="56" xfId="4" applyFont="1" applyBorder="1"/>
    <xf numFmtId="0" fontId="35" fillId="0" borderId="72" xfId="92" applyFont="1" applyBorder="1" applyAlignment="1">
      <alignment horizontal="center"/>
    </xf>
    <xf numFmtId="0" fontId="35" fillId="0" borderId="73" xfId="92" applyFont="1" applyBorder="1" applyAlignment="1">
      <alignment horizontal="center"/>
    </xf>
    <xf numFmtId="0" fontId="35" fillId="0" borderId="74" xfId="92" applyFont="1" applyBorder="1" applyAlignment="1">
      <alignment horizontal="center"/>
    </xf>
    <xf numFmtId="4" fontId="35" fillId="0" borderId="28" xfId="92" applyNumberFormat="1" applyFont="1" applyBorder="1"/>
    <xf numFmtId="4" fontId="38" fillId="0" borderId="7" xfId="1" applyNumberFormat="1" applyFont="1" applyBorder="1"/>
    <xf numFmtId="4" fontId="9" fillId="0" borderId="12" xfId="0" applyNumberFormat="1" applyFont="1" applyBorder="1"/>
    <xf numFmtId="0" fontId="33" fillId="0" borderId="35" xfId="48" applyFont="1" applyBorder="1" applyAlignment="1">
      <alignment horizontal="center" vertical="top" wrapText="1" shrinkToFit="1"/>
    </xf>
    <xf numFmtId="0" fontId="33" fillId="0" borderId="5" xfId="48" applyFont="1" applyBorder="1" applyAlignment="1">
      <alignment horizontal="center" vertical="top" wrapText="1" shrinkToFit="1"/>
    </xf>
    <xf numFmtId="0" fontId="9" fillId="0" borderId="36" xfId="0" applyFont="1" applyBorder="1"/>
    <xf numFmtId="0" fontId="9" fillId="0" borderId="34" xfId="0" applyFont="1" applyBorder="1"/>
    <xf numFmtId="0" fontId="6" fillId="0" borderId="19" xfId="1" applyFont="1" applyBorder="1" applyAlignment="1">
      <alignment horizontal="center"/>
    </xf>
    <xf numFmtId="0" fontId="6" fillId="0" borderId="20" xfId="1" applyFont="1" applyBorder="1" applyAlignment="1">
      <alignment horizontal="center"/>
    </xf>
    <xf numFmtId="0" fontId="6" fillId="0" borderId="21" xfId="1" applyFont="1" applyBorder="1" applyAlignment="1">
      <alignment horizontal="left"/>
    </xf>
    <xf numFmtId="0" fontId="6" fillId="0" borderId="22" xfId="1" applyFont="1" applyBorder="1" applyAlignment="1">
      <alignment horizontal="left"/>
    </xf>
    <xf numFmtId="0" fontId="6" fillId="0" borderId="52" xfId="1" applyFont="1" applyBorder="1"/>
    <xf numFmtId="4" fontId="6" fillId="0" borderId="54" xfId="1" applyNumberFormat="1" applyFont="1" applyBorder="1" applyAlignment="1">
      <alignment horizontal="right"/>
    </xf>
    <xf numFmtId="0" fontId="50" fillId="0" borderId="0" xfId="0" applyFont="1"/>
    <xf numFmtId="0" fontId="56" fillId="0" borderId="0" xfId="1" applyFont="1" applyBorder="1" applyAlignment="1">
      <alignment horizontal="left"/>
    </xf>
    <xf numFmtId="0" fontId="44" fillId="0" borderId="21" xfId="0" applyFont="1" applyBorder="1"/>
    <xf numFmtId="4" fontId="6" fillId="0" borderId="22" xfId="4" applyNumberFormat="1" applyFont="1" applyBorder="1" applyAlignment="1">
      <alignment horizontal="center"/>
    </xf>
    <xf numFmtId="0" fontId="6" fillId="0" borderId="21" xfId="4" applyFont="1" applyBorder="1" applyAlignment="1">
      <alignment horizontal="left"/>
    </xf>
    <xf numFmtId="0" fontId="44" fillId="0" borderId="21" xfId="0" applyFont="1" applyBorder="1" applyAlignment="1"/>
    <xf numFmtId="0" fontId="44" fillId="0" borderId="23" xfId="0" applyFont="1" applyBorder="1" applyAlignment="1"/>
    <xf numFmtId="0" fontId="44" fillId="0" borderId="0" xfId="0" applyFont="1" applyBorder="1"/>
    <xf numFmtId="0" fontId="44" fillId="0" borderId="19" xfId="0" applyFont="1" applyBorder="1" applyAlignment="1"/>
    <xf numFmtId="0" fontId="44" fillId="0" borderId="55" xfId="0" applyFont="1" applyBorder="1"/>
    <xf numFmtId="0" fontId="10" fillId="0" borderId="0" xfId="0" applyFont="1" applyBorder="1"/>
    <xf numFmtId="0" fontId="8" fillId="0" borderId="8" xfId="1" applyFont="1" applyBorder="1" applyAlignment="1">
      <alignment horizontal="left"/>
    </xf>
    <xf numFmtId="0" fontId="9" fillId="0" borderId="23" xfId="0" applyFont="1" applyFill="1" applyBorder="1"/>
    <xf numFmtId="4" fontId="9" fillId="0" borderId="57" xfId="0" applyNumberFormat="1" applyFont="1" applyBorder="1"/>
    <xf numFmtId="0" fontId="40" fillId="0" borderId="2" xfId="0" applyFont="1" applyBorder="1" applyAlignment="1">
      <alignment horizontal="center"/>
    </xf>
    <xf numFmtId="0" fontId="40" fillId="0" borderId="47" xfId="0" applyFont="1" applyBorder="1"/>
    <xf numFmtId="4" fontId="40" fillId="0" borderId="75" xfId="0" applyNumberFormat="1" applyFont="1" applyBorder="1"/>
    <xf numFmtId="0" fontId="40" fillId="0" borderId="52" xfId="0" applyFont="1" applyBorder="1"/>
    <xf numFmtId="0" fontId="40" fillId="0" borderId="53" xfId="0" applyFont="1" applyBorder="1"/>
    <xf numFmtId="0" fontId="0" fillId="0" borderId="33" xfId="0" applyBorder="1"/>
    <xf numFmtId="0" fontId="0" fillId="0" borderId="34" xfId="0" applyBorder="1"/>
    <xf numFmtId="4" fontId="8" fillId="0" borderId="18" xfId="4" applyNumberFormat="1" applyFont="1" applyBorder="1"/>
    <xf numFmtId="4" fontId="8" fillId="0" borderId="55" xfId="4" applyNumberFormat="1" applyFont="1" applyBorder="1"/>
    <xf numFmtId="0" fontId="0" fillId="0" borderId="4" xfId="0" applyBorder="1"/>
    <xf numFmtId="4" fontId="8" fillId="0" borderId="32" xfId="4" applyNumberFormat="1" applyFont="1" applyBorder="1"/>
    <xf numFmtId="0" fontId="0" fillId="0" borderId="63" xfId="0" applyBorder="1"/>
    <xf numFmtId="4" fontId="0" fillId="0" borderId="70" xfId="0" applyNumberFormat="1" applyBorder="1"/>
    <xf numFmtId="3" fontId="8" fillId="0" borderId="8" xfId="4" applyNumberFormat="1" applyFont="1" applyBorder="1"/>
    <xf numFmtId="3" fontId="8" fillId="0" borderId="10" xfId="4" applyNumberFormat="1" applyFont="1" applyBorder="1"/>
    <xf numFmtId="3" fontId="8" fillId="0" borderId="3" xfId="4" applyNumberFormat="1" applyFont="1" applyBorder="1"/>
    <xf numFmtId="4" fontId="6" fillId="0" borderId="12" xfId="4" applyNumberFormat="1" applyFont="1" applyBorder="1"/>
    <xf numFmtId="0" fontId="0" fillId="0" borderId="1" xfId="0" applyBorder="1"/>
    <xf numFmtId="0" fontId="48" fillId="0" borderId="6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 wrapText="1"/>
    </xf>
    <xf numFmtId="0" fontId="8" fillId="0" borderId="10" xfId="4" applyFont="1" applyBorder="1"/>
    <xf numFmtId="0" fontId="8" fillId="0" borderId="4" xfId="4" applyFont="1" applyBorder="1"/>
    <xf numFmtId="0" fontId="9" fillId="0" borderId="71" xfId="0" applyFont="1" applyBorder="1"/>
    <xf numFmtId="0" fontId="9" fillId="0" borderId="71" xfId="0" applyFont="1" applyBorder="1" applyAlignment="1"/>
    <xf numFmtId="0" fontId="41" fillId="0" borderId="76" xfId="0" applyFont="1" applyBorder="1"/>
    <xf numFmtId="0" fontId="9" fillId="0" borderId="3" xfId="0" applyFont="1" applyBorder="1" applyAlignment="1"/>
    <xf numFmtId="0" fontId="8" fillId="0" borderId="4" xfId="1" applyFont="1" applyFill="1" applyBorder="1" applyAlignment="1">
      <alignment horizontal="left"/>
    </xf>
    <xf numFmtId="0" fontId="48" fillId="0" borderId="77" xfId="0" applyFont="1" applyBorder="1" applyAlignment="1">
      <alignment horizontal="center" vertical="center"/>
    </xf>
    <xf numFmtId="0" fontId="6" fillId="0" borderId="32" xfId="1" applyFont="1" applyFill="1" applyBorder="1" applyAlignment="1">
      <alignment horizontal="left"/>
    </xf>
    <xf numFmtId="0" fontId="8" fillId="0" borderId="63" xfId="4" applyFont="1" applyBorder="1"/>
    <xf numFmtId="1" fontId="0" fillId="0" borderId="0" xfId="0" applyNumberFormat="1"/>
    <xf numFmtId="0" fontId="2" fillId="0" borderId="0" xfId="91" applyFont="1" applyAlignment="1">
      <alignment horizontal="center"/>
    </xf>
    <xf numFmtId="0" fontId="35" fillId="0" borderId="0" xfId="91" applyFont="1" applyAlignment="1">
      <alignment horizontal="center"/>
    </xf>
    <xf numFmtId="0" fontId="40" fillId="0" borderId="0" xfId="0" applyFont="1" applyAlignment="1">
      <alignment horizontal="center"/>
    </xf>
    <xf numFmtId="0" fontId="0" fillId="0" borderId="5" xfId="0" applyBorder="1"/>
    <xf numFmtId="4" fontId="9" fillId="0" borderId="35" xfId="0" applyNumberFormat="1" applyFont="1" applyBorder="1"/>
    <xf numFmtId="0" fontId="0" fillId="0" borderId="13" xfId="0" applyBorder="1"/>
    <xf numFmtId="1" fontId="57" fillId="0" borderId="2" xfId="0" applyNumberFormat="1" applyFont="1" applyBorder="1"/>
    <xf numFmtId="2" fontId="57" fillId="0" borderId="2" xfId="0" applyNumberFormat="1" applyFont="1" applyBorder="1"/>
    <xf numFmtId="0" fontId="57" fillId="0" borderId="2" xfId="0" applyFont="1" applyBorder="1"/>
    <xf numFmtId="4" fontId="48" fillId="0" borderId="2" xfId="0" applyNumberFormat="1" applyFont="1" applyBorder="1" applyAlignment="1">
      <alignment vertical="center"/>
    </xf>
    <xf numFmtId="4" fontId="48" fillId="0" borderId="2" xfId="0" applyNumberFormat="1" applyFont="1" applyBorder="1" applyAlignment="1">
      <alignment horizontal="right" vertical="center"/>
    </xf>
    <xf numFmtId="4" fontId="49" fillId="0" borderId="2" xfId="0" applyNumberFormat="1" applyFont="1" applyBorder="1" applyAlignment="1">
      <alignment vertical="center"/>
    </xf>
    <xf numFmtId="4" fontId="48" fillId="0" borderId="2" xfId="0" applyNumberFormat="1" applyFont="1" applyBorder="1" applyAlignment="1">
      <alignment horizontal="center" vertical="center"/>
    </xf>
    <xf numFmtId="4" fontId="48" fillId="0" borderId="2" xfId="0" applyNumberFormat="1" applyFont="1" applyBorder="1"/>
    <xf numFmtId="4" fontId="49" fillId="0" borderId="2" xfId="0" applyNumberFormat="1" applyFont="1" applyBorder="1"/>
    <xf numFmtId="0" fontId="58" fillId="0" borderId="0" xfId="0" applyFont="1"/>
    <xf numFmtId="0" fontId="12" fillId="0" borderId="0" xfId="0" applyFont="1" applyAlignment="1"/>
    <xf numFmtId="4" fontId="12" fillId="0" borderId="0" xfId="0" applyNumberFormat="1" applyFont="1"/>
    <xf numFmtId="0" fontId="12" fillId="0" borderId="0" xfId="0" applyFont="1" applyAlignment="1">
      <alignment horizontal="right"/>
    </xf>
    <xf numFmtId="0" fontId="12" fillId="0" borderId="19" xfId="0" applyFont="1" applyBorder="1"/>
    <xf numFmtId="4" fontId="12" fillId="0" borderId="20" xfId="0" applyNumberFormat="1" applyFont="1" applyBorder="1"/>
    <xf numFmtId="0" fontId="12" fillId="0" borderId="21" xfId="0" applyFont="1" applyBorder="1"/>
    <xf numFmtId="4" fontId="12" fillId="0" borderId="22" xfId="0" applyNumberFormat="1" applyFont="1" applyBorder="1"/>
    <xf numFmtId="0" fontId="58" fillId="0" borderId="23" xfId="0" applyFont="1" applyBorder="1"/>
    <xf numFmtId="4" fontId="12" fillId="0" borderId="26" xfId="0" applyNumberFormat="1" applyFont="1" applyBorder="1"/>
    <xf numFmtId="0" fontId="9" fillId="0" borderId="27" xfId="0" applyFont="1" applyBorder="1"/>
    <xf numFmtId="0" fontId="9" fillId="0" borderId="27" xfId="0" applyFont="1" applyBorder="1" applyAlignment="1"/>
    <xf numFmtId="0" fontId="9" fillId="0" borderId="78" xfId="0" applyFont="1" applyBorder="1"/>
    <xf numFmtId="0" fontId="9" fillId="0" borderId="6" xfId="0" applyFont="1" applyBorder="1"/>
    <xf numFmtId="0" fontId="9" fillId="0" borderId="64" xfId="0" applyFont="1" applyBorder="1"/>
    <xf numFmtId="0" fontId="9" fillId="0" borderId="17" xfId="0" applyFont="1" applyBorder="1"/>
    <xf numFmtId="0" fontId="9" fillId="0" borderId="13" xfId="0" applyFont="1" applyBorder="1"/>
    <xf numFmtId="0" fontId="9" fillId="0" borderId="57" xfId="0" applyFont="1" applyBorder="1"/>
    <xf numFmtId="0" fontId="9" fillId="0" borderId="62" xfId="0" applyFont="1" applyBorder="1"/>
    <xf numFmtId="0" fontId="9" fillId="0" borderId="68" xfId="0" applyFont="1" applyBorder="1"/>
    <xf numFmtId="0" fontId="9" fillId="0" borderId="60" xfId="0" applyFont="1" applyBorder="1"/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4" fillId="0" borderId="19" xfId="0" applyFont="1" applyBorder="1" applyAlignment="1">
      <alignment horizontal="left" vertical="center" wrapText="1"/>
    </xf>
    <xf numFmtId="4" fontId="3" fillId="0" borderId="25" xfId="0" applyNumberFormat="1" applyFont="1" applyBorder="1" applyAlignment="1">
      <alignment horizontal="right" vertical="center" wrapText="1"/>
    </xf>
    <xf numFmtId="0" fontId="4" fillId="0" borderId="21" xfId="0" applyFont="1" applyBorder="1" applyAlignment="1">
      <alignment horizontal="left" vertical="center" wrapText="1"/>
    </xf>
    <xf numFmtId="4" fontId="3" fillId="0" borderId="2" xfId="0" applyNumberFormat="1" applyFont="1" applyBorder="1" applyAlignment="1">
      <alignment horizontal="right" vertical="center" wrapText="1"/>
    </xf>
    <xf numFmtId="4" fontId="12" fillId="0" borderId="2" xfId="0" applyNumberFormat="1" applyFont="1" applyBorder="1" applyAlignment="1">
      <alignment horizontal="right"/>
    </xf>
    <xf numFmtId="0" fontId="42" fillId="0" borderId="21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42" fillId="0" borderId="23" xfId="0" applyFont="1" applyBorder="1" applyAlignment="1">
      <alignment horizontal="left"/>
    </xf>
    <xf numFmtId="4" fontId="12" fillId="0" borderId="24" xfId="0" applyNumberFormat="1" applyFont="1" applyBorder="1" applyAlignment="1">
      <alignment horizontal="right"/>
    </xf>
    <xf numFmtId="0" fontId="42" fillId="0" borderId="49" xfId="0" applyFont="1" applyFill="1" applyBorder="1" applyAlignment="1">
      <alignment horizontal="left"/>
    </xf>
    <xf numFmtId="4" fontId="12" fillId="0" borderId="28" xfId="0" applyNumberFormat="1" applyFont="1" applyFill="1" applyBorder="1" applyAlignment="1">
      <alignment horizontal="right"/>
    </xf>
    <xf numFmtId="0" fontId="9" fillId="0" borderId="79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2" xfId="0" applyFont="1" applyBorder="1"/>
    <xf numFmtId="0" fontId="9" fillId="0" borderId="4" xfId="0" applyFont="1" applyBorder="1"/>
    <xf numFmtId="4" fontId="9" fillId="0" borderId="25" xfId="0" applyNumberFormat="1" applyFont="1" applyBorder="1"/>
    <xf numFmtId="0" fontId="35" fillId="0" borderId="19" xfId="0" applyFont="1" applyBorder="1" applyAlignment="1">
      <alignment horizontal="left" vertical="center" wrapText="1"/>
    </xf>
    <xf numFmtId="4" fontId="2" fillId="0" borderId="25" xfId="0" applyNumberFormat="1" applyFont="1" applyBorder="1" applyAlignment="1">
      <alignment horizontal="right" vertical="center" wrapText="1"/>
    </xf>
    <xf numFmtId="0" fontId="35" fillId="0" borderId="21" xfId="0" applyFont="1" applyBorder="1" applyAlignment="1">
      <alignment horizontal="lef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0" fontId="0" fillId="0" borderId="0" xfId="0" applyFont="1"/>
    <xf numFmtId="4" fontId="0" fillId="0" borderId="0" xfId="0" applyNumberFormat="1" applyFont="1"/>
    <xf numFmtId="0" fontId="9" fillId="0" borderId="47" xfId="0" applyFont="1" applyBorder="1" applyAlignment="1">
      <alignment horizontal="center"/>
    </xf>
    <xf numFmtId="0" fontId="9" fillId="0" borderId="75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7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8" fillId="0" borderId="19" xfId="4" applyFont="1" applyBorder="1" applyAlignment="1">
      <alignment horizontal="center"/>
    </xf>
    <xf numFmtId="0" fontId="8" fillId="0" borderId="23" xfId="4" applyFont="1" applyBorder="1" applyAlignment="1">
      <alignment horizontal="center"/>
    </xf>
    <xf numFmtId="0" fontId="8" fillId="0" borderId="25" xfId="4" applyFont="1" applyBorder="1" applyAlignment="1">
      <alignment horizontal="center"/>
    </xf>
    <xf numFmtId="0" fontId="8" fillId="0" borderId="24" xfId="4" applyFont="1" applyBorder="1" applyAlignment="1">
      <alignment horizontal="center"/>
    </xf>
    <xf numFmtId="0" fontId="8" fillId="0" borderId="18" xfId="4" applyFont="1" applyBorder="1" applyAlignment="1">
      <alignment horizontal="center"/>
    </xf>
    <xf numFmtId="0" fontId="8" fillId="0" borderId="51" xfId="4" applyFont="1" applyBorder="1" applyAlignment="1">
      <alignment horizontal="center"/>
    </xf>
    <xf numFmtId="0" fontId="2" fillId="0" borderId="0" xfId="4" applyFont="1" applyAlignment="1">
      <alignment horizontal="center"/>
    </xf>
    <xf numFmtId="0" fontId="35" fillId="0" borderId="0" xfId="91" applyFont="1" applyAlignment="1">
      <alignment horizontal="center"/>
    </xf>
    <xf numFmtId="0" fontId="2" fillId="0" borderId="0" xfId="91" applyFont="1" applyAlignment="1">
      <alignment horizontal="center"/>
    </xf>
    <xf numFmtId="4" fontId="49" fillId="0" borderId="30" xfId="0" applyNumberFormat="1" applyFont="1" applyBorder="1" applyAlignment="1">
      <alignment vertical="center"/>
    </xf>
    <xf numFmtId="4" fontId="49" fillId="0" borderId="46" xfId="0" applyNumberFormat="1" applyFont="1" applyBorder="1" applyAlignment="1">
      <alignment vertical="center"/>
    </xf>
    <xf numFmtId="0" fontId="4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35" fillId="0" borderId="0" xfId="92" applyFont="1" applyAlignment="1">
      <alignment horizontal="center"/>
    </xf>
    <xf numFmtId="0" fontId="2" fillId="0" borderId="0" xfId="92" applyFont="1" applyAlignment="1">
      <alignment horizontal="center"/>
    </xf>
    <xf numFmtId="0" fontId="7" fillId="0" borderId="0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35" fillId="0" borderId="1" xfId="92" applyFont="1" applyBorder="1" applyAlignment="1">
      <alignment horizontal="center"/>
    </xf>
    <xf numFmtId="0" fontId="35" fillId="0" borderId="56" xfId="92" applyFont="1" applyBorder="1" applyAlignment="1">
      <alignment horizontal="center"/>
    </xf>
    <xf numFmtId="0" fontId="35" fillId="0" borderId="8" xfId="92" applyFont="1" applyBorder="1" applyAlignment="1">
      <alignment horizontal="center"/>
    </xf>
    <xf numFmtId="0" fontId="35" fillId="0" borderId="55" xfId="92" applyFont="1" applyBorder="1" applyAlignment="1">
      <alignment horizontal="center"/>
    </xf>
    <xf numFmtId="0" fontId="35" fillId="0" borderId="35" xfId="92" applyFont="1" applyBorder="1" applyAlignment="1">
      <alignment horizontal="center"/>
    </xf>
    <xf numFmtId="0" fontId="35" fillId="0" borderId="13" xfId="92" applyFont="1" applyBorder="1" applyAlignment="1">
      <alignment horizontal="center"/>
    </xf>
    <xf numFmtId="0" fontId="35" fillId="0" borderId="57" xfId="92" applyFont="1" applyBorder="1" applyAlignment="1">
      <alignment horizontal="center"/>
    </xf>
    <xf numFmtId="0" fontId="35" fillId="0" borderId="7" xfId="92" applyFont="1" applyBorder="1" applyAlignment="1">
      <alignment horizontal="center"/>
    </xf>
    <xf numFmtId="0" fontId="35" fillId="0" borderId="9" xfId="92" applyFont="1" applyBorder="1" applyAlignment="1">
      <alignment horizontal="center"/>
    </xf>
    <xf numFmtId="0" fontId="35" fillId="0" borderId="18" xfId="92" applyFont="1" applyBorder="1" applyAlignment="1">
      <alignment horizontal="center"/>
    </xf>
    <xf numFmtId="0" fontId="35" fillId="0" borderId="51" xfId="92" applyFont="1" applyBorder="1" applyAlignment="1">
      <alignment horizontal="center"/>
    </xf>
    <xf numFmtId="0" fontId="35" fillId="0" borderId="1" xfId="91" applyFont="1" applyBorder="1" applyAlignment="1">
      <alignment horizontal="center"/>
    </xf>
    <xf numFmtId="0" fontId="35" fillId="0" borderId="7" xfId="91" applyFont="1" applyBorder="1" applyAlignment="1">
      <alignment horizontal="center"/>
    </xf>
    <xf numFmtId="0" fontId="35" fillId="0" borderId="47" xfId="91" applyFont="1" applyBorder="1" applyAlignment="1">
      <alignment horizontal="center"/>
    </xf>
    <xf numFmtId="0" fontId="35" fillId="0" borderId="49" xfId="91" applyFont="1" applyBorder="1" applyAlignment="1">
      <alignment horizontal="center"/>
    </xf>
    <xf numFmtId="0" fontId="35" fillId="0" borderId="48" xfId="91" applyFont="1" applyBorder="1" applyAlignment="1">
      <alignment horizontal="center"/>
    </xf>
    <xf numFmtId="0" fontId="35" fillId="0" borderId="50" xfId="9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5" fillId="0" borderId="25" xfId="9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57" fillId="0" borderId="27" xfId="0" applyFont="1" applyBorder="1" applyAlignment="1">
      <alignment horizontal="center"/>
    </xf>
    <xf numFmtId="0" fontId="57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67" xfId="0" applyFont="1" applyBorder="1" applyAlignment="1">
      <alignment horizontal="center"/>
    </xf>
  </cellXfs>
  <cellStyles count="93">
    <cellStyle name="20% - Accent1 2" xfId="6"/>
    <cellStyle name="20% - Accent1 3" xfId="49"/>
    <cellStyle name="20% - Accent2 2" xfId="7"/>
    <cellStyle name="20% - Accent2 3" xfId="50"/>
    <cellStyle name="20% - Accent3 2" xfId="8"/>
    <cellStyle name="20% - Accent3 3" xfId="51"/>
    <cellStyle name="20% - Accent4 2" xfId="9"/>
    <cellStyle name="20% - Accent4 3" xfId="52"/>
    <cellStyle name="20% - Accent5 2" xfId="10"/>
    <cellStyle name="20% - Accent5 3" xfId="53"/>
    <cellStyle name="20% - Accent6 2" xfId="11"/>
    <cellStyle name="20% - Accent6 3" xfId="54"/>
    <cellStyle name="40% - Accent1 2" xfId="12"/>
    <cellStyle name="40% - Accent1 3" xfId="55"/>
    <cellStyle name="40% - Accent2 2" xfId="13"/>
    <cellStyle name="40% - Accent2 3" xfId="56"/>
    <cellStyle name="40% - Accent3 2" xfId="14"/>
    <cellStyle name="40% - Accent3 3" xfId="57"/>
    <cellStyle name="40% - Accent4 2" xfId="15"/>
    <cellStyle name="40% - Accent4 3" xfId="58"/>
    <cellStyle name="40% - Accent5 2" xfId="16"/>
    <cellStyle name="40% - Accent5 3" xfId="59"/>
    <cellStyle name="40% - Accent6 2" xfId="17"/>
    <cellStyle name="40% - Accent6 3" xfId="60"/>
    <cellStyle name="60% - Accent1 2" xfId="18"/>
    <cellStyle name="60% - Accent1 3" xfId="61"/>
    <cellStyle name="60% - Accent2 2" xfId="19"/>
    <cellStyle name="60% - Accent2 3" xfId="62"/>
    <cellStyle name="60% - Accent3 2" xfId="20"/>
    <cellStyle name="60% - Accent3 3" xfId="63"/>
    <cellStyle name="60% - Accent4 2" xfId="21"/>
    <cellStyle name="60% - Accent4 3" xfId="64"/>
    <cellStyle name="60% - Accent5 2" xfId="22"/>
    <cellStyle name="60% - Accent5 3" xfId="65"/>
    <cellStyle name="60% - Accent6 2" xfId="23"/>
    <cellStyle name="60% - Accent6 3" xfId="66"/>
    <cellStyle name="Accent1 2" xfId="24"/>
    <cellStyle name="Accent1 3" xfId="67"/>
    <cellStyle name="Accent2 2" xfId="25"/>
    <cellStyle name="Accent2 3" xfId="68"/>
    <cellStyle name="Accent3 2" xfId="26"/>
    <cellStyle name="Accent3 3" xfId="69"/>
    <cellStyle name="Accent4 2" xfId="27"/>
    <cellStyle name="Accent4 3" xfId="70"/>
    <cellStyle name="Accent5 2" xfId="28"/>
    <cellStyle name="Accent5 3" xfId="71"/>
    <cellStyle name="Accent6 2" xfId="29"/>
    <cellStyle name="Accent6 3" xfId="72"/>
    <cellStyle name="Bad 2" xfId="30"/>
    <cellStyle name="Bad 3" xfId="73"/>
    <cellStyle name="Calculation 2" xfId="31"/>
    <cellStyle name="Calculation 3" xfId="74"/>
    <cellStyle name="Check Cell 2" xfId="32"/>
    <cellStyle name="Check Cell 3" xfId="75"/>
    <cellStyle name="Comma 2" xfId="33"/>
    <cellStyle name="Explanatory Text 2" xfId="34"/>
    <cellStyle name="Explanatory Text 3" xfId="76"/>
    <cellStyle name="Good 2" xfId="35"/>
    <cellStyle name="Good 3" xfId="77"/>
    <cellStyle name="Heading 1 2" xfId="36"/>
    <cellStyle name="Heading 1 3" xfId="78"/>
    <cellStyle name="Heading 2 2" xfId="37"/>
    <cellStyle name="Heading 2 3" xfId="79"/>
    <cellStyle name="Heading 3 2" xfId="38"/>
    <cellStyle name="Heading 3 3" xfId="80"/>
    <cellStyle name="Heading 4 2" xfId="39"/>
    <cellStyle name="Heading 4 3" xfId="81"/>
    <cellStyle name="Input 2" xfId="40"/>
    <cellStyle name="Input 3" xfId="82"/>
    <cellStyle name="Linked Cell 2" xfId="41"/>
    <cellStyle name="Linked Cell 3" xfId="83"/>
    <cellStyle name="Neutral 2" xfId="42"/>
    <cellStyle name="Neutral 3" xfId="84"/>
    <cellStyle name="Normal" xfId="0" builtinId="0"/>
    <cellStyle name="Normal 10" xfId="92"/>
    <cellStyle name="Normal 2" xfId="1"/>
    <cellStyle name="Normal 3" xfId="2"/>
    <cellStyle name="Normal 4" xfId="3"/>
    <cellStyle name="Normal 5" xfId="4"/>
    <cellStyle name="Normal 6" xfId="5"/>
    <cellStyle name="Normal 7" xfId="48"/>
    <cellStyle name="Normal 8" xfId="90"/>
    <cellStyle name="Normal 9" xfId="91"/>
    <cellStyle name="Note 2" xfId="43"/>
    <cellStyle name="Note 3" xfId="85"/>
    <cellStyle name="Output 2" xfId="44"/>
    <cellStyle name="Output 3" xfId="86"/>
    <cellStyle name="Title 2" xfId="45"/>
    <cellStyle name="Title 3" xfId="87"/>
    <cellStyle name="Total 2" xfId="46"/>
    <cellStyle name="Total 3" xfId="88"/>
    <cellStyle name="Warning Text 2" xfId="47"/>
    <cellStyle name="Warning Text 3" xfId="8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A4" sqref="A4:F4"/>
    </sheetView>
  </sheetViews>
  <sheetFormatPr defaultRowHeight="15"/>
  <cols>
    <col min="1" max="1" width="5.28515625" customWidth="1"/>
    <col min="2" max="2" width="27.28515625" style="3" customWidth="1"/>
    <col min="3" max="3" width="17.7109375" style="3" bestFit="1" customWidth="1"/>
    <col min="4" max="4" width="24.140625" bestFit="1" customWidth="1"/>
    <col min="5" max="5" width="17.140625" style="3" bestFit="1" customWidth="1"/>
    <col min="6" max="6" width="16.140625" bestFit="1" customWidth="1"/>
    <col min="8" max="8" width="11.7109375" bestFit="1" customWidth="1"/>
    <col min="9" max="9" width="13" bestFit="1" customWidth="1"/>
    <col min="13" max="13" width="14" bestFit="1" customWidth="1"/>
    <col min="15" max="15" width="17.140625" bestFit="1" customWidth="1"/>
  </cols>
  <sheetData>
    <row r="1" spans="1:9" s="3" customFormat="1" ht="27">
      <c r="A1" s="593" t="s">
        <v>5</v>
      </c>
      <c r="B1" s="593"/>
      <c r="C1" s="593"/>
      <c r="D1" s="593"/>
      <c r="E1" s="593"/>
      <c r="F1" s="593"/>
    </row>
    <row r="2" spans="1:9" s="3" customFormat="1" ht="18">
      <c r="B2" s="594" t="s">
        <v>7</v>
      </c>
      <c r="C2" s="594"/>
      <c r="D2" s="594"/>
      <c r="E2" s="594"/>
      <c r="F2" s="594"/>
    </row>
    <row r="3" spans="1:9" ht="18">
      <c r="A3" s="594" t="s">
        <v>6</v>
      </c>
      <c r="B3" s="594"/>
      <c r="C3" s="594"/>
      <c r="D3" s="594"/>
      <c r="E3" s="594"/>
      <c r="F3" s="594"/>
      <c r="G3" s="594"/>
    </row>
    <row r="4" spans="1:9" ht="18.75" thickBot="1">
      <c r="A4" s="594" t="s">
        <v>284</v>
      </c>
      <c r="B4" s="594"/>
      <c r="C4" s="594"/>
      <c r="D4" s="594"/>
      <c r="E4" s="594"/>
      <c r="F4" s="594"/>
    </row>
    <row r="5" spans="1:9" s="3" customFormat="1" ht="18">
      <c r="B5" s="595" t="s">
        <v>115</v>
      </c>
      <c r="C5" s="10" t="s">
        <v>230</v>
      </c>
      <c r="D5" s="597" t="s">
        <v>115</v>
      </c>
      <c r="E5" s="599" t="s">
        <v>210</v>
      </c>
      <c r="F5" s="600"/>
    </row>
    <row r="6" spans="1:9" s="3" customFormat="1" ht="18.75" thickBot="1">
      <c r="B6" s="596"/>
      <c r="C6" s="334" t="s">
        <v>11</v>
      </c>
      <c r="D6" s="598"/>
      <c r="E6" s="335" t="s">
        <v>11</v>
      </c>
      <c r="F6" s="336" t="s">
        <v>11</v>
      </c>
    </row>
    <row r="7" spans="1:9" ht="18">
      <c r="B7" s="332" t="s">
        <v>66</v>
      </c>
      <c r="C7" s="333">
        <v>654278.16000000015</v>
      </c>
      <c r="D7" s="326" t="s">
        <v>274</v>
      </c>
      <c r="E7" s="337"/>
      <c r="F7" s="5">
        <v>2391493</v>
      </c>
    </row>
    <row r="8" spans="1:9" ht="18">
      <c r="B8" s="55" t="s">
        <v>272</v>
      </c>
      <c r="C8" s="235">
        <v>2342460</v>
      </c>
      <c r="D8" s="55" t="s">
        <v>50</v>
      </c>
      <c r="E8" s="338">
        <v>150000</v>
      </c>
      <c r="F8" s="6"/>
    </row>
    <row r="9" spans="1:9" ht="18">
      <c r="B9" s="55" t="s">
        <v>273</v>
      </c>
      <c r="C9" s="235">
        <v>7370768</v>
      </c>
      <c r="D9" s="55" t="s">
        <v>67</v>
      </c>
      <c r="E9" s="338">
        <v>2241493</v>
      </c>
      <c r="F9" s="6"/>
    </row>
    <row r="10" spans="1:9" ht="18">
      <c r="B10" s="237" t="s">
        <v>275</v>
      </c>
      <c r="C10" s="235">
        <v>14039160</v>
      </c>
      <c r="D10" s="55" t="s">
        <v>272</v>
      </c>
      <c r="E10" s="338"/>
      <c r="F10" s="6">
        <v>11700</v>
      </c>
    </row>
    <row r="11" spans="1:9" ht="18">
      <c r="B11" s="237" t="s">
        <v>276</v>
      </c>
      <c r="C11" s="235">
        <v>5000000</v>
      </c>
      <c r="D11" s="55" t="s">
        <v>21</v>
      </c>
      <c r="E11" s="338">
        <v>11700</v>
      </c>
      <c r="F11" s="6"/>
      <c r="H11" s="53"/>
      <c r="I11" s="53"/>
    </row>
    <row r="12" spans="1:9" ht="18">
      <c r="B12" s="237" t="s">
        <v>280</v>
      </c>
      <c r="C12" s="235">
        <v>4887609</v>
      </c>
      <c r="D12" s="55" t="s">
        <v>273</v>
      </c>
      <c r="E12" s="338"/>
      <c r="F12" s="6">
        <v>6371921.9700000007</v>
      </c>
      <c r="H12" s="53"/>
    </row>
    <row r="13" spans="1:9" ht="17.25">
      <c r="B13" s="239"/>
      <c r="C13" s="178"/>
      <c r="D13" s="55" t="s">
        <v>207</v>
      </c>
      <c r="E13" s="338">
        <v>651264.4</v>
      </c>
      <c r="F13" s="6"/>
      <c r="H13" s="53"/>
      <c r="I13" s="53"/>
    </row>
    <row r="14" spans="1:9" ht="17.25">
      <c r="B14" s="239"/>
      <c r="C14" s="178"/>
      <c r="D14" s="325" t="s">
        <v>67</v>
      </c>
      <c r="E14" s="338">
        <v>5720657.5700000003</v>
      </c>
      <c r="F14" s="6"/>
    </row>
    <row r="15" spans="1:9" ht="18">
      <c r="B15" s="239"/>
      <c r="C15" s="178"/>
      <c r="D15" s="238" t="s">
        <v>275</v>
      </c>
      <c r="E15" s="338"/>
      <c r="F15" s="6">
        <f>E16+E17+E18+E19</f>
        <v>9285885</v>
      </c>
    </row>
    <row r="16" spans="1:9" s="3" customFormat="1" ht="17.25">
      <c r="B16" s="239"/>
      <c r="C16" s="178"/>
      <c r="D16" s="55" t="s">
        <v>21</v>
      </c>
      <c r="E16" s="338">
        <v>3456000</v>
      </c>
      <c r="F16" s="6"/>
    </row>
    <row r="17" spans="1:8" ht="17.25">
      <c r="B17" s="239"/>
      <c r="C17" s="178"/>
      <c r="D17" s="55" t="s">
        <v>50</v>
      </c>
      <c r="E17" s="338">
        <v>62350</v>
      </c>
      <c r="F17" s="6"/>
    </row>
    <row r="18" spans="1:8" ht="17.25">
      <c r="B18" s="239"/>
      <c r="C18" s="178"/>
      <c r="D18" s="55" t="s">
        <v>193</v>
      </c>
      <c r="E18" s="338">
        <v>5219535</v>
      </c>
      <c r="F18" s="6"/>
    </row>
    <row r="19" spans="1:8" ht="17.25">
      <c r="B19" s="239"/>
      <c r="C19" s="178"/>
      <c r="D19" s="55" t="s">
        <v>277</v>
      </c>
      <c r="E19" s="338">
        <v>548000</v>
      </c>
      <c r="F19" s="6"/>
    </row>
    <row r="20" spans="1:8" ht="17.25">
      <c r="B20" s="239"/>
      <c r="C20" s="178"/>
      <c r="D20" s="55" t="s">
        <v>278</v>
      </c>
      <c r="E20" s="339"/>
      <c r="F20" s="6">
        <v>5000000</v>
      </c>
      <c r="H20" s="53"/>
    </row>
    <row r="21" spans="1:8" s="3" customFormat="1" ht="17.25">
      <c r="B21" s="239"/>
      <c r="C21" s="178"/>
      <c r="D21" s="55" t="s">
        <v>279</v>
      </c>
      <c r="E21" s="339"/>
      <c r="F21" s="142">
        <f>E22+E23</f>
        <v>11233275.190000001</v>
      </c>
      <c r="H21" s="53"/>
    </row>
    <row r="22" spans="1:8" ht="17.25">
      <c r="B22" s="239"/>
      <c r="C22" s="178"/>
      <c r="D22" s="330" t="s">
        <v>281</v>
      </c>
      <c r="E22" s="338">
        <v>6345666.1900000004</v>
      </c>
      <c r="F22" s="341"/>
    </row>
    <row r="23" spans="1:8" ht="18.75" thickBot="1">
      <c r="B23" s="328"/>
      <c r="C23" s="198"/>
      <c r="D23" s="237" t="s">
        <v>280</v>
      </c>
      <c r="E23" s="340">
        <v>4887609</v>
      </c>
      <c r="F23" s="259"/>
    </row>
    <row r="24" spans="1:8" ht="18.75" thickBot="1">
      <c r="B24" s="185" t="s">
        <v>114</v>
      </c>
      <c r="C24" s="329">
        <f>SUM(C7:C23)</f>
        <v>34294275.159999996</v>
      </c>
      <c r="D24" s="186" t="s">
        <v>114</v>
      </c>
      <c r="E24" s="331"/>
      <c r="F24" s="331">
        <f>SUM(F7:F23)</f>
        <v>34294275.159999996</v>
      </c>
    </row>
    <row r="27" spans="1:8" s="3" customFormat="1"/>
    <row r="28" spans="1:8" s="3" customFormat="1"/>
    <row r="29" spans="1:8" s="3" customFormat="1"/>
    <row r="30" spans="1:8" s="3" customFormat="1"/>
    <row r="31" spans="1:8" s="3" customFormat="1"/>
    <row r="32" spans="1:8" ht="27">
      <c r="A32" s="593" t="s">
        <v>5</v>
      </c>
      <c r="B32" s="593"/>
      <c r="C32" s="593"/>
      <c r="D32" s="593"/>
      <c r="E32" s="593"/>
      <c r="F32" s="593"/>
      <c r="G32" s="3"/>
    </row>
    <row r="33" spans="1:7" ht="18">
      <c r="A33" s="3"/>
      <c r="B33" s="594" t="s">
        <v>7</v>
      </c>
      <c r="C33" s="594"/>
      <c r="D33" s="594"/>
      <c r="E33" s="594"/>
      <c r="F33" s="594"/>
      <c r="G33" s="3"/>
    </row>
    <row r="34" spans="1:7" ht="18">
      <c r="A34" s="594" t="s">
        <v>6</v>
      </c>
      <c r="B34" s="594"/>
      <c r="C34" s="594"/>
      <c r="D34" s="594"/>
      <c r="E34" s="594"/>
      <c r="F34" s="594"/>
      <c r="G34" s="594"/>
    </row>
    <row r="35" spans="1:7" ht="18">
      <c r="A35" s="594" t="s">
        <v>283</v>
      </c>
      <c r="B35" s="594"/>
      <c r="C35" s="594"/>
      <c r="D35" s="594"/>
      <c r="E35" s="594"/>
      <c r="F35" s="594"/>
      <c r="G35" s="3"/>
    </row>
    <row r="36" spans="1:7" ht="15.75" thickBot="1">
      <c r="A36" s="3"/>
      <c r="D36" s="3">
        <v>6518</v>
      </c>
      <c r="F36" s="3"/>
      <c r="G36" s="3"/>
    </row>
    <row r="37" spans="1:7" ht="18.75" thickBot="1">
      <c r="A37" s="3"/>
      <c r="B37" s="236" t="s">
        <v>115</v>
      </c>
      <c r="C37" s="236" t="s">
        <v>11</v>
      </c>
      <c r="D37" s="236" t="s">
        <v>115</v>
      </c>
      <c r="E37" s="9" t="s">
        <v>11</v>
      </c>
      <c r="F37" s="3"/>
      <c r="G37" s="3"/>
    </row>
    <row r="38" spans="1:7" ht="18">
      <c r="A38" s="3"/>
      <c r="B38" s="236" t="s">
        <v>66</v>
      </c>
      <c r="C38" s="323">
        <v>3791566.24</v>
      </c>
      <c r="D38" s="342" t="s">
        <v>285</v>
      </c>
      <c r="E38" s="350">
        <f>3791566+2000000</f>
        <v>5791566</v>
      </c>
      <c r="F38" s="3"/>
      <c r="G38" s="3"/>
    </row>
    <row r="39" spans="1:7" ht="18">
      <c r="B39" s="237" t="s">
        <v>269</v>
      </c>
      <c r="C39" s="327">
        <v>27834530.760000002</v>
      </c>
      <c r="D39" s="342" t="s">
        <v>291</v>
      </c>
      <c r="E39" s="350">
        <f>12696526+8000000</f>
        <v>20696526</v>
      </c>
    </row>
    <row r="40" spans="1:7" s="3" customFormat="1" ht="18">
      <c r="B40" s="346"/>
      <c r="C40" s="347"/>
      <c r="D40" s="342" t="s">
        <v>286</v>
      </c>
      <c r="E40" s="350">
        <v>811360</v>
      </c>
    </row>
    <row r="41" spans="1:7" s="3" customFormat="1" ht="18">
      <c r="B41" s="346"/>
      <c r="C41" s="347"/>
      <c r="D41" s="342" t="s">
        <v>288</v>
      </c>
      <c r="E41" s="350">
        <v>524500</v>
      </c>
    </row>
    <row r="42" spans="1:7" s="3" customFormat="1" ht="18">
      <c r="B42" s="346"/>
      <c r="C42" s="347"/>
      <c r="D42" s="342" t="s">
        <v>287</v>
      </c>
      <c r="E42" s="350">
        <v>32800</v>
      </c>
    </row>
    <row r="43" spans="1:7" s="3" customFormat="1" ht="18.75" thickBot="1">
      <c r="B43" s="346"/>
      <c r="C43" s="347"/>
      <c r="D43" s="351" t="s">
        <v>13</v>
      </c>
      <c r="E43" s="352">
        <v>3769345</v>
      </c>
    </row>
    <row r="44" spans="1:7" ht="18.75" thickBot="1">
      <c r="B44" s="185" t="s">
        <v>114</v>
      </c>
      <c r="C44" s="331">
        <f>SUM(C38:C39)</f>
        <v>31626097</v>
      </c>
      <c r="D44" s="185" t="s">
        <v>114</v>
      </c>
      <c r="E44" s="353">
        <f>SUM(E38:E43)</f>
        <v>31626097</v>
      </c>
    </row>
    <row r="50" spans="1:7" ht="27">
      <c r="A50" s="593" t="s">
        <v>5</v>
      </c>
      <c r="B50" s="593"/>
      <c r="C50" s="593"/>
      <c r="D50" s="593"/>
      <c r="E50" s="593"/>
      <c r="F50" s="593"/>
      <c r="G50" s="3"/>
    </row>
    <row r="51" spans="1:7" ht="18">
      <c r="A51" s="3"/>
      <c r="B51" s="594" t="s">
        <v>7</v>
      </c>
      <c r="C51" s="594"/>
      <c r="D51" s="594"/>
      <c r="E51" s="594"/>
      <c r="F51" s="594"/>
      <c r="G51" s="3"/>
    </row>
    <row r="52" spans="1:7" ht="18">
      <c r="A52" s="594" t="s">
        <v>6</v>
      </c>
      <c r="B52" s="594"/>
      <c r="C52" s="594"/>
      <c r="D52" s="594"/>
      <c r="E52" s="594"/>
      <c r="F52" s="594"/>
      <c r="G52" s="594"/>
    </row>
    <row r="53" spans="1:7" ht="18">
      <c r="A53" s="594" t="s">
        <v>289</v>
      </c>
      <c r="B53" s="594"/>
      <c r="C53" s="594"/>
      <c r="D53" s="594"/>
      <c r="E53" s="594"/>
      <c r="F53" s="594"/>
      <c r="G53" s="3"/>
    </row>
    <row r="54" spans="1:7" ht="15.75" thickBot="1"/>
    <row r="55" spans="1:7" ht="18">
      <c r="B55" s="236" t="s">
        <v>66</v>
      </c>
      <c r="C55" s="323">
        <f>'6518'!D13</f>
        <v>1289573.8500000001</v>
      </c>
      <c r="D55" s="343" t="s">
        <v>290</v>
      </c>
      <c r="E55" s="350">
        <f>'6518'!G13</f>
        <v>1622406.7</v>
      </c>
    </row>
    <row r="56" spans="1:7" ht="18">
      <c r="B56" s="237" t="s">
        <v>8</v>
      </c>
      <c r="C56" s="350">
        <f>'6518'!E13</f>
        <v>1610278.01</v>
      </c>
      <c r="D56" s="342" t="s">
        <v>13</v>
      </c>
      <c r="E56" s="354">
        <f>'6518'!H13</f>
        <v>1277445.1600000004</v>
      </c>
    </row>
    <row r="57" spans="1:7" s="3" customFormat="1" ht="18">
      <c r="B57" s="346"/>
      <c r="C57" s="352"/>
      <c r="D57" s="348"/>
      <c r="E57" s="349"/>
    </row>
    <row r="58" spans="1:7" ht="18" thickBot="1">
      <c r="B58" s="154" t="s">
        <v>114</v>
      </c>
      <c r="C58" s="177">
        <f>SUM(C55:C57)</f>
        <v>2899851.8600000003</v>
      </c>
      <c r="D58" s="154" t="s">
        <v>114</v>
      </c>
      <c r="E58" s="355">
        <f>SUM(E55:E57)</f>
        <v>2899851.8600000003</v>
      </c>
    </row>
    <row r="62" spans="1:7">
      <c r="D62" s="53"/>
    </row>
    <row r="70" spans="2:5" ht="18">
      <c r="B70" s="55" t="s">
        <v>272</v>
      </c>
      <c r="C70" s="235">
        <v>2342460</v>
      </c>
      <c r="E70" s="3">
        <v>23060999.969999999</v>
      </c>
    </row>
    <row r="71" spans="2:5" ht="18">
      <c r="B71" s="55" t="s">
        <v>273</v>
      </c>
      <c r="C71" s="235">
        <v>7370768</v>
      </c>
      <c r="E71" s="53">
        <f>E70-F20</f>
        <v>18060999.969999999</v>
      </c>
    </row>
    <row r="72" spans="2:5" ht="18">
      <c r="B72" s="237" t="s">
        <v>275</v>
      </c>
      <c r="C72" s="235">
        <v>14039160</v>
      </c>
      <c r="D72" s="342" t="s">
        <v>286</v>
      </c>
      <c r="E72" s="350">
        <v>811360</v>
      </c>
    </row>
    <row r="73" spans="2:5" ht="18">
      <c r="B73" s="237" t="s">
        <v>276</v>
      </c>
      <c r="C73" s="235">
        <v>5000000</v>
      </c>
      <c r="D73" s="342" t="s">
        <v>288</v>
      </c>
      <c r="E73" s="350">
        <v>524500</v>
      </c>
    </row>
    <row r="74" spans="2:5" ht="18">
      <c r="B74" s="237" t="s">
        <v>269</v>
      </c>
      <c r="C74" s="327">
        <v>27834530.760000002</v>
      </c>
      <c r="D74" s="342" t="s">
        <v>287</v>
      </c>
      <c r="E74" s="350">
        <v>32800</v>
      </c>
    </row>
  </sheetData>
  <mergeCells count="15">
    <mergeCell ref="A50:F50"/>
    <mergeCell ref="B51:F51"/>
    <mergeCell ref="A52:G52"/>
    <mergeCell ref="A53:F53"/>
    <mergeCell ref="A1:F1"/>
    <mergeCell ref="A4:F4"/>
    <mergeCell ref="B5:B6"/>
    <mergeCell ref="D5:D6"/>
    <mergeCell ref="A32:F32"/>
    <mergeCell ref="B33:F33"/>
    <mergeCell ref="A34:G34"/>
    <mergeCell ref="A35:F35"/>
    <mergeCell ref="E5:F5"/>
    <mergeCell ref="B2:F2"/>
    <mergeCell ref="A3:G3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sqref="A1:E39"/>
    </sheetView>
  </sheetViews>
  <sheetFormatPr defaultRowHeight="15"/>
  <cols>
    <col min="1" max="1" width="7" customWidth="1"/>
    <col min="2" max="2" width="42.42578125" bestFit="1" customWidth="1"/>
    <col min="3" max="3" width="8.140625" bestFit="1" customWidth="1"/>
    <col min="4" max="4" width="18.5703125" style="3" bestFit="1" customWidth="1"/>
    <col min="5" max="5" width="18.28515625" style="3" bestFit="1" customWidth="1"/>
    <col min="7" max="9" width="12.7109375" bestFit="1" customWidth="1"/>
  </cols>
  <sheetData>
    <row r="1" spans="1:10" ht="27">
      <c r="A1" s="593" t="s">
        <v>5</v>
      </c>
      <c r="B1" s="593"/>
      <c r="C1" s="593"/>
      <c r="D1" s="593"/>
      <c r="E1" s="593"/>
    </row>
    <row r="2" spans="1:10" ht="18">
      <c r="A2" s="594" t="s">
        <v>7</v>
      </c>
      <c r="B2" s="594"/>
      <c r="C2" s="594"/>
      <c r="D2" s="594"/>
      <c r="E2" s="594"/>
    </row>
    <row r="3" spans="1:10" ht="18">
      <c r="A3" s="594" t="s">
        <v>6</v>
      </c>
      <c r="B3" s="594"/>
      <c r="C3" s="594"/>
      <c r="D3" s="594"/>
      <c r="E3" s="594"/>
    </row>
    <row r="4" spans="1:10" ht="18">
      <c r="A4" s="594" t="s">
        <v>316</v>
      </c>
      <c r="B4" s="594"/>
      <c r="C4" s="594"/>
      <c r="D4" s="594"/>
      <c r="E4" s="594"/>
    </row>
    <row r="5" spans="1:10" s="3" customFormat="1" ht="16.5" thickBot="1">
      <c r="A5" s="141"/>
      <c r="B5" s="141"/>
      <c r="C5" s="141"/>
      <c r="D5" s="357"/>
      <c r="E5" s="228"/>
    </row>
    <row r="6" spans="1:10" s="3" customFormat="1" ht="18">
      <c r="A6" s="146"/>
      <c r="B6" s="148"/>
      <c r="C6" s="446"/>
      <c r="D6" s="240" t="s">
        <v>172</v>
      </c>
      <c r="E6" s="240" t="s">
        <v>230</v>
      </c>
    </row>
    <row r="7" spans="1:10" ht="18.75" thickBot="1">
      <c r="A7" s="147"/>
      <c r="B7" s="149" t="s">
        <v>115</v>
      </c>
      <c r="C7" s="447" t="s">
        <v>12</v>
      </c>
      <c r="D7" s="147" t="s">
        <v>11</v>
      </c>
      <c r="E7" s="147" t="s">
        <v>11</v>
      </c>
    </row>
    <row r="8" spans="1:10" ht="18">
      <c r="A8" s="40"/>
      <c r="B8" s="150" t="s">
        <v>8</v>
      </c>
      <c r="C8" s="448">
        <v>1</v>
      </c>
      <c r="D8" s="204">
        <v>66138284.760000005</v>
      </c>
      <c r="E8" s="204">
        <v>34615078.299999997</v>
      </c>
      <c r="I8">
        <v>34615078.299999997</v>
      </c>
      <c r="J8">
        <v>35832071</v>
      </c>
    </row>
    <row r="9" spans="1:10" ht="18.75" thickBot="1">
      <c r="A9" s="24"/>
      <c r="B9" s="25" t="s">
        <v>116</v>
      </c>
      <c r="C9" s="25"/>
      <c r="D9" s="126">
        <v>0</v>
      </c>
      <c r="E9" s="126">
        <v>0</v>
      </c>
      <c r="I9">
        <v>0</v>
      </c>
      <c r="J9">
        <v>0</v>
      </c>
    </row>
    <row r="10" spans="1:10" ht="18.75" thickBot="1">
      <c r="A10" s="24"/>
      <c r="B10" s="37" t="s">
        <v>22</v>
      </c>
      <c r="C10" s="37"/>
      <c r="D10" s="127">
        <v>66138284.760000005</v>
      </c>
      <c r="E10" s="127">
        <v>34615078.299999997</v>
      </c>
      <c r="I10">
        <v>34615078.299999997</v>
      </c>
      <c r="J10">
        <v>35832071</v>
      </c>
    </row>
    <row r="11" spans="1:10" ht="18">
      <c r="A11" s="24"/>
      <c r="B11" s="40" t="s">
        <v>173</v>
      </c>
      <c r="C11" s="40">
        <v>2</v>
      </c>
      <c r="D11" s="128">
        <v>-20763040.530000001</v>
      </c>
      <c r="E11" s="128">
        <v>-23039860.690000001</v>
      </c>
      <c r="G11" s="53">
        <v>22065186</v>
      </c>
      <c r="I11">
        <v>-23039860.690000001</v>
      </c>
      <c r="J11">
        <v>-21717514.800000001</v>
      </c>
    </row>
    <row r="12" spans="1:10" ht="18">
      <c r="A12" s="24"/>
      <c r="B12" s="24" t="s">
        <v>117</v>
      </c>
      <c r="C12" s="24">
        <v>3</v>
      </c>
      <c r="D12" s="125">
        <v>-2048897.81</v>
      </c>
      <c r="E12" s="125">
        <v>-1906118.17</v>
      </c>
      <c r="G12">
        <v>1990279.42</v>
      </c>
      <c r="I12">
        <v>-1906118.17</v>
      </c>
      <c r="J12">
        <v>-1261878</v>
      </c>
    </row>
    <row r="13" spans="1:10" ht="18">
      <c r="A13" s="24"/>
      <c r="B13" s="24" t="s">
        <v>118</v>
      </c>
      <c r="C13" s="24">
        <v>4</v>
      </c>
      <c r="D13" s="125">
        <v>-3999999.31</v>
      </c>
      <c r="E13" s="125">
        <v>-4080018.4</v>
      </c>
      <c r="G13">
        <v>4000000</v>
      </c>
      <c r="I13">
        <v>-4080018.4</v>
      </c>
      <c r="J13">
        <v>-3993668</v>
      </c>
    </row>
    <row r="14" spans="1:10" s="3" customFormat="1" ht="18">
      <c r="A14" s="24"/>
      <c r="B14" s="24" t="s">
        <v>168</v>
      </c>
      <c r="C14" s="24">
        <v>5</v>
      </c>
      <c r="D14" s="125">
        <v>-18060999.969999999</v>
      </c>
      <c r="E14" s="125">
        <v>-5029970</v>
      </c>
      <c r="G14" s="3">
        <v>18060999.969999999</v>
      </c>
      <c r="I14" s="3">
        <v>-5029970</v>
      </c>
      <c r="J14" s="3">
        <v>-7841621.8399999999</v>
      </c>
    </row>
    <row r="15" spans="1:10" s="3" customFormat="1" ht="18.75" thickBot="1">
      <c r="A15" s="24"/>
      <c r="B15" s="25" t="s">
        <v>218</v>
      </c>
      <c r="C15" s="25">
        <v>6</v>
      </c>
      <c r="D15" s="126">
        <v>-1622406.7</v>
      </c>
      <c r="E15" s="126">
        <v>0</v>
      </c>
      <c r="G15" s="3">
        <v>1622406.7</v>
      </c>
      <c r="I15" s="3">
        <v>0</v>
      </c>
      <c r="J15" s="3">
        <v>-2001069.53</v>
      </c>
    </row>
    <row r="16" spans="1:10" ht="18.75" thickBot="1">
      <c r="A16" s="24"/>
      <c r="B16" s="37" t="s">
        <v>119</v>
      </c>
      <c r="C16" s="37"/>
      <c r="D16" s="127">
        <v>19642940.440000001</v>
      </c>
      <c r="E16" s="127">
        <v>559111.03999999538</v>
      </c>
      <c r="I16">
        <v>559111.03999999538</v>
      </c>
      <c r="J16">
        <v>-983681.17000000062</v>
      </c>
    </row>
    <row r="17" spans="1:10" s="3" customFormat="1" ht="18">
      <c r="A17" s="24"/>
      <c r="B17" s="26" t="s">
        <v>4</v>
      </c>
      <c r="C17" s="26"/>
      <c r="D17" s="129"/>
      <c r="E17" s="129">
        <v>0</v>
      </c>
      <c r="I17" s="3">
        <v>0</v>
      </c>
      <c r="J17" s="3">
        <v>70000</v>
      </c>
    </row>
    <row r="18" spans="1:10" ht="18">
      <c r="A18" s="24"/>
      <c r="B18" s="40" t="s">
        <v>120</v>
      </c>
      <c r="C18" s="40">
        <v>7</v>
      </c>
      <c r="D18" s="128">
        <v>834707.54</v>
      </c>
      <c r="E18" s="128">
        <v>684983.99</v>
      </c>
      <c r="G18" s="53">
        <f>D8+D18</f>
        <v>66972992.300000004</v>
      </c>
      <c r="H18">
        <v>1250710.58</v>
      </c>
      <c r="I18">
        <v>684983.99</v>
      </c>
      <c r="J18">
        <v>48870.35</v>
      </c>
    </row>
    <row r="19" spans="1:10" s="3" customFormat="1" ht="18">
      <c r="A19" s="24"/>
      <c r="B19" s="25" t="s">
        <v>123</v>
      </c>
      <c r="C19" s="25"/>
      <c r="D19" s="126">
        <v>-40000</v>
      </c>
      <c r="E19" s="126">
        <v>-10000</v>
      </c>
    </row>
    <row r="20" spans="1:10" s="3" customFormat="1" ht="18">
      <c r="A20" s="24"/>
      <c r="B20" s="40" t="s">
        <v>363</v>
      </c>
      <c r="C20" s="40"/>
      <c r="D20" s="128">
        <v>20437647.98</v>
      </c>
      <c r="E20" s="128">
        <v>1234095.0299999954</v>
      </c>
    </row>
    <row r="21" spans="1:10" ht="18">
      <c r="A21" s="24"/>
      <c r="B21" s="24" t="s">
        <v>121</v>
      </c>
      <c r="C21" s="24"/>
      <c r="D21" s="125">
        <v>0</v>
      </c>
      <c r="E21" s="125">
        <v>0</v>
      </c>
      <c r="G21" s="130"/>
      <c r="H21">
        <v>16615.55</v>
      </c>
      <c r="I21">
        <v>0</v>
      </c>
      <c r="J21">
        <v>0</v>
      </c>
    </row>
    <row r="22" spans="1:10" ht="18.75" thickBot="1">
      <c r="A22" s="24"/>
      <c r="B22" s="25" t="s">
        <v>122</v>
      </c>
      <c r="C22" s="25">
        <v>8</v>
      </c>
      <c r="D22" s="126">
        <v>-1016478.05</v>
      </c>
      <c r="E22" s="126">
        <v>-1250710.58</v>
      </c>
      <c r="G22" s="53"/>
      <c r="H22" s="53">
        <f>H18-H21</f>
        <v>1234095.03</v>
      </c>
      <c r="I22">
        <v>-1250710.58</v>
      </c>
      <c r="J22">
        <v>-976730.85</v>
      </c>
    </row>
    <row r="23" spans="1:10" ht="18.75" thickBot="1">
      <c r="A23" s="24"/>
      <c r="B23" s="37" t="s">
        <v>366</v>
      </c>
      <c r="C23" s="533"/>
      <c r="D23" s="534">
        <v>19421169.93</v>
      </c>
      <c r="E23" s="498">
        <v>-16615.550000004703</v>
      </c>
      <c r="G23" s="130"/>
      <c r="I23">
        <v>-10000</v>
      </c>
      <c r="J23">
        <v>-40000</v>
      </c>
    </row>
    <row r="24" spans="1:10" s="3" customFormat="1" ht="18">
      <c r="A24" s="25"/>
      <c r="B24" s="26" t="s">
        <v>364</v>
      </c>
      <c r="C24" s="95">
        <v>10</v>
      </c>
      <c r="D24" s="129">
        <v>-6700000</v>
      </c>
      <c r="E24" s="129">
        <v>0</v>
      </c>
      <c r="G24" s="130"/>
    </row>
    <row r="25" spans="1:10" s="3" customFormat="1" ht="18">
      <c r="A25" s="25"/>
      <c r="B25" s="26" t="s">
        <v>362</v>
      </c>
      <c r="C25" s="95">
        <v>10</v>
      </c>
      <c r="D25" s="129">
        <v>-6341412.3999999985</v>
      </c>
      <c r="E25" s="129">
        <v>0</v>
      </c>
      <c r="G25" s="130">
        <f>E22+E19</f>
        <v>-1260710.58</v>
      </c>
      <c r="I25" s="3">
        <v>0</v>
      </c>
      <c r="J25" s="3">
        <v>0</v>
      </c>
    </row>
    <row r="26" spans="1:10" s="3" customFormat="1" ht="18.75" thickBot="1">
      <c r="A26" s="25"/>
      <c r="B26" s="26" t="s">
        <v>365</v>
      </c>
      <c r="C26" s="468">
        <v>10</v>
      </c>
      <c r="D26" s="129">
        <v>-6250000</v>
      </c>
      <c r="E26" s="129">
        <v>0</v>
      </c>
      <c r="G26" s="130"/>
    </row>
    <row r="27" spans="1:10" ht="18.75" thickBot="1">
      <c r="A27" s="25"/>
      <c r="B27" s="37" t="s">
        <v>244</v>
      </c>
      <c r="C27" s="37"/>
      <c r="D27" s="127">
        <v>129757.53000000119</v>
      </c>
      <c r="E27" s="127">
        <v>-16615.550000004703</v>
      </c>
      <c r="I27">
        <v>-16615.550000004703</v>
      </c>
      <c r="J27">
        <v>-1881541.6700000006</v>
      </c>
    </row>
    <row r="28" spans="1:10" ht="18.75" thickBot="1">
      <c r="A28" s="37"/>
      <c r="B28" s="37" t="s">
        <v>124</v>
      </c>
      <c r="C28" s="37"/>
      <c r="D28" s="127">
        <v>0</v>
      </c>
      <c r="E28" s="127">
        <v>0</v>
      </c>
      <c r="I28">
        <v>0</v>
      </c>
      <c r="J28">
        <v>0</v>
      </c>
    </row>
    <row r="29" spans="1:10" ht="18.75" thickBot="1">
      <c r="A29" s="96"/>
      <c r="B29" s="96" t="s">
        <v>244</v>
      </c>
      <c r="C29" s="96"/>
      <c r="D29" s="203">
        <v>129757.53000000119</v>
      </c>
      <c r="E29" s="203">
        <v>-16615.550000004703</v>
      </c>
      <c r="I29">
        <v>-16615.550000004703</v>
      </c>
      <c r="J29">
        <v>-1881541.6700000006</v>
      </c>
    </row>
    <row r="30" spans="1:10">
      <c r="A30" s="3"/>
      <c r="B30" s="3"/>
      <c r="C30" s="3"/>
      <c r="G30" s="53">
        <f>'dep1'!J28+'dep2'!I13</f>
        <v>1016478.0487503689</v>
      </c>
    </row>
    <row r="31" spans="1:10">
      <c r="A31" s="3"/>
      <c r="B31" s="3"/>
      <c r="C31" s="3"/>
    </row>
    <row r="32" spans="1:10" ht="18">
      <c r="A32" s="3"/>
      <c r="B32" s="144"/>
      <c r="C32" s="144"/>
      <c r="D32" s="144"/>
      <c r="E32" s="380"/>
    </row>
    <row r="33" spans="1:5">
      <c r="A33" s="3"/>
      <c r="B33" s="3"/>
      <c r="C33" s="3"/>
    </row>
    <row r="34" spans="1:5">
      <c r="A34" s="3"/>
      <c r="B34" s="3"/>
      <c r="C34" s="3"/>
    </row>
    <row r="35" spans="1:5">
      <c r="A35" s="3"/>
      <c r="B35" s="3"/>
      <c r="C35" s="3"/>
    </row>
    <row r="36" spans="1:5">
      <c r="A36" s="3"/>
      <c r="B36" s="3"/>
      <c r="C36" s="3"/>
    </row>
    <row r="37" spans="1:5">
      <c r="A37" s="3"/>
      <c r="B37" s="3"/>
      <c r="C37" s="3"/>
    </row>
    <row r="38" spans="1:5" ht="15.75">
      <c r="A38" s="3"/>
      <c r="B38" s="97" t="s">
        <v>222</v>
      </c>
      <c r="C38" s="97"/>
      <c r="D38" s="135" t="s">
        <v>17</v>
      </c>
      <c r="E38" s="135" t="s">
        <v>18</v>
      </c>
    </row>
    <row r="39" spans="1:5">
      <c r="D39" s="53"/>
    </row>
  </sheetData>
  <mergeCells count="4">
    <mergeCell ref="A1:E1"/>
    <mergeCell ref="A2:E2"/>
    <mergeCell ref="A3:E3"/>
    <mergeCell ref="A4:E4"/>
  </mergeCells>
  <pageMargins left="0.2" right="0.2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H14" sqref="H14"/>
    </sheetView>
  </sheetViews>
  <sheetFormatPr defaultRowHeight="15"/>
  <cols>
    <col min="2" max="2" width="42" bestFit="1" customWidth="1"/>
    <col min="3" max="4" width="15.7109375" bestFit="1" customWidth="1"/>
  </cols>
  <sheetData>
    <row r="1" spans="1:4" ht="15.75">
      <c r="A1" s="636"/>
      <c r="B1" s="636"/>
      <c r="C1" s="636"/>
      <c r="D1" s="636"/>
    </row>
    <row r="3" spans="1:4" ht="17.25">
      <c r="B3" s="4" t="s">
        <v>162</v>
      </c>
      <c r="C3" s="4"/>
      <c r="D3" s="4"/>
    </row>
    <row r="4" spans="1:4" ht="17.25">
      <c r="B4" s="4" t="s">
        <v>240</v>
      </c>
      <c r="C4" s="4" t="s">
        <v>180</v>
      </c>
      <c r="D4" s="3"/>
    </row>
    <row r="5" spans="1:4" ht="18" thickBot="1">
      <c r="B5" s="134"/>
      <c r="C5" s="134"/>
      <c r="D5" s="132"/>
    </row>
    <row r="6" spans="1:4" ht="17.25">
      <c r="B6" s="151" t="s">
        <v>240</v>
      </c>
      <c r="C6" s="176"/>
      <c r="D6" s="262">
        <v>2485500</v>
      </c>
    </row>
    <row r="7" spans="1:4" ht="17.25">
      <c r="B7" s="152" t="s">
        <v>208</v>
      </c>
      <c r="C7" s="142">
        <v>558000</v>
      </c>
      <c r="D7" s="268"/>
    </row>
    <row r="8" spans="1:4" ht="17.25">
      <c r="B8" s="152" t="s">
        <v>50</v>
      </c>
      <c r="C8" s="142">
        <v>98500</v>
      </c>
      <c r="D8" s="263"/>
    </row>
    <row r="9" spans="1:4" ht="17.25">
      <c r="B9" s="152" t="s">
        <v>67</v>
      </c>
      <c r="C9" s="142">
        <v>1121374</v>
      </c>
      <c r="D9" s="263"/>
    </row>
    <row r="10" spans="1:4" ht="17.25">
      <c r="B10" s="152" t="s">
        <v>193</v>
      </c>
      <c r="C10" s="142">
        <v>554466</v>
      </c>
      <c r="D10" s="263"/>
    </row>
    <row r="11" spans="1:4" ht="17.25">
      <c r="B11" s="152" t="s">
        <v>212</v>
      </c>
      <c r="C11" s="142">
        <v>153160</v>
      </c>
      <c r="D11" s="263"/>
    </row>
    <row r="12" spans="1:4" ht="18" thickBot="1">
      <c r="B12" s="261"/>
      <c r="C12" s="266">
        <v>2485500</v>
      </c>
      <c r="D12" s="264"/>
    </row>
    <row r="13" spans="1:4" ht="18" thickBot="1">
      <c r="B13" s="134"/>
      <c r="C13" s="269"/>
      <c r="D13" s="142"/>
    </row>
    <row r="14" spans="1:4" ht="17.25">
      <c r="B14" s="151" t="s">
        <v>241</v>
      </c>
      <c r="C14" s="270"/>
      <c r="D14" s="176">
        <v>224766</v>
      </c>
    </row>
    <row r="15" spans="1:4" ht="17.25">
      <c r="B15" s="152" t="s">
        <v>208</v>
      </c>
      <c r="C15" s="269">
        <v>73950</v>
      </c>
      <c r="D15" s="142"/>
    </row>
    <row r="16" spans="1:4" ht="17.25">
      <c r="B16" s="152" t="s">
        <v>50</v>
      </c>
      <c r="C16" s="269">
        <v>0</v>
      </c>
      <c r="D16" s="142"/>
    </row>
    <row r="17" spans="2:4" ht="17.25">
      <c r="B17" s="152" t="s">
        <v>67</v>
      </c>
      <c r="C17" s="269">
        <v>150816</v>
      </c>
      <c r="D17" s="142"/>
    </row>
    <row r="18" spans="2:4" ht="17.25">
      <c r="B18" s="152" t="s">
        <v>193</v>
      </c>
      <c r="C18" s="269">
        <v>0</v>
      </c>
      <c r="D18" s="142"/>
    </row>
    <row r="19" spans="2:4" ht="18" thickBot="1">
      <c r="B19" s="261" t="s">
        <v>205</v>
      </c>
      <c r="C19" s="271">
        <v>0</v>
      </c>
      <c r="D19" s="266"/>
    </row>
    <row r="20" spans="2:4" ht="18" thickBot="1">
      <c r="B20" s="134"/>
      <c r="C20" s="269"/>
      <c r="D20" s="142"/>
    </row>
    <row r="21" spans="2:4" ht="17.25">
      <c r="B21" s="151" t="s">
        <v>242</v>
      </c>
      <c r="C21" s="176"/>
      <c r="D21" s="262">
        <v>2319704</v>
      </c>
    </row>
    <row r="22" spans="2:4" ht="17.25">
      <c r="B22" s="152" t="s">
        <v>208</v>
      </c>
      <c r="C22" s="142">
        <v>236800</v>
      </c>
      <c r="D22" s="263"/>
    </row>
    <row r="23" spans="2:4" ht="17.25">
      <c r="B23" s="152" t="s">
        <v>50</v>
      </c>
      <c r="C23" s="142">
        <v>1366781</v>
      </c>
      <c r="D23" s="263"/>
    </row>
    <row r="24" spans="2:4" ht="18">
      <c r="B24" s="152" t="s">
        <v>67</v>
      </c>
      <c r="C24" s="272">
        <v>716123</v>
      </c>
      <c r="D24" s="265"/>
    </row>
    <row r="25" spans="2:4" ht="18" thickBot="1">
      <c r="B25" s="152" t="s">
        <v>193</v>
      </c>
      <c r="C25" s="273">
        <v>0</v>
      </c>
      <c r="D25" s="267"/>
    </row>
    <row r="26" spans="2:4" ht="17.25">
      <c r="B26" s="152" t="s">
        <v>205</v>
      </c>
      <c r="C26" s="274"/>
      <c r="D26" s="268"/>
    </row>
    <row r="27" spans="2:4" ht="18" thickBot="1">
      <c r="B27" s="261" t="s">
        <v>243</v>
      </c>
      <c r="C27" s="275"/>
      <c r="D27" s="264">
        <v>5029970</v>
      </c>
    </row>
    <row r="28" spans="2:4" ht="17.25">
      <c r="B28" s="134"/>
      <c r="C28" s="276"/>
      <c r="D28" s="53"/>
    </row>
    <row r="29" spans="2:4" ht="17.25">
      <c r="B29" s="134"/>
      <c r="C29" s="276"/>
      <c r="D29" s="53"/>
    </row>
    <row r="30" spans="2:4" ht="17.25">
      <c r="B30" s="134"/>
      <c r="C30" s="276"/>
      <c r="D30" s="53"/>
    </row>
    <row r="31" spans="2:4" ht="18" thickBot="1">
      <c r="B31" s="3"/>
      <c r="C31" s="276" t="s">
        <v>158</v>
      </c>
      <c r="D31" s="53"/>
    </row>
    <row r="32" spans="2:4" ht="18">
      <c r="B32" s="191" t="s">
        <v>213</v>
      </c>
      <c r="C32" s="277"/>
      <c r="D32" s="192">
        <v>192120.71772460939</v>
      </c>
    </row>
    <row r="33" spans="2:4" ht="18.75" thickBot="1">
      <c r="B33" s="193" t="s">
        <v>182</v>
      </c>
      <c r="C33" s="278"/>
      <c r="D33" s="194">
        <v>970044.571</v>
      </c>
    </row>
    <row r="34" spans="2:4" ht="18.75" thickBot="1">
      <c r="B34" s="195" t="s">
        <v>114</v>
      </c>
      <c r="C34" s="279"/>
      <c r="D34" s="280">
        <v>1162165.2887246094</v>
      </c>
    </row>
    <row r="35" spans="2:4" ht="18">
      <c r="B35" s="219"/>
      <c r="C35" s="219"/>
      <c r="D35" s="220"/>
    </row>
    <row r="40" spans="2:4" ht="17.25">
      <c r="B40" s="4" t="s">
        <v>245</v>
      </c>
      <c r="D40" s="4" t="s">
        <v>160</v>
      </c>
    </row>
  </sheetData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32"/>
  <sheetViews>
    <sheetView workbookViewId="0">
      <selection activeCell="J9" sqref="J9"/>
    </sheetView>
  </sheetViews>
  <sheetFormatPr defaultRowHeight="17.25"/>
  <cols>
    <col min="1" max="1" width="9.140625" style="4"/>
    <col min="2" max="2" width="22.7109375" style="4" customWidth="1"/>
    <col min="3" max="3" width="17.140625" style="4" bestFit="1" customWidth="1"/>
    <col min="4" max="16384" width="9.140625" style="4"/>
  </cols>
  <sheetData>
    <row r="7" spans="2:8">
      <c r="B7" s="4" t="s">
        <v>413</v>
      </c>
      <c r="C7" s="4">
        <v>600286842</v>
      </c>
      <c r="D7" s="4">
        <v>1558</v>
      </c>
    </row>
    <row r="8" spans="2:8">
      <c r="B8" s="4" t="s">
        <v>414</v>
      </c>
      <c r="C8" s="4">
        <v>302155783</v>
      </c>
      <c r="D8" s="4">
        <v>3717</v>
      </c>
    </row>
    <row r="9" spans="2:8">
      <c r="B9" s="4" t="s">
        <v>415</v>
      </c>
      <c r="C9" s="4">
        <v>302725557</v>
      </c>
      <c r="D9" s="4">
        <v>3668</v>
      </c>
    </row>
    <row r="10" spans="2:8">
      <c r="B10" s="4" t="s">
        <v>416</v>
      </c>
      <c r="C10" s="4">
        <v>300755428</v>
      </c>
      <c r="D10" s="4">
        <v>1704</v>
      </c>
      <c r="E10" s="4">
        <v>406</v>
      </c>
      <c r="F10" s="4">
        <v>986</v>
      </c>
      <c r="H10" s="4">
        <v>508</v>
      </c>
    </row>
    <row r="11" spans="2:8">
      <c r="B11" s="4" t="s">
        <v>417</v>
      </c>
      <c r="C11" s="4">
        <v>302850583</v>
      </c>
      <c r="D11" s="4">
        <v>3864</v>
      </c>
      <c r="H11" s="4">
        <v>1056</v>
      </c>
    </row>
    <row r="12" spans="2:8">
      <c r="B12" s="4" t="s">
        <v>418</v>
      </c>
      <c r="C12" s="4">
        <v>300254031</v>
      </c>
      <c r="D12" s="4">
        <v>2332</v>
      </c>
      <c r="H12" s="4">
        <v>1486</v>
      </c>
    </row>
    <row r="13" spans="2:8">
      <c r="B13" s="4" t="s">
        <v>419</v>
      </c>
      <c r="C13" s="4">
        <v>301383149</v>
      </c>
      <c r="D13" s="4">
        <v>212</v>
      </c>
      <c r="E13" s="4">
        <v>110</v>
      </c>
    </row>
    <row r="14" spans="2:8">
      <c r="B14" s="4" t="s">
        <v>420</v>
      </c>
      <c r="C14" s="4">
        <v>304705496</v>
      </c>
      <c r="E14" s="4">
        <v>998</v>
      </c>
    </row>
    <row r="15" spans="2:8">
      <c r="B15" s="4" t="s">
        <v>421</v>
      </c>
      <c r="C15" s="4">
        <v>302151125</v>
      </c>
      <c r="E15" s="4">
        <v>593</v>
      </c>
      <c r="F15" s="4">
        <v>1272</v>
      </c>
    </row>
    <row r="16" spans="2:8">
      <c r="B16" s="4" t="s">
        <v>422</v>
      </c>
      <c r="E16" s="4">
        <v>450</v>
      </c>
    </row>
    <row r="17" spans="2:8">
      <c r="B17" s="4" t="s">
        <v>423</v>
      </c>
      <c r="C17" s="4">
        <v>301503932</v>
      </c>
      <c r="D17" s="4">
        <v>2295</v>
      </c>
    </row>
    <row r="18" spans="2:8">
      <c r="C18" s="4">
        <v>300098817</v>
      </c>
      <c r="F18" s="4">
        <v>1133</v>
      </c>
    </row>
    <row r="19" spans="2:8">
      <c r="B19" s="4" t="s">
        <v>424</v>
      </c>
      <c r="C19" s="4">
        <v>300472497</v>
      </c>
      <c r="F19" s="4">
        <v>936</v>
      </c>
      <c r="G19" s="4">
        <v>4575</v>
      </c>
      <c r="H19" s="4">
        <v>777</v>
      </c>
    </row>
    <row r="20" spans="2:8">
      <c r="B20" s="4" t="s">
        <v>425</v>
      </c>
      <c r="C20" s="4">
        <v>603279339</v>
      </c>
      <c r="F20" s="4">
        <v>2001</v>
      </c>
    </row>
    <row r="21" spans="2:8">
      <c r="B21" s="4" t="s">
        <v>426</v>
      </c>
      <c r="C21" s="4">
        <v>305104935</v>
      </c>
      <c r="F21" s="4">
        <v>3473</v>
      </c>
    </row>
    <row r="22" spans="2:8">
      <c r="B22" s="4" t="s">
        <v>427</v>
      </c>
      <c r="C22" s="4">
        <v>303865423</v>
      </c>
      <c r="F22" s="4">
        <v>3346</v>
      </c>
      <c r="G22" s="4">
        <v>300</v>
      </c>
    </row>
    <row r="23" spans="2:8">
      <c r="B23" s="4" t="s">
        <v>428</v>
      </c>
      <c r="C23" s="4">
        <v>603333866</v>
      </c>
      <c r="G23" s="4">
        <v>2254</v>
      </c>
    </row>
    <row r="24" spans="2:8">
      <c r="B24" s="4" t="s">
        <v>429</v>
      </c>
      <c r="C24" s="4">
        <v>302990469</v>
      </c>
      <c r="G24" s="4">
        <v>4500</v>
      </c>
      <c r="H24" s="4">
        <v>94</v>
      </c>
    </row>
    <row r="25" spans="2:8">
      <c r="B25" s="4" t="s">
        <v>430</v>
      </c>
      <c r="C25" s="4">
        <v>607258776</v>
      </c>
      <c r="H25" s="4">
        <v>3114</v>
      </c>
    </row>
    <row r="26" spans="2:8">
      <c r="B26" s="4" t="s">
        <v>431</v>
      </c>
      <c r="C26" s="4">
        <v>301382281</v>
      </c>
      <c r="H26" s="4">
        <v>4646</v>
      </c>
    </row>
    <row r="27" spans="2:8">
      <c r="B27" s="4" t="s">
        <v>432</v>
      </c>
      <c r="C27" s="4">
        <v>300253951</v>
      </c>
      <c r="H27" s="4">
        <v>3435</v>
      </c>
    </row>
    <row r="28" spans="2:8">
      <c r="B28" s="4" t="s">
        <v>433</v>
      </c>
      <c r="C28" s="4">
        <v>303707431</v>
      </c>
      <c r="H28" s="4">
        <v>18483</v>
      </c>
    </row>
    <row r="29" spans="2:8">
      <c r="B29" s="4" t="s">
        <v>434</v>
      </c>
      <c r="C29" s="4">
        <v>301326513</v>
      </c>
      <c r="H29" s="4">
        <v>4142</v>
      </c>
    </row>
    <row r="30" spans="2:8">
      <c r="B30" s="4" t="s">
        <v>435</v>
      </c>
      <c r="C30" s="4">
        <v>301643207</v>
      </c>
      <c r="H30" s="4">
        <v>2307</v>
      </c>
    </row>
    <row r="31" spans="2:8">
      <c r="B31" s="4" t="s">
        <v>436</v>
      </c>
      <c r="C31" s="4">
        <v>305349121</v>
      </c>
      <c r="H31" s="4">
        <v>3563</v>
      </c>
    </row>
    <row r="32" spans="2:8">
      <c r="C32" s="4">
        <v>601571846</v>
      </c>
      <c r="H32" s="4">
        <v>5417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0"/>
  <sheetViews>
    <sheetView topLeftCell="A22" workbookViewId="0">
      <selection activeCell="D29" sqref="D29:D34"/>
    </sheetView>
  </sheetViews>
  <sheetFormatPr defaultRowHeight="15"/>
  <cols>
    <col min="2" max="4" width="10.7109375" bestFit="1" customWidth="1"/>
    <col min="5" max="6" width="9.28515625" bestFit="1" customWidth="1"/>
  </cols>
  <sheetData>
    <row r="3" spans="2:12" ht="17.25">
      <c r="B3" s="55">
        <v>11111</v>
      </c>
      <c r="C3" s="55">
        <v>11112</v>
      </c>
      <c r="D3" s="55">
        <v>11211</v>
      </c>
      <c r="E3" s="55">
        <v>11131</v>
      </c>
      <c r="F3" s="55">
        <v>11123</v>
      </c>
    </row>
    <row r="4" spans="2:12" ht="17.25">
      <c r="B4" s="55">
        <v>7500</v>
      </c>
      <c r="C4" s="55">
        <v>18694</v>
      </c>
      <c r="D4" s="55">
        <v>70000</v>
      </c>
      <c r="E4" s="55">
        <v>30000</v>
      </c>
      <c r="F4" s="55">
        <v>986</v>
      </c>
    </row>
    <row r="5" spans="2:12" ht="17.25">
      <c r="B5" s="55">
        <v>4927</v>
      </c>
      <c r="C5" s="55">
        <v>20250</v>
      </c>
      <c r="D5" s="55">
        <v>2112</v>
      </c>
      <c r="E5" s="55"/>
      <c r="F5" s="55">
        <v>406</v>
      </c>
    </row>
    <row r="6" spans="2:12" ht="17.25">
      <c r="B6" s="55">
        <v>45519</v>
      </c>
      <c r="C6" s="55">
        <v>189000</v>
      </c>
      <c r="D6" s="55"/>
      <c r="E6" s="55"/>
      <c r="F6" s="55">
        <v>1704</v>
      </c>
      <c r="K6">
        <f>70000/0.99</f>
        <v>70707.070707070714</v>
      </c>
    </row>
    <row r="7" spans="2:12" ht="17.25">
      <c r="B7" s="55">
        <v>5766</v>
      </c>
      <c r="C7" s="55">
        <v>50652</v>
      </c>
      <c r="D7" s="55">
        <v>16134</v>
      </c>
      <c r="E7" s="55"/>
      <c r="F7" s="55"/>
      <c r="K7">
        <f>70000/100*99</f>
        <v>69300</v>
      </c>
      <c r="L7">
        <f>69300*100</f>
        <v>6930000</v>
      </c>
    </row>
    <row r="8" spans="2:12" ht="17.25">
      <c r="B8" s="55">
        <v>45519</v>
      </c>
      <c r="C8" s="55">
        <v>189000</v>
      </c>
      <c r="D8" s="55">
        <v>57482</v>
      </c>
      <c r="E8" s="55"/>
      <c r="F8" s="55"/>
    </row>
    <row r="9" spans="2:12" ht="17.25">
      <c r="B9" s="55">
        <v>5766</v>
      </c>
      <c r="C9" s="55">
        <v>34099</v>
      </c>
      <c r="D9" s="55">
        <v>30000</v>
      </c>
      <c r="E9" s="55"/>
      <c r="F9" s="55"/>
    </row>
    <row r="10" spans="2:12" ht="17.25">
      <c r="B10" s="55">
        <v>13871</v>
      </c>
      <c r="C10" s="55">
        <v>20250</v>
      </c>
      <c r="D10" s="55">
        <v>14003</v>
      </c>
      <c r="E10" s="55"/>
      <c r="F10" s="55"/>
    </row>
    <row r="11" spans="2:12" ht="17.25">
      <c r="B11" s="55">
        <v>1645</v>
      </c>
      <c r="C11" s="55">
        <v>5700</v>
      </c>
      <c r="D11" s="55"/>
      <c r="E11" s="55"/>
      <c r="F11" s="55"/>
    </row>
    <row r="12" spans="2:12" ht="17.25">
      <c r="B12" s="55">
        <v>21204</v>
      </c>
      <c r="C12" s="55"/>
      <c r="D12" s="55"/>
      <c r="E12" s="55"/>
      <c r="F12" s="55"/>
    </row>
    <row r="13" spans="2:12" ht="17.25">
      <c r="B13" s="55">
        <v>1830</v>
      </c>
      <c r="C13" s="55">
        <v>10800</v>
      </c>
      <c r="D13" s="55"/>
      <c r="E13" s="55"/>
      <c r="F13" s="55"/>
    </row>
    <row r="14" spans="2:12" ht="17.25">
      <c r="B14" s="55">
        <v>2694</v>
      </c>
      <c r="C14" s="55"/>
      <c r="D14" s="55"/>
      <c r="E14" s="55"/>
      <c r="F14" s="55"/>
    </row>
    <row r="15" spans="2:12" ht="17.25">
      <c r="B15" s="55">
        <v>2171</v>
      </c>
      <c r="C15" s="55"/>
      <c r="D15" s="55"/>
      <c r="E15" s="55"/>
      <c r="F15" s="55"/>
    </row>
    <row r="16" spans="2:12" ht="17.25">
      <c r="B16" s="55">
        <v>7397</v>
      </c>
      <c r="C16" s="55"/>
      <c r="D16" s="55"/>
      <c r="E16" s="55"/>
      <c r="F16" s="55"/>
    </row>
    <row r="17" spans="2:7" ht="17.25">
      <c r="B17" s="55">
        <v>2098</v>
      </c>
      <c r="C17" s="55"/>
      <c r="D17" s="55"/>
      <c r="E17" s="55"/>
      <c r="F17" s="55"/>
    </row>
    <row r="18" spans="2:7" ht="17.25">
      <c r="B18" s="55">
        <v>9609</v>
      </c>
      <c r="C18" s="55"/>
      <c r="D18" s="55"/>
      <c r="E18" s="55"/>
      <c r="F18" s="55"/>
    </row>
    <row r="19" spans="2:7" ht="17.25">
      <c r="B19" s="55">
        <v>9348</v>
      </c>
      <c r="C19" s="55"/>
      <c r="D19" s="55"/>
      <c r="E19" s="55"/>
      <c r="F19" s="55"/>
    </row>
    <row r="20" spans="2:7" ht="17.25">
      <c r="B20" s="55"/>
      <c r="C20" s="55"/>
      <c r="D20" s="55"/>
      <c r="E20" s="55"/>
      <c r="F20" s="55"/>
    </row>
    <row r="21" spans="2:7" ht="17.25">
      <c r="B21" s="55">
        <v>186864</v>
      </c>
      <c r="C21" s="55">
        <v>538445</v>
      </c>
      <c r="D21" s="55">
        <v>189731</v>
      </c>
      <c r="E21" s="55">
        <v>30000</v>
      </c>
      <c r="F21" s="55">
        <v>3096</v>
      </c>
    </row>
    <row r="22" spans="2:7">
      <c r="C22">
        <v>-20045</v>
      </c>
    </row>
    <row r="26" spans="2:7" ht="15.75" thickBot="1"/>
    <row r="27" spans="2:7" ht="15.75" thickBot="1">
      <c r="B27" s="382">
        <v>11111</v>
      </c>
      <c r="C27" s="200">
        <v>11112</v>
      </c>
      <c r="D27" s="200">
        <v>11211</v>
      </c>
      <c r="E27" s="200">
        <v>11131</v>
      </c>
      <c r="F27" s="200">
        <v>11123</v>
      </c>
      <c r="G27" s="383"/>
    </row>
    <row r="28" spans="2:7">
      <c r="B28" s="390">
        <v>7500</v>
      </c>
      <c r="C28" s="392">
        <v>18694</v>
      </c>
      <c r="D28" s="392">
        <v>70000</v>
      </c>
      <c r="E28" s="392">
        <v>30000</v>
      </c>
      <c r="F28" s="386">
        <v>986</v>
      </c>
      <c r="G28" s="387"/>
    </row>
    <row r="29" spans="2:7">
      <c r="B29" s="391">
        <v>4927</v>
      </c>
      <c r="C29" s="393">
        <v>20250</v>
      </c>
      <c r="D29" s="393">
        <v>2112</v>
      </c>
      <c r="E29" s="393"/>
      <c r="F29" s="393">
        <v>406</v>
      </c>
      <c r="G29" s="384"/>
    </row>
    <row r="30" spans="2:7">
      <c r="B30" s="391">
        <v>45519</v>
      </c>
      <c r="C30" s="393">
        <v>189000</v>
      </c>
      <c r="D30" s="393"/>
      <c r="E30" s="178"/>
      <c r="F30" s="178">
        <v>1704</v>
      </c>
      <c r="G30" s="384"/>
    </row>
    <row r="31" spans="2:7">
      <c r="B31" s="391">
        <v>5766</v>
      </c>
      <c r="C31" s="393"/>
      <c r="D31" s="393">
        <v>16134</v>
      </c>
      <c r="E31" s="178"/>
      <c r="F31" s="178"/>
      <c r="G31" s="384"/>
    </row>
    <row r="32" spans="2:7">
      <c r="B32" s="239">
        <v>45519</v>
      </c>
      <c r="C32" s="393">
        <v>189000</v>
      </c>
      <c r="D32" s="393">
        <v>57482</v>
      </c>
      <c r="E32" s="178"/>
      <c r="F32" s="178"/>
      <c r="G32" s="384"/>
    </row>
    <row r="33" spans="2:7">
      <c r="B33" s="239">
        <v>5766</v>
      </c>
      <c r="C33" s="393">
        <v>34099</v>
      </c>
      <c r="D33" s="178">
        <v>30000</v>
      </c>
      <c r="E33" s="178"/>
      <c r="F33" s="178"/>
      <c r="G33" s="384">
        <v>50652</v>
      </c>
    </row>
    <row r="34" spans="2:7">
      <c r="B34" s="391">
        <v>13871</v>
      </c>
      <c r="C34" s="393">
        <v>20250</v>
      </c>
      <c r="D34" s="178">
        <v>14003</v>
      </c>
      <c r="E34" s="178"/>
      <c r="F34" s="178"/>
      <c r="G34" s="384"/>
    </row>
    <row r="35" spans="2:7">
      <c r="B35" s="391">
        <v>1645</v>
      </c>
      <c r="C35" s="393">
        <v>5700</v>
      </c>
      <c r="D35" s="178"/>
      <c r="E35" s="178"/>
      <c r="F35" s="178"/>
      <c r="G35" s="384"/>
    </row>
    <row r="36" spans="2:7">
      <c r="B36" s="391">
        <v>21204</v>
      </c>
      <c r="C36" s="178"/>
      <c r="D36" s="393"/>
      <c r="E36" s="178"/>
      <c r="F36" s="178"/>
      <c r="G36" s="384"/>
    </row>
    <row r="37" spans="2:7">
      <c r="B37" s="391">
        <v>1830</v>
      </c>
      <c r="C37" s="178">
        <v>10800</v>
      </c>
      <c r="D37" s="393"/>
      <c r="E37" s="178"/>
      <c r="F37" s="178"/>
      <c r="G37" s="384"/>
    </row>
    <row r="38" spans="2:7">
      <c r="B38" s="391">
        <v>2694</v>
      </c>
      <c r="C38" s="178"/>
      <c r="D38" s="178"/>
      <c r="E38" s="178"/>
      <c r="F38" s="178"/>
      <c r="G38" s="384"/>
    </row>
    <row r="39" spans="2:7">
      <c r="B39" s="391">
        <v>2171</v>
      </c>
      <c r="C39" s="178"/>
      <c r="D39" s="178"/>
      <c r="E39" s="178"/>
      <c r="F39" s="178"/>
      <c r="G39" s="384"/>
    </row>
    <row r="40" spans="2:7">
      <c r="B40" s="239">
        <v>7397</v>
      </c>
      <c r="C40" s="178"/>
      <c r="D40" s="178"/>
      <c r="E40" s="178"/>
      <c r="F40" s="178"/>
      <c r="G40" s="384"/>
    </row>
    <row r="41" spans="2:7">
      <c r="B41" s="391">
        <v>2098</v>
      </c>
      <c r="C41" s="178"/>
      <c r="D41" s="178"/>
      <c r="E41" s="178"/>
      <c r="F41" s="178"/>
      <c r="G41" s="384"/>
    </row>
    <row r="42" spans="2:7">
      <c r="B42" s="239">
        <v>9609</v>
      </c>
      <c r="C42" s="178"/>
      <c r="D42" s="178"/>
      <c r="E42" s="178"/>
      <c r="F42" s="178"/>
      <c r="G42" s="384"/>
    </row>
    <row r="43" spans="2:7">
      <c r="B43" s="239">
        <v>9348</v>
      </c>
      <c r="C43" s="178"/>
      <c r="D43" s="178"/>
      <c r="E43" s="178"/>
      <c r="F43" s="178"/>
      <c r="G43" s="384"/>
    </row>
    <row r="44" spans="2:7">
      <c r="B44" s="239"/>
      <c r="C44" s="178"/>
      <c r="D44" s="178"/>
      <c r="E44" s="178"/>
      <c r="F44" s="178"/>
      <c r="G44" s="384"/>
    </row>
    <row r="45" spans="2:7" ht="15.75" thickBot="1">
      <c r="B45" s="224">
        <f>SUM(B28:B44)</f>
        <v>186864</v>
      </c>
      <c r="C45" s="225">
        <f>SUM(C28:C44)</f>
        <v>487793</v>
      </c>
      <c r="D45" s="225">
        <f>SUM(D28:D44)</f>
        <v>189731</v>
      </c>
      <c r="E45" s="225">
        <f>SUM(E28:E44)</f>
        <v>30000</v>
      </c>
      <c r="F45" s="225">
        <f>SUM(F28:F44)</f>
        <v>3096</v>
      </c>
      <c r="G45" s="385"/>
    </row>
    <row r="46" spans="2:7">
      <c r="C46" t="e">
        <f>'pl Annex'!#REF!-C45</f>
        <v>#REF!</v>
      </c>
    </row>
    <row r="47" spans="2:7">
      <c r="B47">
        <f>D45/100*5</f>
        <v>9486.5499999999993</v>
      </c>
      <c r="F47">
        <v>70000</v>
      </c>
    </row>
    <row r="48" spans="2:7">
      <c r="B48">
        <f>B47*5/100</f>
        <v>474.32749999999999</v>
      </c>
      <c r="C48">
        <v>30000</v>
      </c>
      <c r="F48">
        <v>2112</v>
      </c>
    </row>
    <row r="49" spans="2:8">
      <c r="B49">
        <f>SUM(B47:B48)</f>
        <v>9960.8774999999987</v>
      </c>
      <c r="C49">
        <f>C45-C48</f>
        <v>457793</v>
      </c>
    </row>
    <row r="50" spans="2:8">
      <c r="F50">
        <v>16134</v>
      </c>
    </row>
    <row r="51" spans="2:8">
      <c r="B51">
        <f>D45+B47</f>
        <v>199217.55</v>
      </c>
      <c r="F51">
        <v>57482</v>
      </c>
    </row>
    <row r="52" spans="2:8">
      <c r="D52">
        <f>D45/105*100</f>
        <v>180696.19047619047</v>
      </c>
      <c r="E52">
        <f>D52*100</f>
        <v>18069619.047619049</v>
      </c>
      <c r="F52">
        <v>30000</v>
      </c>
    </row>
    <row r="53" spans="2:8">
      <c r="D53">
        <f>D52*5/100</f>
        <v>9034.8095238095248</v>
      </c>
      <c r="E53" t="e">
        <f>'pl Annex'!#REF!-E52</f>
        <v>#REF!</v>
      </c>
      <c r="F53">
        <v>14003</v>
      </c>
    </row>
    <row r="54" spans="2:8">
      <c r="D54">
        <f>D52+D53</f>
        <v>189731</v>
      </c>
    </row>
    <row r="57" spans="2:8">
      <c r="B57">
        <v>227241</v>
      </c>
      <c r="F57">
        <f>SUM(F47:F56)</f>
        <v>189731</v>
      </c>
    </row>
    <row r="58" spans="2:8">
      <c r="B58" s="53" t="e">
        <f>'pl Annex'!#REF!</f>
        <v>#REF!</v>
      </c>
    </row>
    <row r="59" spans="2:8">
      <c r="B59" s="53"/>
      <c r="C59" s="3"/>
      <c r="D59" s="3"/>
      <c r="E59" s="3"/>
      <c r="F59" s="3"/>
      <c r="G59" s="3"/>
      <c r="H59" s="3"/>
    </row>
    <row r="60" spans="2:8">
      <c r="B60" s="53" t="e">
        <f>B58-B57</f>
        <v>#REF!</v>
      </c>
      <c r="F60" t="e">
        <f>F58-'pl Annex'!#REF!</f>
        <v>#REF!</v>
      </c>
    </row>
    <row r="61" spans="2:8">
      <c r="B61" t="e">
        <f>B60*15/100</f>
        <v>#REF!</v>
      </c>
    </row>
    <row r="62" spans="2:8">
      <c r="B62" t="e">
        <f>B61-C45</f>
        <v>#REF!</v>
      </c>
    </row>
    <row r="67" spans="2:5">
      <c r="B67" s="53">
        <f>'pl Annex'!C140</f>
        <v>381027</v>
      </c>
      <c r="C67" s="53">
        <f>'pl Annex'!C141</f>
        <v>3151692</v>
      </c>
    </row>
    <row r="68" spans="2:5">
      <c r="B68" s="53">
        <f>'pl Annex'!C137</f>
        <v>651264</v>
      </c>
      <c r="C68" s="53">
        <f>'pl Annex'!C135</f>
        <v>11700</v>
      </c>
    </row>
    <row r="69" spans="2:5">
      <c r="B69" s="53">
        <f>'pl Annex'!C111</f>
        <v>3197004</v>
      </c>
      <c r="C69" s="53">
        <f>'pl Annex'!C88</f>
        <v>36000</v>
      </c>
    </row>
    <row r="70" spans="2:5">
      <c r="B70" s="53">
        <f>'pl Annex'!C97</f>
        <v>462000</v>
      </c>
      <c r="C70" s="53">
        <f>'pl Annex'!C75</f>
        <v>52561</v>
      </c>
    </row>
    <row r="71" spans="2:5">
      <c r="B71" s="53">
        <f>'pl Annex'!C59</f>
        <v>14281805</v>
      </c>
    </row>
    <row r="72" spans="2:5">
      <c r="B72" s="53">
        <f>SUM(B67:B71)</f>
        <v>18973100</v>
      </c>
      <c r="C72" s="53">
        <f>SUM(C67:C71)</f>
        <v>3251953</v>
      </c>
      <c r="D72">
        <f>C72*15/100</f>
        <v>487792.95</v>
      </c>
    </row>
    <row r="73" spans="2:5">
      <c r="E73" s="53">
        <f>B74-F58</f>
        <v>18973100</v>
      </c>
    </row>
    <row r="74" spans="2:5">
      <c r="B74" s="53">
        <f>SUM(B72)</f>
        <v>18973100</v>
      </c>
    </row>
    <row r="76" spans="2:5">
      <c r="D76">
        <v>487793.1</v>
      </c>
    </row>
    <row r="78" spans="2:5">
      <c r="D78">
        <f>D72-D76</f>
        <v>-0.1499999999650754</v>
      </c>
    </row>
    <row r="79" spans="2:5">
      <c r="D79">
        <f>D78/15*100</f>
        <v>-0.99999999976716947</v>
      </c>
    </row>
    <row r="80" spans="2:5">
      <c r="C80">
        <f>487793/15*100</f>
        <v>3251953.3333333335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7"/>
  <sheetViews>
    <sheetView workbookViewId="0">
      <selection activeCell="A2" sqref="A2:C40"/>
    </sheetView>
  </sheetViews>
  <sheetFormatPr defaultRowHeight="15"/>
  <cols>
    <col min="1" max="1" width="9" customWidth="1"/>
    <col min="2" max="2" width="50.140625" bestFit="1" customWidth="1"/>
    <col min="3" max="3" width="20.28515625" style="3" bestFit="1" customWidth="1"/>
    <col min="4" max="4" width="21.85546875" bestFit="1" customWidth="1"/>
    <col min="5" max="5" width="9.85546875" bestFit="1" customWidth="1"/>
  </cols>
  <sheetData>
    <row r="1" spans="1:4" s="3" customFormat="1"/>
    <row r="2" spans="1:4" ht="27">
      <c r="A2" s="606" t="s">
        <v>5</v>
      </c>
      <c r="B2" s="606"/>
      <c r="C2" s="606"/>
    </row>
    <row r="3" spans="1:4" ht="15.75">
      <c r="A3" s="637" t="s">
        <v>7</v>
      </c>
      <c r="B3" s="637"/>
      <c r="C3" s="637"/>
    </row>
    <row r="4" spans="1:4" ht="15.75">
      <c r="A4" s="637" t="s">
        <v>6</v>
      </c>
      <c r="B4" s="637"/>
      <c r="C4" s="637"/>
    </row>
    <row r="5" spans="1:4" ht="15.75">
      <c r="A5" s="638" t="s">
        <v>302</v>
      </c>
      <c r="B5" s="638"/>
      <c r="C5" s="638"/>
    </row>
    <row r="6" spans="1:4" s="3" customFormat="1" ht="18" thickBot="1">
      <c r="A6" s="485"/>
      <c r="B6" s="486"/>
      <c r="C6" s="486" t="s">
        <v>176</v>
      </c>
    </row>
    <row r="7" spans="1:4" s="3" customFormat="1" ht="18">
      <c r="A7" s="485"/>
      <c r="B7" s="479" t="s">
        <v>115</v>
      </c>
      <c r="C7" s="480" t="s">
        <v>233</v>
      </c>
    </row>
    <row r="8" spans="1:4" s="3" customFormat="1" ht="18">
      <c r="A8" s="485"/>
      <c r="B8" s="481" t="s">
        <v>155</v>
      </c>
      <c r="C8" s="482"/>
    </row>
    <row r="9" spans="1:4" ht="18">
      <c r="A9" s="485"/>
      <c r="B9" s="487" t="s">
        <v>272</v>
      </c>
      <c r="C9" s="488">
        <v>2342460</v>
      </c>
    </row>
    <row r="10" spans="1:4" s="3" customFormat="1" ht="18">
      <c r="A10" s="485"/>
      <c r="B10" s="487" t="s">
        <v>273</v>
      </c>
      <c r="C10" s="488">
        <v>7370768</v>
      </c>
    </row>
    <row r="11" spans="1:4" s="3" customFormat="1" ht="18">
      <c r="A11" s="485"/>
      <c r="B11" s="489" t="s">
        <v>275</v>
      </c>
      <c r="C11" s="488">
        <v>14039160</v>
      </c>
    </row>
    <row r="12" spans="1:4" s="3" customFormat="1" ht="18.75" thickBot="1">
      <c r="A12" s="485"/>
      <c r="B12" s="489" t="s">
        <v>276</v>
      </c>
      <c r="C12" s="488">
        <v>5000000</v>
      </c>
    </row>
    <row r="13" spans="1:4" s="3" customFormat="1" ht="18.75" thickBot="1">
      <c r="A13" s="485"/>
      <c r="B13" s="483" t="s">
        <v>114</v>
      </c>
      <c r="C13" s="484">
        <v>28752388</v>
      </c>
      <c r="D13" s="130"/>
    </row>
    <row r="14" spans="1:4" s="3" customFormat="1" ht="18.75" thickBot="1">
      <c r="A14" s="485"/>
      <c r="B14" s="363"/>
      <c r="C14" s="486" t="s">
        <v>176</v>
      </c>
    </row>
    <row r="15" spans="1:4" s="3" customFormat="1" ht="18">
      <c r="A15" s="485"/>
      <c r="B15" s="364" t="s">
        <v>156</v>
      </c>
      <c r="C15" s="369">
        <v>4000000</v>
      </c>
    </row>
    <row r="16" spans="1:4" ht="18.75" thickBot="1">
      <c r="A16" s="485"/>
      <c r="B16" s="360" t="s">
        <v>303</v>
      </c>
      <c r="C16" s="361"/>
    </row>
    <row r="17" spans="1:3" s="3" customFormat="1" ht="18.75" thickBot="1">
      <c r="A17" s="485"/>
      <c r="B17" s="365" t="s">
        <v>22</v>
      </c>
      <c r="C17" s="362">
        <v>4000000</v>
      </c>
    </row>
    <row r="18" spans="1:3" s="3" customFormat="1" ht="18.75" thickBot="1">
      <c r="A18" s="485"/>
      <c r="B18" s="366"/>
      <c r="C18" s="486" t="s">
        <v>176</v>
      </c>
    </row>
    <row r="19" spans="1:3" s="3" customFormat="1" ht="18">
      <c r="A19" s="485"/>
      <c r="B19" s="368" t="s">
        <v>62</v>
      </c>
      <c r="C19" s="369"/>
    </row>
    <row r="20" spans="1:3" ht="18.75" thickBot="1">
      <c r="A20" s="485"/>
      <c r="B20" s="360" t="s">
        <v>304</v>
      </c>
      <c r="C20" s="361">
        <v>27834530.760000002</v>
      </c>
    </row>
    <row r="21" spans="1:3" s="3" customFormat="1" ht="18.75" thickBot="1">
      <c r="A21" s="485"/>
      <c r="B21" s="365" t="s">
        <v>114</v>
      </c>
      <c r="C21" s="362">
        <v>27834530.760000002</v>
      </c>
    </row>
    <row r="22" spans="1:3" s="3" customFormat="1" ht="18">
      <c r="A22" s="485"/>
      <c r="B22" s="366"/>
      <c r="C22" s="367"/>
    </row>
    <row r="23" spans="1:3" s="3" customFormat="1" ht="18">
      <c r="A23" s="485"/>
      <c r="B23" s="371" t="s">
        <v>306</v>
      </c>
      <c r="C23" s="486" t="s">
        <v>176</v>
      </c>
    </row>
    <row r="24" spans="1:3" s="3" customFormat="1" ht="18.75" thickBot="1">
      <c r="A24" s="485"/>
      <c r="B24" s="366"/>
      <c r="C24" s="370"/>
    </row>
    <row r="25" spans="1:3" ht="18">
      <c r="A25" s="485"/>
      <c r="B25" s="372" t="s">
        <v>269</v>
      </c>
      <c r="C25" s="373">
        <v>5551366</v>
      </c>
    </row>
    <row r="26" spans="1:3" s="3" customFormat="1" ht="18.75" thickBot="1">
      <c r="A26" s="485"/>
      <c r="B26" s="491" t="s">
        <v>114</v>
      </c>
      <c r="C26" s="375">
        <v>5551366</v>
      </c>
    </row>
    <row r="27" spans="1:3" s="3" customFormat="1" ht="18">
      <c r="A27" s="485"/>
      <c r="B27" s="492"/>
      <c r="C27" s="492"/>
    </row>
    <row r="28" spans="1:3" s="3" customFormat="1" ht="18.75" thickBot="1">
      <c r="A28" s="485"/>
      <c r="B28" s="366" t="s">
        <v>238</v>
      </c>
      <c r="C28" s="492" t="s">
        <v>405</v>
      </c>
    </row>
    <row r="29" spans="1:3" s="3" customFormat="1" ht="18">
      <c r="A29" s="485"/>
      <c r="B29" s="493" t="s">
        <v>297</v>
      </c>
      <c r="C29" s="373">
        <v>711229</v>
      </c>
    </row>
    <row r="30" spans="1:3" s="3" customFormat="1" ht="18">
      <c r="A30" s="485"/>
      <c r="B30" s="490" t="s">
        <v>298</v>
      </c>
      <c r="C30" s="374">
        <v>71246</v>
      </c>
    </row>
    <row r="31" spans="1:3" s="3" customFormat="1" ht="18">
      <c r="A31" s="485"/>
      <c r="B31" s="490" t="s">
        <v>305</v>
      </c>
      <c r="C31" s="374">
        <v>52232.54</v>
      </c>
    </row>
    <row r="32" spans="1:3" s="3" customFormat="1" ht="18.75" thickBot="1">
      <c r="A32" s="485"/>
      <c r="B32" s="494" t="s">
        <v>307</v>
      </c>
      <c r="C32" s="375">
        <v>834707.54</v>
      </c>
    </row>
    <row r="33" spans="1:3" s="3" customFormat="1">
      <c r="A33" s="485"/>
      <c r="B33" s="495"/>
      <c r="C33" s="495"/>
    </row>
    <row r="34" spans="1:3" s="3" customFormat="1">
      <c r="A34" s="485"/>
      <c r="B34" s="495"/>
      <c r="C34" s="495"/>
    </row>
    <row r="35" spans="1:3" s="3" customFormat="1">
      <c r="A35" s="485"/>
      <c r="B35" s="495"/>
      <c r="C35" s="495"/>
    </row>
    <row r="36" spans="1:3" s="3" customFormat="1">
      <c r="A36" s="485"/>
      <c r="B36" s="495"/>
      <c r="C36" s="495"/>
    </row>
    <row r="37" spans="1:3" s="3" customFormat="1">
      <c r="A37" s="485"/>
      <c r="B37" s="495"/>
      <c r="C37" s="495"/>
    </row>
    <row r="38" spans="1:3" s="3" customFormat="1">
      <c r="A38" s="485"/>
      <c r="B38" s="495"/>
      <c r="C38" s="495"/>
    </row>
    <row r="39" spans="1:3" s="3" customFormat="1" ht="17.25">
      <c r="A39" s="485"/>
      <c r="B39" s="189" t="s">
        <v>406</v>
      </c>
      <c r="C39" s="190" t="s">
        <v>18</v>
      </c>
    </row>
    <row r="40" spans="1:3" s="3" customFormat="1" ht="17.25">
      <c r="B40" s="189"/>
      <c r="C40" s="190"/>
    </row>
    <row r="41" spans="1:3" s="3" customFormat="1" ht="17.25">
      <c r="B41" s="189"/>
      <c r="C41" s="190"/>
    </row>
    <row r="42" spans="1:3" s="3" customFormat="1" ht="17.25">
      <c r="B42" s="189"/>
      <c r="C42" s="190"/>
    </row>
    <row r="43" spans="1:3" s="3" customFormat="1" ht="27">
      <c r="A43" s="632" t="s">
        <v>5</v>
      </c>
      <c r="B43" s="632"/>
      <c r="C43" s="632"/>
    </row>
    <row r="44" spans="1:3" s="3" customFormat="1" ht="18">
      <c r="A44" s="634" t="s">
        <v>7</v>
      </c>
      <c r="B44" s="634"/>
      <c r="C44" s="634"/>
    </row>
    <row r="45" spans="1:3" s="3" customFormat="1" ht="15.75">
      <c r="A45" s="633" t="s">
        <v>6</v>
      </c>
      <c r="B45" s="633"/>
      <c r="C45" s="633"/>
    </row>
    <row r="46" spans="1:3" s="3" customFormat="1" ht="18">
      <c r="A46" s="635" t="s">
        <v>310</v>
      </c>
      <c r="B46" s="635"/>
      <c r="C46" s="635"/>
    </row>
    <row r="47" spans="1:3" s="3" customFormat="1" ht="18.75" thickBot="1">
      <c r="B47" s="153" t="s">
        <v>181</v>
      </c>
      <c r="C47" s="134" t="s">
        <v>176</v>
      </c>
    </row>
    <row r="48" spans="1:3" s="3" customFormat="1" ht="18">
      <c r="B48" s="496" t="s">
        <v>308</v>
      </c>
      <c r="C48" s="176">
        <v>28752388</v>
      </c>
    </row>
    <row r="49" spans="2:3" s="3" customFormat="1" ht="18">
      <c r="B49" s="292" t="s">
        <v>309</v>
      </c>
      <c r="C49" s="473">
        <v>4000000</v>
      </c>
    </row>
    <row r="50" spans="2:3" s="3" customFormat="1" ht="17.25">
      <c r="B50" s="152" t="s">
        <v>62</v>
      </c>
      <c r="C50" s="142">
        <v>27834530.760000002</v>
      </c>
    </row>
    <row r="51" spans="2:3" s="3" customFormat="1" ht="18" thickBot="1">
      <c r="B51" s="152" t="s">
        <v>252</v>
      </c>
      <c r="C51" s="142">
        <v>5551366</v>
      </c>
    </row>
    <row r="52" spans="2:3" s="3" customFormat="1" ht="18" thickBot="1">
      <c r="B52" s="221" t="s">
        <v>170</v>
      </c>
      <c r="C52" s="401">
        <f>SUM(C48:C51)</f>
        <v>66138284.760000005</v>
      </c>
    </row>
    <row r="53" spans="2:3" s="3" customFormat="1">
      <c r="B53" s="143"/>
      <c r="C53" s="143"/>
    </row>
    <row r="54" spans="2:3" s="3" customFormat="1">
      <c r="B54" s="143"/>
      <c r="C54" s="143"/>
    </row>
    <row r="55" spans="2:3" s="3" customFormat="1">
      <c r="B55" s="143"/>
      <c r="C55" s="143"/>
    </row>
    <row r="56" spans="2:3" s="3" customFormat="1">
      <c r="B56" s="143"/>
      <c r="C56" s="143"/>
    </row>
    <row r="57" spans="2:3" s="3" customFormat="1" ht="16.5" thickBot="1">
      <c r="B57" s="137" t="s">
        <v>157</v>
      </c>
      <c r="C57" s="136" t="s">
        <v>178</v>
      </c>
    </row>
    <row r="58" spans="2:3" s="3" customFormat="1" ht="15.75" thickBot="1">
      <c r="B58" s="475" t="s">
        <v>115</v>
      </c>
      <c r="C58" s="476" t="s">
        <v>232</v>
      </c>
    </row>
    <row r="59" spans="2:3" s="3" customFormat="1" ht="17.25">
      <c r="B59" s="477" t="s">
        <v>382</v>
      </c>
      <c r="C59" s="474">
        <v>14281805</v>
      </c>
    </row>
    <row r="60" spans="2:3" s="3" customFormat="1" ht="17.25">
      <c r="B60" s="223" t="s">
        <v>51</v>
      </c>
      <c r="C60" s="6">
        <v>100000</v>
      </c>
    </row>
    <row r="61" spans="2:3" s="3" customFormat="1" ht="17.25">
      <c r="B61" s="223" t="s">
        <v>54</v>
      </c>
      <c r="C61" s="6">
        <v>57851.53</v>
      </c>
    </row>
    <row r="62" spans="2:3" s="3" customFormat="1" ht="17.25">
      <c r="B62" s="223" t="s">
        <v>195</v>
      </c>
      <c r="C62" s="6">
        <v>99996</v>
      </c>
    </row>
    <row r="63" spans="2:3" s="3" customFormat="1" ht="17.25">
      <c r="B63" s="223" t="s">
        <v>55</v>
      </c>
      <c r="C63" s="6">
        <v>1120777</v>
      </c>
    </row>
    <row r="64" spans="2:3" s="3" customFormat="1" ht="17.25">
      <c r="B64" s="223" t="s">
        <v>52</v>
      </c>
      <c r="C64" s="6">
        <v>428757</v>
      </c>
    </row>
    <row r="65" spans="2:3" s="3" customFormat="1" ht="17.25">
      <c r="B65" s="223" t="s">
        <v>196</v>
      </c>
      <c r="C65" s="6">
        <v>2345108</v>
      </c>
    </row>
    <row r="66" spans="2:3" s="3" customFormat="1" ht="17.25">
      <c r="B66" s="223" t="s">
        <v>197</v>
      </c>
      <c r="C66" s="6">
        <v>798575</v>
      </c>
    </row>
    <row r="67" spans="2:3" s="3" customFormat="1" ht="17.25">
      <c r="B67" s="223" t="s">
        <v>27</v>
      </c>
      <c r="C67" s="6">
        <v>35443</v>
      </c>
    </row>
    <row r="68" spans="2:3" s="3" customFormat="1" ht="17.25">
      <c r="B68" s="223" t="s">
        <v>199</v>
      </c>
      <c r="C68" s="6">
        <v>22500</v>
      </c>
    </row>
    <row r="69" spans="2:3" s="3" customFormat="1" ht="17.25">
      <c r="B69" s="223" t="s">
        <v>200</v>
      </c>
      <c r="C69" s="6">
        <v>155282</v>
      </c>
    </row>
    <row r="70" spans="2:3" s="3" customFormat="1" ht="17.25">
      <c r="B70" s="223" t="s">
        <v>201</v>
      </c>
      <c r="C70" s="6">
        <v>29000</v>
      </c>
    </row>
    <row r="71" spans="2:3" s="3" customFormat="1" ht="17.25">
      <c r="B71" s="223" t="s">
        <v>19</v>
      </c>
      <c r="C71" s="6">
        <v>260437</v>
      </c>
    </row>
    <row r="72" spans="2:3" s="3" customFormat="1" ht="17.25">
      <c r="B72" s="223" t="s">
        <v>383</v>
      </c>
      <c r="C72" s="6">
        <v>268764</v>
      </c>
    </row>
    <row r="73" spans="2:3" s="3" customFormat="1" ht="17.25">
      <c r="B73" s="223" t="s">
        <v>202</v>
      </c>
      <c r="C73" s="6">
        <v>5000</v>
      </c>
    </row>
    <row r="74" spans="2:3" s="3" customFormat="1" ht="17.25">
      <c r="B74" s="223" t="s">
        <v>57</v>
      </c>
      <c r="C74" s="6">
        <v>188000</v>
      </c>
    </row>
    <row r="75" spans="2:3" ht="17.25">
      <c r="B75" s="223" t="s">
        <v>203</v>
      </c>
      <c r="C75" s="6">
        <f>5087+47474</f>
        <v>52561</v>
      </c>
    </row>
    <row r="76" spans="2:3" s="3" customFormat="1" ht="17.25">
      <c r="B76" s="223" t="s">
        <v>56</v>
      </c>
      <c r="C76" s="6">
        <f>438921-5087</f>
        <v>433834</v>
      </c>
    </row>
    <row r="77" spans="2:3" s="3" customFormat="1" ht="18" thickBot="1">
      <c r="B77" s="478" t="s">
        <v>204</v>
      </c>
      <c r="C77" s="399">
        <v>79350</v>
      </c>
    </row>
    <row r="78" spans="2:3" s="3" customFormat="1" ht="18" thickBot="1">
      <c r="B78" s="400" t="s">
        <v>22</v>
      </c>
      <c r="C78" s="401">
        <f>SUM(C59:C77)</f>
        <v>20763040.530000001</v>
      </c>
    </row>
    <row r="79" spans="2:3" s="3" customFormat="1" ht="17.25">
      <c r="B79" s="134"/>
      <c r="C79" s="132"/>
    </row>
    <row r="80" spans="2:3" s="3" customFormat="1" ht="17.25">
      <c r="B80" s="134"/>
      <c r="C80" s="132"/>
    </row>
    <row r="81" spans="2:4" s="3" customFormat="1" ht="17.25">
      <c r="B81" s="4"/>
      <c r="C81" s="4"/>
      <c r="D81" s="4"/>
    </row>
    <row r="82" spans="2:4" s="3" customFormat="1" ht="17.25">
      <c r="B82" s="4" t="s">
        <v>245</v>
      </c>
      <c r="C82" s="4" t="s">
        <v>160</v>
      </c>
    </row>
    <row r="83" spans="2:4" s="3" customFormat="1" ht="17.25">
      <c r="B83" s="4"/>
      <c r="C83" s="4"/>
    </row>
    <row r="84" spans="2:4" s="3" customFormat="1" ht="17.25">
      <c r="B84" s="4"/>
      <c r="C84" s="4"/>
    </row>
    <row r="85" spans="2:4" s="3" customFormat="1" ht="17.25">
      <c r="B85" s="4"/>
      <c r="C85" s="4"/>
    </row>
    <row r="86" spans="2:4" ht="18" thickBot="1">
      <c r="B86" s="308" t="s">
        <v>159</v>
      </c>
      <c r="C86" s="136" t="s">
        <v>179</v>
      </c>
    </row>
    <row r="87" spans="2:4" ht="17.25">
      <c r="B87" s="246" t="s">
        <v>115</v>
      </c>
      <c r="C87" s="394" t="s">
        <v>11</v>
      </c>
    </row>
    <row r="88" spans="2:4" s="3" customFormat="1" ht="17.25">
      <c r="B88" s="452" t="s">
        <v>328</v>
      </c>
      <c r="C88" s="395">
        <v>36000</v>
      </c>
    </row>
    <row r="89" spans="2:4" ht="17.25">
      <c r="B89" s="397" t="s">
        <v>322</v>
      </c>
      <c r="C89" s="395">
        <f>5222.26+81832-0.26</f>
        <v>87054</v>
      </c>
    </row>
    <row r="90" spans="2:4" ht="17.25">
      <c r="B90" s="397" t="s">
        <v>19</v>
      </c>
      <c r="C90" s="395">
        <v>45000</v>
      </c>
    </row>
    <row r="91" spans="2:4" ht="17.25">
      <c r="B91" s="397" t="s">
        <v>52</v>
      </c>
      <c r="C91" s="395">
        <v>65120</v>
      </c>
    </row>
    <row r="92" spans="2:4" ht="17.25">
      <c r="B92" s="397" t="s">
        <v>50</v>
      </c>
      <c r="C92" s="395">
        <v>156200</v>
      </c>
    </row>
    <row r="93" spans="2:4" ht="17.25">
      <c r="B93" s="397" t="s">
        <v>329</v>
      </c>
      <c r="C93" s="395">
        <v>107856</v>
      </c>
    </row>
    <row r="94" spans="2:4" ht="17.25">
      <c r="B94" s="397" t="s">
        <v>330</v>
      </c>
      <c r="C94" s="395">
        <v>52500</v>
      </c>
    </row>
    <row r="95" spans="2:4" ht="17.25">
      <c r="B95" s="397" t="s">
        <v>20</v>
      </c>
      <c r="C95" s="395">
        <v>45000</v>
      </c>
      <c r="D95" s="388"/>
    </row>
    <row r="96" spans="2:4" ht="17.25">
      <c r="B96" s="397" t="s">
        <v>320</v>
      </c>
      <c r="C96" s="395">
        <v>197246</v>
      </c>
    </row>
    <row r="97" spans="2:4" s="3" customFormat="1" ht="17.25">
      <c r="B97" s="397" t="s">
        <v>207</v>
      </c>
      <c r="C97" s="395">
        <v>462000</v>
      </c>
    </row>
    <row r="98" spans="2:4" ht="17.25">
      <c r="B98" s="398" t="s">
        <v>271</v>
      </c>
      <c r="C98" s="396">
        <v>260000</v>
      </c>
      <c r="D98" s="389"/>
    </row>
    <row r="99" spans="2:4" s="3" customFormat="1" ht="17.25">
      <c r="B99" s="398" t="s">
        <v>325</v>
      </c>
      <c r="C99" s="396">
        <v>40645</v>
      </c>
      <c r="D99" s="389"/>
    </row>
    <row r="100" spans="2:4" s="3" customFormat="1" ht="17.25">
      <c r="B100" s="398" t="s">
        <v>326</v>
      </c>
      <c r="C100" s="396">
        <v>22000</v>
      </c>
      <c r="D100" s="389"/>
    </row>
    <row r="101" spans="2:4" s="3" customFormat="1" ht="17.25">
      <c r="B101" s="398" t="s">
        <v>53</v>
      </c>
      <c r="C101" s="396">
        <v>70155</v>
      </c>
      <c r="D101" s="389"/>
    </row>
    <row r="102" spans="2:4" s="3" customFormat="1" ht="17.25">
      <c r="B102" s="398" t="s">
        <v>327</v>
      </c>
      <c r="C102" s="396">
        <v>35000</v>
      </c>
      <c r="D102" s="389"/>
    </row>
    <row r="103" spans="2:4" s="3" customFormat="1" ht="17.25">
      <c r="B103" s="398" t="s">
        <v>323</v>
      </c>
      <c r="C103" s="396">
        <v>167121.81</v>
      </c>
    </row>
    <row r="104" spans="2:4" s="3" customFormat="1" ht="18" thickBot="1">
      <c r="B104" s="442" t="s">
        <v>324</v>
      </c>
      <c r="C104" s="443">
        <v>200000</v>
      </c>
      <c r="D104" s="53"/>
    </row>
    <row r="105" spans="2:4" s="3" customFormat="1" ht="18" thickBot="1">
      <c r="B105" s="444" t="s">
        <v>22</v>
      </c>
      <c r="C105" s="445">
        <f>SUM(C88:C104)</f>
        <v>2048897.81</v>
      </c>
    </row>
    <row r="106" spans="2:4" s="3" customFormat="1" ht="17.25">
      <c r="B106" s="162"/>
      <c r="C106" s="388"/>
    </row>
    <row r="107" spans="2:4" s="3" customFormat="1"/>
    <row r="108" spans="2:4" s="3" customFormat="1" ht="18">
      <c r="B108" s="138" t="s">
        <v>161</v>
      </c>
      <c r="C108" s="138"/>
    </row>
    <row r="109" spans="2:4" s="3" customFormat="1" ht="18.75" thickBot="1">
      <c r="B109" s="138"/>
      <c r="C109" s="136" t="s">
        <v>392</v>
      </c>
    </row>
    <row r="110" spans="2:4" s="3" customFormat="1" ht="18" thickBot="1">
      <c r="B110" s="245" t="s">
        <v>115</v>
      </c>
      <c r="C110" s="246" t="s">
        <v>11</v>
      </c>
    </row>
    <row r="111" spans="2:4" s="3" customFormat="1" ht="17.25">
      <c r="B111" s="222" t="s">
        <v>208</v>
      </c>
      <c r="C111" s="5">
        <v>3197004</v>
      </c>
    </row>
    <row r="112" spans="2:4" s="3" customFormat="1" ht="17.25">
      <c r="B112" s="223" t="s">
        <v>331</v>
      </c>
      <c r="C112" s="6">
        <v>75420</v>
      </c>
    </row>
    <row r="113" spans="2:3" s="3" customFormat="1" ht="17.25">
      <c r="B113" s="223" t="s">
        <v>45</v>
      </c>
      <c r="C113" s="6">
        <v>100000</v>
      </c>
    </row>
    <row r="114" spans="2:3" s="3" customFormat="1" ht="17.25">
      <c r="B114" s="223" t="s">
        <v>55</v>
      </c>
      <c r="C114" s="6">
        <v>205460.31</v>
      </c>
    </row>
    <row r="115" spans="2:3" s="3" customFormat="1" ht="17.25">
      <c r="B115" s="223" t="s">
        <v>46</v>
      </c>
      <c r="C115" s="6">
        <v>30132</v>
      </c>
    </row>
    <row r="116" spans="2:3" s="3" customFormat="1" ht="17.25">
      <c r="B116" s="223" t="s">
        <v>47</v>
      </c>
      <c r="C116" s="6">
        <v>120590</v>
      </c>
    </row>
    <row r="117" spans="2:3" s="3" customFormat="1" ht="17.25">
      <c r="B117" s="223" t="s">
        <v>48</v>
      </c>
      <c r="C117" s="6">
        <v>135542</v>
      </c>
    </row>
    <row r="118" spans="2:3" s="3" customFormat="1" ht="17.25">
      <c r="B118" s="223" t="s">
        <v>49</v>
      </c>
      <c r="C118" s="6">
        <v>135851</v>
      </c>
    </row>
    <row r="119" spans="2:3" s="3" customFormat="1" ht="17.25">
      <c r="B119" s="223"/>
      <c r="C119" s="6"/>
    </row>
    <row r="120" spans="2:3" s="3" customFormat="1" ht="18.75" thickBot="1">
      <c r="B120" s="247" t="s">
        <v>165</v>
      </c>
      <c r="C120" s="248">
        <f>SUM(C111:C119)</f>
        <v>3999999.31</v>
      </c>
    </row>
    <row r="121" spans="2:3" s="3" customFormat="1"/>
    <row r="122" spans="2:3" s="3" customFormat="1"/>
    <row r="123" spans="2:3" s="3" customFormat="1"/>
    <row r="124" spans="2:3" s="3" customFormat="1"/>
    <row r="125" spans="2:3" s="3" customFormat="1"/>
    <row r="126" spans="2:3" s="3" customFormat="1" ht="17.25">
      <c r="B126" s="4" t="s">
        <v>245</v>
      </c>
      <c r="C126" s="4" t="s">
        <v>160</v>
      </c>
    </row>
    <row r="127" spans="2:3" s="3" customFormat="1"/>
    <row r="129" spans="2:4" ht="18">
      <c r="B129" s="594" t="s">
        <v>390</v>
      </c>
      <c r="C129" s="594"/>
      <c r="D129" s="594"/>
    </row>
    <row r="130" spans="2:4" ht="16.5" thickBot="1">
      <c r="D130" s="136" t="s">
        <v>180</v>
      </c>
    </row>
    <row r="131" spans="2:4" ht="18" thickBot="1">
      <c r="B131" s="151" t="s">
        <v>274</v>
      </c>
      <c r="C131" s="176"/>
      <c r="D131" s="176">
        <v>2391493</v>
      </c>
    </row>
    <row r="132" spans="2:4" ht="17.25">
      <c r="B132" s="151" t="s">
        <v>50</v>
      </c>
      <c r="C132" s="270">
        <v>150000</v>
      </c>
      <c r="D132" s="176"/>
    </row>
    <row r="133" spans="2:4" ht="18" thickBot="1">
      <c r="B133" s="261" t="s">
        <v>67</v>
      </c>
      <c r="C133" s="271">
        <v>2241493</v>
      </c>
      <c r="D133" s="266"/>
    </row>
    <row r="134" spans="2:4" ht="18" thickBot="1">
      <c r="B134" s="261" t="s">
        <v>272</v>
      </c>
      <c r="C134" s="266"/>
      <c r="D134" s="266">
        <v>11700</v>
      </c>
    </row>
    <row r="135" spans="2:4" ht="18" thickBot="1">
      <c r="B135" s="152" t="s">
        <v>21</v>
      </c>
      <c r="C135" s="142">
        <v>11700</v>
      </c>
      <c r="D135" s="142"/>
    </row>
    <row r="136" spans="2:4" ht="18" thickBot="1">
      <c r="B136" s="400" t="s">
        <v>273</v>
      </c>
      <c r="C136" s="401"/>
      <c r="D136" s="401">
        <v>6371921.9700000007</v>
      </c>
    </row>
    <row r="137" spans="2:4" ht="17.25">
      <c r="B137" s="477" t="s">
        <v>207</v>
      </c>
      <c r="C137" s="474">
        <v>651264</v>
      </c>
      <c r="D137" s="474"/>
    </row>
    <row r="138" spans="2:4" ht="18" thickBot="1">
      <c r="B138" s="478" t="s">
        <v>67</v>
      </c>
      <c r="C138" s="399">
        <v>5720657.9699999997</v>
      </c>
      <c r="D138" s="399"/>
    </row>
    <row r="139" spans="2:4" ht="18" thickBot="1">
      <c r="B139" s="400" t="s">
        <v>275</v>
      </c>
      <c r="C139" s="401"/>
      <c r="D139" s="401">
        <v>9285885</v>
      </c>
    </row>
    <row r="140" spans="2:4" s="3" customFormat="1" ht="17.25">
      <c r="B140" s="477" t="s">
        <v>208</v>
      </c>
      <c r="C140" s="474">
        <f>304308+76718+1</f>
        <v>381027</v>
      </c>
      <c r="D140" s="474"/>
    </row>
    <row r="141" spans="2:4" ht="17.25">
      <c r="B141" s="223" t="s">
        <v>21</v>
      </c>
      <c r="C141" s="6">
        <f>3456000-304308</f>
        <v>3151692</v>
      </c>
      <c r="D141" s="6"/>
    </row>
    <row r="142" spans="2:4" ht="17.25">
      <c r="B142" s="223" t="s">
        <v>50</v>
      </c>
      <c r="C142" s="6">
        <v>62350</v>
      </c>
      <c r="D142" s="6"/>
    </row>
    <row r="143" spans="2:4" ht="17.25">
      <c r="B143" s="223" t="s">
        <v>193</v>
      </c>
      <c r="C143" s="6">
        <v>5219535</v>
      </c>
      <c r="D143" s="6"/>
    </row>
    <row r="144" spans="2:4" ht="18" thickBot="1">
      <c r="B144" s="478" t="s">
        <v>277</v>
      </c>
      <c r="C144" s="399">
        <v>548000</v>
      </c>
      <c r="D144" s="399"/>
    </row>
    <row r="145" spans="1:5" s="3" customFormat="1" ht="18" thickBot="1">
      <c r="A145" s="57"/>
      <c r="B145" s="185" t="s">
        <v>243</v>
      </c>
      <c r="C145" s="331"/>
      <c r="D145" s="187">
        <f>SUM(D131:D144)</f>
        <v>18060999.969999999</v>
      </c>
      <c r="E145" s="57"/>
    </row>
    <row r="146" spans="1:5" s="3" customFormat="1" ht="17.25">
      <c r="A146" s="57"/>
      <c r="B146" s="134"/>
      <c r="C146" s="132"/>
      <c r="D146" s="132"/>
      <c r="E146" s="57"/>
    </row>
    <row r="147" spans="1:5" s="3" customFormat="1" ht="18" thickBot="1">
      <c r="A147" s="57"/>
      <c r="B147" s="134"/>
      <c r="C147" s="132"/>
      <c r="D147" s="136" t="s">
        <v>398</v>
      </c>
      <c r="E147" s="57"/>
    </row>
    <row r="148" spans="1:5" s="3" customFormat="1" ht="18" thickBot="1">
      <c r="A148" s="57"/>
      <c r="B148" s="151" t="s">
        <v>395</v>
      </c>
      <c r="C148" s="176">
        <v>1622406.7</v>
      </c>
      <c r="D148" s="262"/>
      <c r="E148" s="57"/>
    </row>
    <row r="149" spans="1:5" s="3" customFormat="1" ht="18" thickBot="1">
      <c r="A149" s="57"/>
      <c r="B149" s="400" t="s">
        <v>396</v>
      </c>
      <c r="C149" s="535"/>
      <c r="D149" s="401">
        <f>SUM(C148)</f>
        <v>1622406.7</v>
      </c>
      <c r="E149" s="57"/>
    </row>
    <row r="150" spans="1:5" s="3" customFormat="1" ht="17.25">
      <c r="A150" s="57"/>
      <c r="B150" s="134"/>
      <c r="C150" s="132"/>
      <c r="D150" s="132"/>
      <c r="E150" s="57"/>
    </row>
    <row r="151" spans="1:5" s="3" customFormat="1" ht="17.25">
      <c r="A151" s="57"/>
      <c r="B151" s="134"/>
      <c r="C151" s="132"/>
      <c r="D151" s="132"/>
      <c r="E151" s="57"/>
    </row>
    <row r="152" spans="1:5" s="3" customFormat="1" ht="18" thickBot="1">
      <c r="A152" s="57"/>
      <c r="B152" s="134" t="s">
        <v>393</v>
      </c>
      <c r="C152" s="132"/>
      <c r="D152" s="132"/>
      <c r="E152" s="57"/>
    </row>
    <row r="153" spans="1:5" ht="18" thickBot="1">
      <c r="A153" s="57"/>
      <c r="B153" s="151" t="s">
        <v>409</v>
      </c>
      <c r="C153" s="176">
        <v>5000000</v>
      </c>
      <c r="D153" s="516"/>
      <c r="E153" s="57"/>
    </row>
    <row r="154" spans="1:5" s="3" customFormat="1" ht="18" thickBot="1">
      <c r="A154" s="57"/>
      <c r="B154" s="400" t="s">
        <v>114</v>
      </c>
      <c r="C154" s="401"/>
      <c r="D154" s="401">
        <f>SUM(C153)</f>
        <v>5000000</v>
      </c>
      <c r="E154" s="57"/>
    </row>
    <row r="155" spans="1:5" s="3" customFormat="1" ht="17.25">
      <c r="A155" s="57"/>
      <c r="B155" s="134"/>
      <c r="C155" s="132"/>
      <c r="D155" s="132"/>
      <c r="E155" s="57"/>
    </row>
    <row r="156" spans="1:5" s="3" customFormat="1" ht="18" thickBot="1">
      <c r="A156" s="57"/>
      <c r="B156" s="134" t="s">
        <v>399</v>
      </c>
      <c r="C156" s="132"/>
      <c r="D156" s="132"/>
      <c r="E156" s="57"/>
    </row>
    <row r="157" spans="1:5" ht="17.25">
      <c r="A157" s="57"/>
      <c r="B157" s="158" t="s">
        <v>397</v>
      </c>
      <c r="C157" s="159"/>
      <c r="D157" s="156">
        <f>'dep2'!E12</f>
        <v>436029.25</v>
      </c>
      <c r="E157" s="57"/>
    </row>
    <row r="158" spans="1:5" ht="18" thickBot="1">
      <c r="A158" s="57"/>
      <c r="B158" s="497" t="s">
        <v>394</v>
      </c>
      <c r="C158" s="225"/>
      <c r="D158" s="355">
        <v>200000</v>
      </c>
      <c r="E158" s="57"/>
    </row>
    <row r="160" spans="1:5" s="3" customFormat="1"/>
    <row r="161" spans="2:4" s="3" customFormat="1"/>
    <row r="162" spans="2:4" s="3" customFormat="1"/>
    <row r="167" spans="2:4" ht="17.25">
      <c r="B167" s="4" t="s">
        <v>391</v>
      </c>
      <c r="C167" s="4" t="s">
        <v>17</v>
      </c>
      <c r="D167" s="4" t="s">
        <v>160</v>
      </c>
    </row>
  </sheetData>
  <mergeCells count="9">
    <mergeCell ref="B129:D129"/>
    <mergeCell ref="A44:C44"/>
    <mergeCell ref="A45:C45"/>
    <mergeCell ref="A46:C46"/>
    <mergeCell ref="A2:C2"/>
    <mergeCell ref="A3:C3"/>
    <mergeCell ref="A4:C4"/>
    <mergeCell ref="A5:C5"/>
    <mergeCell ref="A43:C43"/>
  </mergeCells>
  <pageMargins left="0.39370078740157483" right="0.19685039370078741" top="0.74803149606299213" bottom="0.23622047244094491" header="0.31496062992125984" footer="0.23622047244094491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13" workbookViewId="0">
      <selection activeCell="B1" sqref="B1:F1"/>
    </sheetView>
  </sheetViews>
  <sheetFormatPr defaultRowHeight="15"/>
  <cols>
    <col min="1" max="1" width="5.85546875" style="3" customWidth="1"/>
    <col min="2" max="2" width="4.7109375" customWidth="1"/>
    <col min="4" max="4" width="29" bestFit="1" customWidth="1"/>
    <col min="5" max="5" width="16.85546875" bestFit="1" customWidth="1"/>
    <col min="6" max="6" width="22.85546875" customWidth="1"/>
    <col min="7" max="8" width="14" bestFit="1" customWidth="1"/>
    <col min="9" max="9" width="10.7109375" bestFit="1" customWidth="1"/>
    <col min="10" max="10" width="12.28515625" bestFit="1" customWidth="1"/>
  </cols>
  <sheetData>
    <row r="1" spans="2:15" ht="36.75">
      <c r="B1" s="639" t="str">
        <f>bs!B1</f>
        <v>z}nhf cfrfo{ :d[lt kf]ln^]lSgs</v>
      </c>
      <c r="C1" s="639"/>
      <c r="D1" s="639"/>
      <c r="E1" s="639"/>
      <c r="F1" s="639"/>
    </row>
    <row r="2" spans="2:15" ht="15.75">
      <c r="B2" s="636" t="str">
        <f>bs!B2</f>
        <v>lzzjgL hxbf 3, df]/+u</v>
      </c>
      <c r="C2" s="636"/>
      <c r="D2" s="636"/>
      <c r="E2" s="636"/>
      <c r="F2" s="636"/>
      <c r="G2" s="545"/>
      <c r="H2" s="545"/>
      <c r="I2" s="545"/>
      <c r="J2" s="545"/>
      <c r="K2" s="545"/>
      <c r="L2" s="545"/>
      <c r="M2" s="545"/>
      <c r="N2" s="545"/>
      <c r="O2" s="545"/>
    </row>
    <row r="3" spans="2:15" ht="15.75">
      <c r="B3" s="546" t="str">
        <f>bs!B3</f>
        <v>&gt;L s[i)F k|;fb sf]O{/fnf ;]jf u"&amp;L tyf l;=l^=O{=le=^L jf^ ;+o'tm ?kdf ;+rflnt</v>
      </c>
      <c r="C3" s="546"/>
      <c r="D3" s="546"/>
      <c r="E3" s="546"/>
      <c r="F3" s="546"/>
      <c r="G3" s="545"/>
      <c r="H3" s="545"/>
      <c r="I3" s="545"/>
      <c r="J3" s="545"/>
      <c r="K3" s="545"/>
      <c r="L3" s="545"/>
      <c r="M3" s="545"/>
      <c r="N3" s="545"/>
      <c r="O3" s="545"/>
    </row>
    <row r="4" spans="2:15" ht="15.75">
      <c r="B4" s="636" t="s">
        <v>250</v>
      </c>
      <c r="C4" s="636"/>
      <c r="D4" s="636"/>
      <c r="E4" s="636"/>
      <c r="F4" s="636"/>
      <c r="G4" s="545"/>
      <c r="H4" s="545"/>
      <c r="I4" s="545"/>
      <c r="J4" s="545"/>
      <c r="K4" s="545"/>
      <c r="L4" s="545"/>
      <c r="M4" s="545"/>
      <c r="N4" s="545"/>
      <c r="O4" s="545"/>
    </row>
    <row r="5" spans="2:15" ht="15.75">
      <c r="B5" s="545"/>
      <c r="C5" s="97"/>
      <c r="D5" s="97"/>
      <c r="E5" s="97"/>
      <c r="F5" s="97"/>
      <c r="G5" s="97"/>
      <c r="H5" s="97"/>
      <c r="I5" s="97"/>
      <c r="J5" s="97"/>
      <c r="K5" s="545"/>
      <c r="L5" s="545"/>
      <c r="M5" s="545"/>
      <c r="N5" s="545"/>
      <c r="O5" s="545"/>
    </row>
    <row r="6" spans="2:15" ht="15.75">
      <c r="B6" s="545"/>
      <c r="C6" s="97"/>
      <c r="D6" s="97" t="s">
        <v>115</v>
      </c>
      <c r="E6" s="97" t="s">
        <v>225</v>
      </c>
      <c r="F6" s="97" t="s">
        <v>226</v>
      </c>
      <c r="G6" s="97" t="s">
        <v>21</v>
      </c>
      <c r="H6" s="97"/>
      <c r="I6" s="97"/>
      <c r="J6" s="97"/>
      <c r="K6" s="545"/>
      <c r="L6" s="545"/>
      <c r="M6" s="545"/>
      <c r="N6" s="545"/>
      <c r="O6" s="545"/>
    </row>
    <row r="7" spans="2:15" ht="15.75">
      <c r="B7" s="545"/>
      <c r="C7" s="97"/>
      <c r="D7" s="97" t="s">
        <v>216</v>
      </c>
      <c r="E7" s="547">
        <f>'pl Annex'!C59</f>
        <v>14281805</v>
      </c>
      <c r="F7" s="97"/>
      <c r="G7" s="97"/>
      <c r="H7" s="97"/>
      <c r="I7" s="97"/>
      <c r="J7" s="97"/>
      <c r="K7" s="545"/>
      <c r="L7" s="545"/>
      <c r="M7" s="545"/>
      <c r="N7" s="545"/>
      <c r="O7" s="545"/>
    </row>
    <row r="8" spans="2:15" ht="15.75">
      <c r="B8" s="545"/>
      <c r="C8" s="97"/>
      <c r="D8" s="97" t="s">
        <v>217</v>
      </c>
      <c r="E8" s="547">
        <f>'pl Annex'!C97</f>
        <v>462000</v>
      </c>
      <c r="F8" s="97"/>
      <c r="G8" s="97"/>
      <c r="H8" s="97">
        <v>11211</v>
      </c>
      <c r="I8" s="97">
        <v>58000</v>
      </c>
      <c r="J8" s="97">
        <v>119756</v>
      </c>
      <c r="K8" s="97">
        <v>2863</v>
      </c>
      <c r="L8" s="97">
        <v>29039</v>
      </c>
      <c r="M8" s="545"/>
      <c r="N8" s="545">
        <f>SUM(I8:M8)</f>
        <v>209658</v>
      </c>
      <c r="O8" s="545">
        <f>K11</f>
        <v>0</v>
      </c>
    </row>
    <row r="9" spans="2:15" s="3" customFormat="1" ht="15.75">
      <c r="B9" s="545"/>
      <c r="C9" s="97"/>
      <c r="D9" s="97" t="s">
        <v>385</v>
      </c>
      <c r="E9" s="547">
        <f>'pl Annex'!C111</f>
        <v>3197004</v>
      </c>
      <c r="F9" s="97"/>
      <c r="G9" s="97"/>
      <c r="H9" s="97"/>
      <c r="I9" s="97"/>
      <c r="J9" s="97"/>
      <c r="K9" s="97"/>
      <c r="L9" s="97"/>
      <c r="M9" s="545"/>
      <c r="N9" s="545"/>
      <c r="O9" s="545"/>
    </row>
    <row r="10" spans="2:15" s="3" customFormat="1" ht="15.75">
      <c r="B10" s="545"/>
      <c r="C10" s="97"/>
      <c r="D10" s="97"/>
      <c r="E10" s="547"/>
      <c r="F10" s="97"/>
      <c r="G10" s="97"/>
      <c r="H10" s="97"/>
      <c r="I10" s="97"/>
      <c r="J10" s="97"/>
      <c r="K10" s="97"/>
      <c r="L10" s="97"/>
      <c r="M10" s="545"/>
      <c r="N10" s="545"/>
      <c r="O10" s="545"/>
    </row>
    <row r="11" spans="2:15" ht="15.75">
      <c r="B11" s="545"/>
      <c r="C11" s="97"/>
      <c r="D11" s="97" t="s">
        <v>384</v>
      </c>
      <c r="E11" s="547"/>
      <c r="F11" s="97"/>
      <c r="G11" s="97"/>
      <c r="H11" s="97">
        <v>11112</v>
      </c>
      <c r="I11" s="97">
        <v>9975</v>
      </c>
      <c r="J11" s="97">
        <v>50343</v>
      </c>
      <c r="K11" s="97"/>
      <c r="L11" s="97">
        <v>17550</v>
      </c>
      <c r="M11" s="97">
        <v>3095</v>
      </c>
      <c r="N11" s="545">
        <f>SUM(I11:M11)</f>
        <v>80963</v>
      </c>
      <c r="O11" s="545"/>
    </row>
    <row r="12" spans="2:15" s="3" customFormat="1" ht="15.75">
      <c r="B12" s="545"/>
      <c r="C12" s="97"/>
      <c r="D12" s="97" t="s">
        <v>248</v>
      </c>
      <c r="E12" s="547"/>
      <c r="F12" s="97"/>
      <c r="G12" s="97"/>
      <c r="H12" s="97"/>
      <c r="I12" s="97"/>
      <c r="J12" s="97"/>
      <c r="K12" s="545">
        <v>60556</v>
      </c>
      <c r="L12" s="545"/>
      <c r="M12" s="545"/>
      <c r="N12" s="545"/>
      <c r="O12" s="545"/>
    </row>
    <row r="13" spans="2:15" s="3" customFormat="1" ht="15.75">
      <c r="B13" s="545"/>
      <c r="C13" s="97"/>
      <c r="D13" s="97" t="s">
        <v>249</v>
      </c>
      <c r="E13" s="97">
        <v>651264</v>
      </c>
      <c r="F13" s="97"/>
      <c r="G13" s="97"/>
      <c r="H13" s="97"/>
      <c r="I13" s="97"/>
      <c r="J13" s="97"/>
      <c r="K13" s="545"/>
      <c r="L13" s="545"/>
      <c r="M13" s="545"/>
      <c r="N13" s="545"/>
      <c r="O13" s="545"/>
    </row>
    <row r="14" spans="2:15" s="3" customFormat="1" ht="15.75">
      <c r="B14" s="545"/>
      <c r="C14" s="97"/>
      <c r="D14" s="97" t="s">
        <v>386</v>
      </c>
      <c r="E14" s="97">
        <v>381027</v>
      </c>
      <c r="F14" s="97"/>
      <c r="G14" s="97"/>
      <c r="H14" s="97"/>
      <c r="I14" s="97">
        <f>N8+K11</f>
        <v>209658</v>
      </c>
      <c r="J14" s="97"/>
      <c r="K14" s="545"/>
      <c r="L14" s="545"/>
      <c r="M14" s="545"/>
      <c r="N14" s="545"/>
      <c r="O14" s="545"/>
    </row>
    <row r="15" spans="2:15" s="3" customFormat="1" ht="15.75">
      <c r="B15" s="545"/>
      <c r="C15" s="97"/>
      <c r="D15" s="97"/>
      <c r="E15" s="97"/>
      <c r="F15" s="97">
        <v>209658</v>
      </c>
      <c r="G15" s="97"/>
      <c r="H15" s="97"/>
      <c r="I15" s="97"/>
      <c r="J15" s="97"/>
      <c r="K15" s="545"/>
      <c r="L15" s="545"/>
      <c r="M15" s="545"/>
      <c r="N15" s="545"/>
      <c r="O15" s="545"/>
    </row>
    <row r="16" spans="2:15" s="3" customFormat="1" ht="15.75">
      <c r="B16" s="545"/>
      <c r="C16" s="97"/>
      <c r="D16" s="97"/>
      <c r="E16" s="97"/>
      <c r="F16" s="97">
        <v>80963</v>
      </c>
      <c r="G16" s="97"/>
      <c r="H16" s="97"/>
      <c r="I16" s="97"/>
      <c r="J16" s="97"/>
      <c r="K16" s="545"/>
      <c r="L16" s="545"/>
      <c r="M16" s="545"/>
      <c r="N16" s="545"/>
      <c r="O16" s="545"/>
    </row>
    <row r="17" spans="2:15" s="3" customFormat="1" ht="15.75">
      <c r="B17" s="545"/>
      <c r="C17" s="97"/>
      <c r="D17" s="97"/>
      <c r="E17" s="97"/>
      <c r="F17" s="97"/>
      <c r="G17" s="545"/>
      <c r="H17" s="97"/>
      <c r="I17" s="97"/>
      <c r="J17" s="97"/>
      <c r="K17" s="545"/>
      <c r="L17" s="545"/>
      <c r="M17" s="545"/>
      <c r="N17" s="545"/>
      <c r="O17" s="545"/>
    </row>
    <row r="18" spans="2:15" s="3" customFormat="1" ht="15.75">
      <c r="B18" s="545"/>
      <c r="C18" s="97"/>
      <c r="D18" s="548"/>
      <c r="E18" s="97"/>
      <c r="F18" s="97"/>
      <c r="G18" s="545"/>
      <c r="H18" s="97"/>
      <c r="I18" s="97"/>
      <c r="J18" s="97"/>
      <c r="K18" s="545"/>
      <c r="L18" s="545"/>
      <c r="M18" s="545"/>
      <c r="N18" s="545"/>
      <c r="O18" s="545"/>
    </row>
    <row r="19" spans="2:15" s="3" customFormat="1" ht="16.5" thickBot="1">
      <c r="B19" s="545"/>
      <c r="C19" s="97"/>
      <c r="D19" s="97" t="s">
        <v>387</v>
      </c>
      <c r="E19" s="97"/>
      <c r="F19" s="97"/>
      <c r="G19" s="545"/>
      <c r="H19" s="97"/>
      <c r="I19" s="97"/>
      <c r="J19" s="97"/>
      <c r="K19" s="545"/>
      <c r="L19" s="545"/>
      <c r="M19" s="545"/>
      <c r="N19" s="545"/>
      <c r="O19" s="545"/>
    </row>
    <row r="20" spans="2:15" s="3" customFormat="1" ht="15.75">
      <c r="B20" s="545"/>
      <c r="C20" s="97"/>
      <c r="D20" s="549" t="s">
        <v>388</v>
      </c>
      <c r="E20" s="550">
        <f>'pl Annex'!C75</f>
        <v>52561</v>
      </c>
      <c r="F20" s="97"/>
      <c r="G20" s="545"/>
      <c r="H20" s="97"/>
      <c r="I20" s="97"/>
      <c r="J20" s="97"/>
      <c r="K20" s="545"/>
      <c r="L20" s="545"/>
      <c r="M20" s="545"/>
      <c r="N20" s="545"/>
      <c r="O20" s="545"/>
    </row>
    <row r="21" spans="2:15" s="3" customFormat="1" ht="15.75">
      <c r="B21" s="545"/>
      <c r="C21" s="97"/>
      <c r="D21" s="551" t="s">
        <v>389</v>
      </c>
      <c r="E21" s="552">
        <v>36000</v>
      </c>
      <c r="F21" s="97"/>
      <c r="G21" s="545"/>
      <c r="H21" s="97"/>
      <c r="I21" s="97"/>
      <c r="J21" s="97"/>
      <c r="K21" s="545"/>
      <c r="L21" s="545"/>
      <c r="M21" s="545"/>
      <c r="N21" s="545"/>
      <c r="O21" s="545"/>
    </row>
    <row r="22" spans="2:15" s="3" customFormat="1" ht="15.75">
      <c r="B22" s="545"/>
      <c r="C22" s="97"/>
      <c r="D22" s="551" t="s">
        <v>49</v>
      </c>
      <c r="E22" s="552">
        <v>11700</v>
      </c>
      <c r="F22" s="97"/>
      <c r="G22" s="97"/>
      <c r="H22" s="97"/>
      <c r="I22" s="97"/>
      <c r="J22" s="97"/>
      <c r="K22" s="545"/>
      <c r="L22" s="545"/>
      <c r="M22" s="545"/>
      <c r="N22" s="545"/>
      <c r="O22" s="545"/>
    </row>
    <row r="23" spans="2:15" ht="15.75">
      <c r="B23" s="545"/>
      <c r="C23" s="97"/>
      <c r="D23" s="551" t="s">
        <v>386</v>
      </c>
      <c r="E23" s="552">
        <f>'pl Annex'!C141</f>
        <v>3151692</v>
      </c>
      <c r="F23" s="97"/>
      <c r="G23" s="97"/>
      <c r="H23" s="97"/>
      <c r="I23" s="97"/>
      <c r="J23" s="97"/>
      <c r="K23" s="545"/>
      <c r="L23" s="545"/>
      <c r="M23" s="545"/>
      <c r="N23" s="545"/>
      <c r="O23" s="545"/>
    </row>
    <row r="24" spans="2:15" ht="16.5" thickBot="1">
      <c r="B24" s="545"/>
      <c r="C24" s="545"/>
      <c r="D24" s="553"/>
      <c r="E24" s="554">
        <f>SUM(E20:E23)</f>
        <v>3251953</v>
      </c>
      <c r="F24" s="545"/>
      <c r="G24" s="545"/>
      <c r="H24" s="545"/>
      <c r="I24" s="545"/>
      <c r="J24" s="545"/>
      <c r="K24" s="545"/>
      <c r="L24" s="545"/>
      <c r="M24" s="545"/>
      <c r="N24" s="545"/>
      <c r="O24" s="545"/>
    </row>
    <row r="25" spans="2:15">
      <c r="B25" s="545"/>
      <c r="C25" s="545"/>
      <c r="D25" s="545"/>
      <c r="E25" s="545"/>
      <c r="F25" s="545"/>
      <c r="G25" s="545"/>
      <c r="H25" s="545"/>
      <c r="I25" s="545"/>
      <c r="J25" s="545"/>
      <c r="K25" s="545"/>
      <c r="L25" s="545"/>
      <c r="M25" s="545"/>
      <c r="N25" s="545"/>
      <c r="O25" s="545"/>
    </row>
    <row r="26" spans="2:15">
      <c r="B26" s="545"/>
      <c r="C26" s="545"/>
      <c r="D26" s="545"/>
      <c r="E26" s="545"/>
      <c r="F26" s="545"/>
      <c r="G26" s="545"/>
      <c r="H26" s="545"/>
      <c r="I26" s="545"/>
      <c r="J26" s="545"/>
      <c r="K26" s="545"/>
      <c r="L26" s="545"/>
      <c r="M26" s="545"/>
      <c r="N26" s="545"/>
      <c r="O26" s="545"/>
    </row>
    <row r="27" spans="2:15">
      <c r="B27" s="545"/>
      <c r="C27" s="545"/>
      <c r="D27" s="545"/>
      <c r="E27" s="545"/>
      <c r="F27" s="545"/>
      <c r="G27" s="545"/>
      <c r="H27" s="545"/>
      <c r="I27" s="545"/>
      <c r="J27" s="545"/>
      <c r="K27" s="545"/>
      <c r="L27" s="545"/>
      <c r="M27" s="545"/>
      <c r="N27" s="545"/>
      <c r="O27" s="545"/>
    </row>
    <row r="28" spans="2:15" ht="17.25">
      <c r="D28" s="4"/>
      <c r="E28" s="4"/>
      <c r="F28" s="4"/>
    </row>
    <row r="29" spans="2:15" ht="17.25">
      <c r="D29" s="4"/>
      <c r="E29" s="4"/>
      <c r="F29" s="4"/>
    </row>
    <row r="30" spans="2:15" ht="17.25">
      <c r="D30" s="4"/>
      <c r="E30" s="4"/>
      <c r="F30" s="4"/>
    </row>
    <row r="31" spans="2:15" ht="17.25">
      <c r="D31" s="4"/>
      <c r="E31" s="4"/>
      <c r="F31" s="4"/>
    </row>
    <row r="32" spans="2:15" ht="17.25">
      <c r="D32" s="4"/>
      <c r="E32" s="4"/>
      <c r="F32" s="4"/>
    </row>
    <row r="33" spans="4:6" ht="17.25">
      <c r="D33" s="4"/>
      <c r="E33" s="4"/>
      <c r="F33" s="4"/>
    </row>
    <row r="34" spans="4:6" ht="17.25">
      <c r="D34" s="4"/>
      <c r="E34" s="4"/>
      <c r="F34" s="4"/>
    </row>
    <row r="35" spans="4:6" ht="17.25">
      <c r="D35" s="4"/>
      <c r="E35" s="4"/>
      <c r="F35" s="4"/>
    </row>
    <row r="36" spans="4:6" ht="17.25">
      <c r="D36" s="4"/>
      <c r="E36" s="4"/>
      <c r="F36" s="4"/>
    </row>
    <row r="37" spans="4:6" ht="17.25">
      <c r="D37" s="4"/>
      <c r="E37" s="4"/>
      <c r="F37" s="4"/>
    </row>
  </sheetData>
  <mergeCells count="3">
    <mergeCell ref="B1:F1"/>
    <mergeCell ref="B2:F2"/>
    <mergeCell ref="B4:F4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1"/>
  <sheetViews>
    <sheetView workbookViewId="0">
      <selection activeCell="P51" sqref="P51"/>
    </sheetView>
  </sheetViews>
  <sheetFormatPr defaultRowHeight="15"/>
  <cols>
    <col min="1" max="1" width="1.140625" customWidth="1"/>
    <col min="2" max="2" width="3.28515625" bestFit="1" customWidth="1"/>
    <col min="3" max="3" width="15.5703125" bestFit="1" customWidth="1"/>
    <col min="4" max="4" width="12.7109375" bestFit="1" customWidth="1"/>
    <col min="5" max="5" width="10.5703125" bestFit="1" customWidth="1"/>
    <col min="6" max="6" width="8" bestFit="1" customWidth="1"/>
    <col min="7" max="8" width="6" style="3" bestFit="1" customWidth="1"/>
    <col min="9" max="9" width="9" bestFit="1" customWidth="1"/>
    <col min="10" max="10" width="9.140625" style="3"/>
    <col min="11" max="11" width="6" style="3" bestFit="1" customWidth="1"/>
    <col min="12" max="12" width="8" bestFit="1" customWidth="1"/>
    <col min="13" max="13" width="7.7109375" bestFit="1" customWidth="1"/>
    <col min="15" max="15" width="11.5703125" bestFit="1" customWidth="1"/>
  </cols>
  <sheetData>
    <row r="1" spans="2:15" s="3" customFormat="1"/>
    <row r="2" spans="2:15" s="3" customFormat="1"/>
    <row r="3" spans="2:15" s="3" customFormat="1"/>
    <row r="4" spans="2:15">
      <c r="B4" s="402">
        <v>1</v>
      </c>
      <c r="C4" s="403" t="s">
        <v>332</v>
      </c>
      <c r="D4" s="404" t="s">
        <v>333</v>
      </c>
      <c r="E4" s="405">
        <v>30000</v>
      </c>
      <c r="F4" s="536">
        <f>E4*2</f>
        <v>60000</v>
      </c>
      <c r="G4" s="536">
        <f>F4/100*99</f>
        <v>59400</v>
      </c>
      <c r="H4" s="536">
        <f>F4*1/100</f>
        <v>600</v>
      </c>
      <c r="I4" s="536">
        <f>E4*5</f>
        <v>150000</v>
      </c>
      <c r="J4" s="536">
        <f>I4/100*99</f>
        <v>148500</v>
      </c>
      <c r="K4" s="536">
        <f>J4*1/100</f>
        <v>1485</v>
      </c>
      <c r="L4" s="536"/>
      <c r="M4" s="538"/>
      <c r="N4" s="529">
        <f>F4+I4+L4+M4</f>
        <v>210000</v>
      </c>
      <c r="O4" s="130"/>
    </row>
    <row r="5" spans="2:15">
      <c r="B5" s="402">
        <v>2</v>
      </c>
      <c r="C5" s="406" t="s">
        <v>334</v>
      </c>
      <c r="D5" s="407" t="s">
        <v>335</v>
      </c>
      <c r="E5" s="405">
        <v>29500</v>
      </c>
      <c r="F5" s="536">
        <f t="shared" ref="F5:F30" si="0">E5*2</f>
        <v>59000</v>
      </c>
      <c r="G5" s="536">
        <f t="shared" ref="G5:G31" si="1">F5/100*99</f>
        <v>58410</v>
      </c>
      <c r="H5" s="536">
        <f t="shared" ref="H5:H31" si="2">F5*1/100</f>
        <v>590</v>
      </c>
      <c r="I5" s="536">
        <f t="shared" ref="I5:I55" si="3">E5*5</f>
        <v>147500</v>
      </c>
      <c r="J5" s="536">
        <f t="shared" ref="J5:J55" si="4">I5/100*99</f>
        <v>146025</v>
      </c>
      <c r="K5" s="536">
        <f t="shared" ref="K5:K55" si="5">J5*1/100</f>
        <v>1460.25</v>
      </c>
      <c r="L5" s="536"/>
      <c r="M5" s="538"/>
      <c r="N5" s="529">
        <f t="shared" ref="N5:N55" si="6">F5+I5+L5+M5</f>
        <v>206500</v>
      </c>
      <c r="O5" s="130"/>
    </row>
    <row r="6" spans="2:15">
      <c r="B6" s="402">
        <v>3</v>
      </c>
      <c r="C6" s="406" t="s">
        <v>336</v>
      </c>
      <c r="D6" s="403" t="s">
        <v>337</v>
      </c>
      <c r="E6" s="405">
        <v>29500</v>
      </c>
      <c r="F6" s="536">
        <f t="shared" si="0"/>
        <v>59000</v>
      </c>
      <c r="G6" s="536">
        <f t="shared" si="1"/>
        <v>58410</v>
      </c>
      <c r="H6" s="536">
        <f t="shared" si="2"/>
        <v>590</v>
      </c>
      <c r="I6" s="536">
        <f t="shared" si="3"/>
        <v>147500</v>
      </c>
      <c r="J6" s="536">
        <f t="shared" si="4"/>
        <v>146025</v>
      </c>
      <c r="K6" s="536">
        <f t="shared" si="5"/>
        <v>1460.25</v>
      </c>
      <c r="L6" s="536"/>
      <c r="M6" s="538"/>
      <c r="N6" s="529">
        <f t="shared" si="6"/>
        <v>206500</v>
      </c>
      <c r="O6" s="130"/>
    </row>
    <row r="7" spans="2:15">
      <c r="B7" s="402">
        <v>4</v>
      </c>
      <c r="C7" s="406" t="s">
        <v>338</v>
      </c>
      <c r="D7" s="403" t="s">
        <v>337</v>
      </c>
      <c r="E7" s="405">
        <v>29500</v>
      </c>
      <c r="F7" s="536">
        <f t="shared" si="0"/>
        <v>59000</v>
      </c>
      <c r="G7" s="536">
        <f t="shared" si="1"/>
        <v>58410</v>
      </c>
      <c r="H7" s="536">
        <f t="shared" si="2"/>
        <v>590</v>
      </c>
      <c r="I7" s="536">
        <f t="shared" si="3"/>
        <v>147500</v>
      </c>
      <c r="J7" s="536">
        <f t="shared" si="4"/>
        <v>146025</v>
      </c>
      <c r="K7" s="536">
        <f t="shared" si="5"/>
        <v>1460.25</v>
      </c>
      <c r="L7" s="536"/>
      <c r="M7" s="538"/>
      <c r="N7" s="529">
        <f t="shared" si="6"/>
        <v>206500</v>
      </c>
      <c r="O7" s="130"/>
    </row>
    <row r="8" spans="2:15">
      <c r="B8" s="402">
        <v>5</v>
      </c>
      <c r="C8" s="406" t="s">
        <v>339</v>
      </c>
      <c r="D8" s="408" t="s">
        <v>337</v>
      </c>
      <c r="E8" s="405">
        <v>29500</v>
      </c>
      <c r="F8" s="536">
        <f t="shared" si="0"/>
        <v>59000</v>
      </c>
      <c r="G8" s="536">
        <f t="shared" si="1"/>
        <v>58410</v>
      </c>
      <c r="H8" s="536">
        <f t="shared" si="2"/>
        <v>590</v>
      </c>
      <c r="I8" s="536">
        <f t="shared" si="3"/>
        <v>147500</v>
      </c>
      <c r="J8" s="536">
        <f t="shared" si="4"/>
        <v>146025</v>
      </c>
      <c r="K8" s="536">
        <f t="shared" si="5"/>
        <v>1460.25</v>
      </c>
      <c r="L8" s="536"/>
      <c r="M8" s="538"/>
      <c r="N8" s="529">
        <f t="shared" si="6"/>
        <v>206500</v>
      </c>
      <c r="O8" s="130"/>
    </row>
    <row r="9" spans="2:15">
      <c r="B9" s="402">
        <v>6</v>
      </c>
      <c r="C9" s="406" t="s">
        <v>340</v>
      </c>
      <c r="D9" s="408" t="s">
        <v>337</v>
      </c>
      <c r="E9" s="405">
        <v>29500</v>
      </c>
      <c r="F9" s="536">
        <f t="shared" si="0"/>
        <v>59000</v>
      </c>
      <c r="G9" s="536">
        <f t="shared" si="1"/>
        <v>58410</v>
      </c>
      <c r="H9" s="536">
        <f t="shared" si="2"/>
        <v>590</v>
      </c>
      <c r="I9" s="536">
        <f t="shared" si="3"/>
        <v>147500</v>
      </c>
      <c r="J9" s="536">
        <f t="shared" si="4"/>
        <v>146025</v>
      </c>
      <c r="K9" s="536">
        <f t="shared" si="5"/>
        <v>1460.25</v>
      </c>
      <c r="L9" s="536"/>
      <c r="M9" s="538"/>
      <c r="N9" s="529">
        <f t="shared" si="6"/>
        <v>206500</v>
      </c>
      <c r="O9" s="130"/>
    </row>
    <row r="10" spans="2:15">
      <c r="B10" s="402">
        <v>7</v>
      </c>
      <c r="C10" s="409" t="s">
        <v>341</v>
      </c>
      <c r="D10" s="408" t="s">
        <v>335</v>
      </c>
      <c r="E10" s="405">
        <v>29500</v>
      </c>
      <c r="F10" s="536">
        <f t="shared" si="0"/>
        <v>59000</v>
      </c>
      <c r="G10" s="536">
        <f t="shared" si="1"/>
        <v>58410</v>
      </c>
      <c r="H10" s="536">
        <f t="shared" si="2"/>
        <v>590</v>
      </c>
      <c r="I10" s="536">
        <f t="shared" si="3"/>
        <v>147500</v>
      </c>
      <c r="J10" s="536">
        <f t="shared" si="4"/>
        <v>146025</v>
      </c>
      <c r="K10" s="536">
        <f t="shared" si="5"/>
        <v>1460.25</v>
      </c>
      <c r="L10" s="536"/>
      <c r="M10" s="538"/>
      <c r="N10" s="529">
        <f t="shared" si="6"/>
        <v>206500</v>
      </c>
      <c r="O10" s="130"/>
    </row>
    <row r="11" spans="2:15">
      <c r="B11" s="402">
        <v>8</v>
      </c>
      <c r="C11" s="409" t="s">
        <v>343</v>
      </c>
      <c r="D11" s="408" t="s">
        <v>337</v>
      </c>
      <c r="E11" s="405">
        <v>29500</v>
      </c>
      <c r="F11" s="536">
        <f t="shared" si="0"/>
        <v>59000</v>
      </c>
      <c r="G11" s="536">
        <f t="shared" si="1"/>
        <v>58410</v>
      </c>
      <c r="H11" s="536">
        <f t="shared" si="2"/>
        <v>590</v>
      </c>
      <c r="I11" s="536">
        <f t="shared" si="3"/>
        <v>147500</v>
      </c>
      <c r="J11" s="536">
        <f t="shared" si="4"/>
        <v>146025</v>
      </c>
      <c r="K11" s="536">
        <f t="shared" si="5"/>
        <v>1460.25</v>
      </c>
      <c r="L11" s="536"/>
      <c r="M11" s="538"/>
      <c r="N11" s="529">
        <f t="shared" si="6"/>
        <v>206500</v>
      </c>
      <c r="O11" s="130"/>
    </row>
    <row r="12" spans="2:15">
      <c r="B12" s="402">
        <v>9</v>
      </c>
      <c r="C12" s="409" t="s">
        <v>344</v>
      </c>
      <c r="D12" s="408" t="s">
        <v>337</v>
      </c>
      <c r="E12" s="405">
        <v>29500</v>
      </c>
      <c r="F12" s="536">
        <f t="shared" si="0"/>
        <v>59000</v>
      </c>
      <c r="G12" s="536">
        <f t="shared" si="1"/>
        <v>58410</v>
      </c>
      <c r="H12" s="536">
        <f t="shared" si="2"/>
        <v>590</v>
      </c>
      <c r="I12" s="536">
        <f t="shared" si="3"/>
        <v>147500</v>
      </c>
      <c r="J12" s="536">
        <f t="shared" si="4"/>
        <v>146025</v>
      </c>
      <c r="K12" s="536">
        <f t="shared" si="5"/>
        <v>1460.25</v>
      </c>
      <c r="L12" s="536"/>
      <c r="M12" s="538"/>
      <c r="N12" s="529">
        <f t="shared" si="6"/>
        <v>206500</v>
      </c>
      <c r="O12" s="130"/>
    </row>
    <row r="13" spans="2:15">
      <c r="B13" s="402">
        <v>10</v>
      </c>
      <c r="C13" s="409" t="s">
        <v>345</v>
      </c>
      <c r="D13" s="408" t="s">
        <v>337</v>
      </c>
      <c r="E13" s="405">
        <v>28000</v>
      </c>
      <c r="F13" s="536">
        <f t="shared" si="0"/>
        <v>56000</v>
      </c>
      <c r="G13" s="536">
        <f t="shared" si="1"/>
        <v>55440</v>
      </c>
      <c r="H13" s="536">
        <f t="shared" si="2"/>
        <v>560</v>
      </c>
      <c r="I13" s="536">
        <f t="shared" si="3"/>
        <v>140000</v>
      </c>
      <c r="J13" s="536">
        <f t="shared" si="4"/>
        <v>138600</v>
      </c>
      <c r="K13" s="536">
        <f t="shared" si="5"/>
        <v>1386</v>
      </c>
      <c r="L13" s="536"/>
      <c r="M13" s="538"/>
      <c r="N13" s="529">
        <f t="shared" si="6"/>
        <v>196000</v>
      </c>
      <c r="O13" s="130"/>
    </row>
    <row r="14" spans="2:15">
      <c r="B14" s="402">
        <v>11</v>
      </c>
      <c r="C14" s="406" t="s">
        <v>346</v>
      </c>
      <c r="D14" s="408" t="s">
        <v>335</v>
      </c>
      <c r="E14" s="405">
        <v>28000</v>
      </c>
      <c r="F14" s="536">
        <f>E14*2</f>
        <v>56000</v>
      </c>
      <c r="G14" s="536">
        <f t="shared" si="1"/>
        <v>55440</v>
      </c>
      <c r="H14" s="536">
        <f t="shared" si="2"/>
        <v>560</v>
      </c>
      <c r="I14" s="536">
        <f t="shared" si="3"/>
        <v>140000</v>
      </c>
      <c r="J14" s="536">
        <f t="shared" si="4"/>
        <v>138600</v>
      </c>
      <c r="K14" s="536">
        <f t="shared" si="5"/>
        <v>1386</v>
      </c>
      <c r="L14" s="536"/>
      <c r="M14" s="538"/>
      <c r="N14" s="529">
        <f t="shared" si="6"/>
        <v>196000</v>
      </c>
      <c r="O14" s="130"/>
    </row>
    <row r="15" spans="2:15">
      <c r="B15" s="402">
        <v>12</v>
      </c>
      <c r="C15" s="406" t="s">
        <v>347</v>
      </c>
      <c r="D15" s="408" t="s">
        <v>337</v>
      </c>
      <c r="E15" s="405">
        <v>28000</v>
      </c>
      <c r="F15" s="536">
        <f t="shared" si="0"/>
        <v>56000</v>
      </c>
      <c r="G15" s="536">
        <f t="shared" si="1"/>
        <v>55440</v>
      </c>
      <c r="H15" s="536">
        <f t="shared" si="2"/>
        <v>560</v>
      </c>
      <c r="I15" s="536">
        <f t="shared" si="3"/>
        <v>140000</v>
      </c>
      <c r="J15" s="536">
        <f t="shared" si="4"/>
        <v>138600</v>
      </c>
      <c r="K15" s="536">
        <f t="shared" si="5"/>
        <v>1386</v>
      </c>
      <c r="L15" s="536"/>
      <c r="M15" s="538"/>
      <c r="N15" s="529">
        <f t="shared" si="6"/>
        <v>196000</v>
      </c>
      <c r="O15" s="130"/>
    </row>
    <row r="16" spans="2:15">
      <c r="B16" s="402">
        <v>13</v>
      </c>
      <c r="C16" s="406" t="s">
        <v>348</v>
      </c>
      <c r="D16" s="408" t="s">
        <v>337</v>
      </c>
      <c r="E16" s="405">
        <v>28000</v>
      </c>
      <c r="F16" s="536">
        <f t="shared" si="0"/>
        <v>56000</v>
      </c>
      <c r="G16" s="536">
        <f t="shared" si="1"/>
        <v>55440</v>
      </c>
      <c r="H16" s="536">
        <f t="shared" si="2"/>
        <v>560</v>
      </c>
      <c r="I16" s="536">
        <f t="shared" si="3"/>
        <v>140000</v>
      </c>
      <c r="J16" s="536">
        <f t="shared" si="4"/>
        <v>138600</v>
      </c>
      <c r="K16" s="536">
        <f t="shared" si="5"/>
        <v>1386</v>
      </c>
      <c r="L16" s="536"/>
      <c r="M16" s="538"/>
      <c r="N16" s="529">
        <f t="shared" si="6"/>
        <v>196000</v>
      </c>
      <c r="O16" s="130"/>
    </row>
    <row r="17" spans="2:15">
      <c r="B17" s="402">
        <v>14</v>
      </c>
      <c r="C17" s="406" t="e">
        <f>#REF!</f>
        <v>#REF!</v>
      </c>
      <c r="D17" s="408" t="s">
        <v>337</v>
      </c>
      <c r="E17" s="405">
        <v>28500</v>
      </c>
      <c r="F17" s="536">
        <f t="shared" si="0"/>
        <v>57000</v>
      </c>
      <c r="G17" s="536">
        <f t="shared" si="1"/>
        <v>56430</v>
      </c>
      <c r="H17" s="536">
        <f t="shared" si="2"/>
        <v>570</v>
      </c>
      <c r="I17" s="536">
        <f t="shared" si="3"/>
        <v>142500</v>
      </c>
      <c r="J17" s="536">
        <f t="shared" si="4"/>
        <v>141075</v>
      </c>
      <c r="K17" s="536">
        <f t="shared" si="5"/>
        <v>1410.75</v>
      </c>
      <c r="L17" s="536"/>
      <c r="M17" s="538"/>
      <c r="N17" s="529">
        <f t="shared" si="6"/>
        <v>199500</v>
      </c>
      <c r="O17" s="130"/>
    </row>
    <row r="18" spans="2:15">
      <c r="B18" s="402">
        <v>15</v>
      </c>
      <c r="C18" s="406" t="e">
        <f>#REF!</f>
        <v>#REF!</v>
      </c>
      <c r="D18" s="408" t="s">
        <v>335</v>
      </c>
      <c r="E18" s="405">
        <v>28500</v>
      </c>
      <c r="F18" s="536">
        <f t="shared" si="0"/>
        <v>57000</v>
      </c>
      <c r="G18" s="536">
        <f t="shared" si="1"/>
        <v>56430</v>
      </c>
      <c r="H18" s="536">
        <f t="shared" si="2"/>
        <v>570</v>
      </c>
      <c r="I18" s="536">
        <f t="shared" si="3"/>
        <v>142500</v>
      </c>
      <c r="J18" s="536">
        <f t="shared" si="4"/>
        <v>141075</v>
      </c>
      <c r="K18" s="536">
        <f t="shared" si="5"/>
        <v>1410.75</v>
      </c>
      <c r="L18" s="536"/>
      <c r="M18" s="538"/>
      <c r="N18" s="529">
        <f t="shared" si="6"/>
        <v>199500</v>
      </c>
      <c r="O18" s="130"/>
    </row>
    <row r="19" spans="2:15">
      <c r="B19" s="402">
        <v>16</v>
      </c>
      <c r="C19" s="406" t="e">
        <f>#REF!</f>
        <v>#REF!</v>
      </c>
      <c r="D19" s="408" t="s">
        <v>337</v>
      </c>
      <c r="E19" s="405">
        <v>28500</v>
      </c>
      <c r="F19" s="536">
        <f t="shared" si="0"/>
        <v>57000</v>
      </c>
      <c r="G19" s="536">
        <f t="shared" si="1"/>
        <v>56430</v>
      </c>
      <c r="H19" s="536">
        <f t="shared" si="2"/>
        <v>570</v>
      </c>
      <c r="I19" s="536">
        <f t="shared" si="3"/>
        <v>142500</v>
      </c>
      <c r="J19" s="536">
        <f t="shared" si="4"/>
        <v>141075</v>
      </c>
      <c r="K19" s="536">
        <f t="shared" si="5"/>
        <v>1410.75</v>
      </c>
      <c r="L19" s="536"/>
      <c r="M19" s="538"/>
      <c r="N19" s="529">
        <f t="shared" si="6"/>
        <v>199500</v>
      </c>
      <c r="O19" s="130"/>
    </row>
    <row r="20" spans="2:15">
      <c r="B20" s="402">
        <v>17</v>
      </c>
      <c r="C20" s="406" t="e">
        <f>#REF!</f>
        <v>#REF!</v>
      </c>
      <c r="D20" s="408" t="s">
        <v>337</v>
      </c>
      <c r="E20" s="405">
        <v>26800</v>
      </c>
      <c r="F20" s="536">
        <f>E20*2+3000</f>
        <v>56600</v>
      </c>
      <c r="G20" s="536">
        <f t="shared" si="1"/>
        <v>56034</v>
      </c>
      <c r="H20" s="536">
        <f t="shared" si="2"/>
        <v>566</v>
      </c>
      <c r="I20" s="536">
        <f t="shared" si="3"/>
        <v>134000</v>
      </c>
      <c r="J20" s="536">
        <f t="shared" si="4"/>
        <v>132660</v>
      </c>
      <c r="K20" s="536">
        <f t="shared" si="5"/>
        <v>1326.6</v>
      </c>
      <c r="L20" s="536"/>
      <c r="M20" s="538"/>
      <c r="N20" s="529">
        <f t="shared" si="6"/>
        <v>190600</v>
      </c>
      <c r="O20" s="130"/>
    </row>
    <row r="21" spans="2:15">
      <c r="B21" s="402">
        <v>18</v>
      </c>
      <c r="C21" s="406" t="e">
        <f>#REF!</f>
        <v>#REF!</v>
      </c>
      <c r="D21" s="408" t="s">
        <v>337</v>
      </c>
      <c r="E21" s="405">
        <v>26800</v>
      </c>
      <c r="F21" s="536">
        <f>E21*2+3000</f>
        <v>56600</v>
      </c>
      <c r="G21" s="536">
        <f t="shared" si="1"/>
        <v>56034</v>
      </c>
      <c r="H21" s="536">
        <f t="shared" si="2"/>
        <v>566</v>
      </c>
      <c r="I21" s="536">
        <f t="shared" si="3"/>
        <v>134000</v>
      </c>
      <c r="J21" s="536">
        <f t="shared" si="4"/>
        <v>132660</v>
      </c>
      <c r="K21" s="536">
        <f t="shared" si="5"/>
        <v>1326.6</v>
      </c>
      <c r="L21" s="536"/>
      <c r="M21" s="538"/>
      <c r="N21" s="529">
        <f t="shared" si="6"/>
        <v>190600</v>
      </c>
      <c r="O21" s="130"/>
    </row>
    <row r="22" spans="2:15">
      <c r="B22" s="402">
        <v>19</v>
      </c>
      <c r="C22" s="406" t="e">
        <f>#REF!</f>
        <v>#REF!</v>
      </c>
      <c r="D22" s="408" t="s">
        <v>335</v>
      </c>
      <c r="E22" s="405">
        <v>29500</v>
      </c>
      <c r="F22" s="536">
        <f>E22*2</f>
        <v>59000</v>
      </c>
      <c r="G22" s="536">
        <f t="shared" si="1"/>
        <v>58410</v>
      </c>
      <c r="H22" s="536">
        <f t="shared" si="2"/>
        <v>590</v>
      </c>
      <c r="I22" s="536">
        <f t="shared" si="3"/>
        <v>147500</v>
      </c>
      <c r="J22" s="536">
        <f t="shared" si="4"/>
        <v>146025</v>
      </c>
      <c r="K22" s="536">
        <f t="shared" si="5"/>
        <v>1460.25</v>
      </c>
      <c r="L22" s="536"/>
      <c r="M22" s="538"/>
      <c r="N22" s="529">
        <f t="shared" si="6"/>
        <v>206500</v>
      </c>
      <c r="O22" s="130"/>
    </row>
    <row r="23" spans="2:15">
      <c r="B23" s="402">
        <v>20</v>
      </c>
      <c r="C23" s="406" t="e">
        <f>#REF!</f>
        <v>#REF!</v>
      </c>
      <c r="D23" s="408" t="s">
        <v>337</v>
      </c>
      <c r="E23" s="405">
        <v>28500</v>
      </c>
      <c r="F23" s="536">
        <f>E23*2+1000</f>
        <v>58000</v>
      </c>
      <c r="G23" s="536">
        <f t="shared" si="1"/>
        <v>57420</v>
      </c>
      <c r="H23" s="536">
        <f t="shared" si="2"/>
        <v>580</v>
      </c>
      <c r="I23" s="536">
        <f t="shared" si="3"/>
        <v>142500</v>
      </c>
      <c r="J23" s="536">
        <f t="shared" si="4"/>
        <v>141075</v>
      </c>
      <c r="K23" s="536">
        <f t="shared" si="5"/>
        <v>1410.75</v>
      </c>
      <c r="L23" s="536"/>
      <c r="M23" s="538"/>
      <c r="N23" s="529">
        <f t="shared" si="6"/>
        <v>200500</v>
      </c>
      <c r="O23" s="130"/>
    </row>
    <row r="24" spans="2:15">
      <c r="B24" s="402">
        <v>21</v>
      </c>
      <c r="C24" s="406" t="e">
        <f>#REF!</f>
        <v>#REF!</v>
      </c>
      <c r="D24" s="408" t="s">
        <v>337</v>
      </c>
      <c r="E24" s="405">
        <v>28500</v>
      </c>
      <c r="F24" s="536">
        <f>E24*2+200</f>
        <v>57200</v>
      </c>
      <c r="G24" s="536">
        <f t="shared" si="1"/>
        <v>56628</v>
      </c>
      <c r="H24" s="536">
        <f t="shared" si="2"/>
        <v>572</v>
      </c>
      <c r="I24" s="536">
        <f t="shared" si="3"/>
        <v>142500</v>
      </c>
      <c r="J24" s="536">
        <f t="shared" si="4"/>
        <v>141075</v>
      </c>
      <c r="K24" s="536">
        <f t="shared" si="5"/>
        <v>1410.75</v>
      </c>
      <c r="L24" s="536"/>
      <c r="M24" s="538"/>
      <c r="N24" s="529">
        <f t="shared" si="6"/>
        <v>199700</v>
      </c>
      <c r="O24" s="130"/>
    </row>
    <row r="25" spans="2:15">
      <c r="B25" s="402">
        <v>22</v>
      </c>
      <c r="C25" s="406" t="e">
        <f>#REF!</f>
        <v>#REF!</v>
      </c>
      <c r="D25" s="408" t="s">
        <v>337</v>
      </c>
      <c r="E25" s="405">
        <v>28500</v>
      </c>
      <c r="F25" s="536">
        <f t="shared" si="0"/>
        <v>57000</v>
      </c>
      <c r="G25" s="536">
        <f t="shared" si="1"/>
        <v>56430</v>
      </c>
      <c r="H25" s="536">
        <f t="shared" si="2"/>
        <v>570</v>
      </c>
      <c r="I25" s="536">
        <f t="shared" si="3"/>
        <v>142500</v>
      </c>
      <c r="J25" s="536">
        <f t="shared" si="4"/>
        <v>141075</v>
      </c>
      <c r="K25" s="536">
        <f t="shared" si="5"/>
        <v>1410.75</v>
      </c>
      <c r="L25" s="536"/>
      <c r="M25" s="538"/>
      <c r="N25" s="529">
        <f t="shared" si="6"/>
        <v>199500</v>
      </c>
      <c r="O25" s="130"/>
    </row>
    <row r="26" spans="2:15">
      <c r="B26" s="402">
        <v>23</v>
      </c>
      <c r="C26" s="406" t="e">
        <f>#REF!</f>
        <v>#REF!</v>
      </c>
      <c r="D26" s="408" t="s">
        <v>335</v>
      </c>
      <c r="E26" s="405">
        <v>28500</v>
      </c>
      <c r="F26" s="536">
        <f t="shared" si="0"/>
        <v>57000</v>
      </c>
      <c r="G26" s="536">
        <f t="shared" si="1"/>
        <v>56430</v>
      </c>
      <c r="H26" s="536">
        <f t="shared" si="2"/>
        <v>570</v>
      </c>
      <c r="I26" s="536">
        <f t="shared" si="3"/>
        <v>142500</v>
      </c>
      <c r="J26" s="536">
        <f t="shared" si="4"/>
        <v>141075</v>
      </c>
      <c r="K26" s="536">
        <f t="shared" si="5"/>
        <v>1410.75</v>
      </c>
      <c r="L26" s="536"/>
      <c r="M26" s="538"/>
      <c r="N26" s="529">
        <f t="shared" si="6"/>
        <v>199500</v>
      </c>
      <c r="O26" s="130"/>
    </row>
    <row r="27" spans="2:15">
      <c r="B27" s="402">
        <v>24</v>
      </c>
      <c r="C27" s="406" t="e">
        <f>#REF!</f>
        <v>#REF!</v>
      </c>
      <c r="D27" s="408" t="s">
        <v>337</v>
      </c>
      <c r="E27" s="405">
        <v>28500</v>
      </c>
      <c r="F27" s="536">
        <f t="shared" si="0"/>
        <v>57000</v>
      </c>
      <c r="G27" s="536">
        <f t="shared" si="1"/>
        <v>56430</v>
      </c>
      <c r="H27" s="536">
        <f t="shared" si="2"/>
        <v>570</v>
      </c>
      <c r="I27" s="536">
        <f t="shared" si="3"/>
        <v>142500</v>
      </c>
      <c r="J27" s="536">
        <f t="shared" si="4"/>
        <v>141075</v>
      </c>
      <c r="K27" s="536">
        <f t="shared" si="5"/>
        <v>1410.75</v>
      </c>
      <c r="L27" s="536"/>
      <c r="M27" s="538"/>
      <c r="N27" s="529">
        <f t="shared" si="6"/>
        <v>199500</v>
      </c>
      <c r="O27" s="130"/>
    </row>
    <row r="28" spans="2:15">
      <c r="B28" s="402">
        <v>25</v>
      </c>
      <c r="C28" s="406" t="e">
        <f>#REF!</f>
        <v>#REF!</v>
      </c>
      <c r="D28" s="408" t="s">
        <v>337</v>
      </c>
      <c r="E28" s="405">
        <v>28500</v>
      </c>
      <c r="F28" s="536">
        <f t="shared" si="0"/>
        <v>57000</v>
      </c>
      <c r="G28" s="536">
        <f t="shared" si="1"/>
        <v>56430</v>
      </c>
      <c r="H28" s="536">
        <f t="shared" si="2"/>
        <v>570</v>
      </c>
      <c r="I28" s="536">
        <f t="shared" si="3"/>
        <v>142500</v>
      </c>
      <c r="J28" s="536">
        <f t="shared" si="4"/>
        <v>141075</v>
      </c>
      <c r="K28" s="536">
        <f t="shared" si="5"/>
        <v>1410.75</v>
      </c>
      <c r="L28" s="536"/>
      <c r="M28" s="538"/>
      <c r="N28" s="529">
        <f t="shared" si="6"/>
        <v>199500</v>
      </c>
      <c r="O28" s="130"/>
    </row>
    <row r="29" spans="2:15">
      <c r="B29" s="402">
        <v>26</v>
      </c>
      <c r="C29" s="406" t="e">
        <f>#REF!</f>
        <v>#REF!</v>
      </c>
      <c r="D29" s="408" t="s">
        <v>337</v>
      </c>
      <c r="E29" s="405">
        <v>28500</v>
      </c>
      <c r="F29" s="536">
        <f t="shared" si="0"/>
        <v>57000</v>
      </c>
      <c r="G29" s="536">
        <f t="shared" si="1"/>
        <v>56430</v>
      </c>
      <c r="H29" s="536">
        <f t="shared" si="2"/>
        <v>570</v>
      </c>
      <c r="I29" s="536">
        <f t="shared" si="3"/>
        <v>142500</v>
      </c>
      <c r="J29" s="536">
        <f t="shared" si="4"/>
        <v>141075</v>
      </c>
      <c r="K29" s="536">
        <f t="shared" si="5"/>
        <v>1410.75</v>
      </c>
      <c r="L29" s="536"/>
      <c r="M29" s="538"/>
      <c r="N29" s="529">
        <f t="shared" si="6"/>
        <v>199500</v>
      </c>
      <c r="O29" s="130"/>
    </row>
    <row r="30" spans="2:15">
      <c r="B30" s="402">
        <v>27</v>
      </c>
      <c r="C30" s="406" t="e">
        <f>#REF!</f>
        <v>#REF!</v>
      </c>
      <c r="D30" s="408" t="s">
        <v>335</v>
      </c>
      <c r="E30" s="405">
        <v>28500</v>
      </c>
      <c r="F30" s="536">
        <f t="shared" si="0"/>
        <v>57000</v>
      </c>
      <c r="G30" s="536">
        <f t="shared" si="1"/>
        <v>56430</v>
      </c>
      <c r="H30" s="536">
        <f t="shared" si="2"/>
        <v>570</v>
      </c>
      <c r="I30" s="536">
        <f t="shared" si="3"/>
        <v>142500</v>
      </c>
      <c r="J30" s="536">
        <f t="shared" si="4"/>
        <v>141075</v>
      </c>
      <c r="K30" s="536">
        <f t="shared" si="5"/>
        <v>1410.75</v>
      </c>
      <c r="L30" s="536"/>
      <c r="M30" s="538"/>
      <c r="N30" s="529">
        <f t="shared" si="6"/>
        <v>199500</v>
      </c>
      <c r="O30" s="130"/>
    </row>
    <row r="31" spans="2:15" s="3" customFormat="1">
      <c r="B31" s="402"/>
      <c r="C31" s="406" t="e">
        <f>#REF!</f>
        <v>#REF!</v>
      </c>
      <c r="D31" s="408" t="s">
        <v>337</v>
      </c>
      <c r="E31" s="405">
        <v>28500</v>
      </c>
      <c r="F31" s="536">
        <f>E31*2</f>
        <v>57000</v>
      </c>
      <c r="G31" s="536">
        <f t="shared" si="1"/>
        <v>56430</v>
      </c>
      <c r="H31" s="536">
        <f t="shared" si="2"/>
        <v>570</v>
      </c>
      <c r="I31" s="536">
        <f t="shared" si="3"/>
        <v>142500</v>
      </c>
      <c r="J31" s="536">
        <f t="shared" si="4"/>
        <v>141075</v>
      </c>
      <c r="K31" s="536">
        <f t="shared" si="5"/>
        <v>1410.75</v>
      </c>
      <c r="L31" s="536"/>
      <c r="M31" s="538"/>
      <c r="N31" s="529">
        <f t="shared" si="6"/>
        <v>199500</v>
      </c>
      <c r="O31" s="130"/>
    </row>
    <row r="32" spans="2:15" s="3" customFormat="1">
      <c r="B32" s="402"/>
      <c r="C32" s="406" t="e">
        <f>#REF!</f>
        <v>#REF!</v>
      </c>
      <c r="D32" s="408" t="s">
        <v>337</v>
      </c>
      <c r="E32" s="405">
        <v>28500</v>
      </c>
      <c r="F32" s="536"/>
      <c r="G32" s="536"/>
      <c r="H32" s="536"/>
      <c r="I32" s="536">
        <f t="shared" si="3"/>
        <v>142500</v>
      </c>
      <c r="J32" s="536">
        <f t="shared" si="4"/>
        <v>141075</v>
      </c>
      <c r="K32" s="536">
        <f t="shared" si="5"/>
        <v>1410.75</v>
      </c>
      <c r="L32" s="536"/>
      <c r="M32" s="538">
        <f>E32*2</f>
        <v>57000</v>
      </c>
      <c r="N32" s="529">
        <f t="shared" si="6"/>
        <v>199500</v>
      </c>
      <c r="O32" s="130"/>
    </row>
    <row r="33" spans="2:15" s="3" customFormat="1">
      <c r="B33" s="402"/>
      <c r="C33" s="406" t="e">
        <f>#REF!</f>
        <v>#REF!</v>
      </c>
      <c r="D33" s="408" t="s">
        <v>337</v>
      </c>
      <c r="E33" s="405">
        <v>28500</v>
      </c>
      <c r="F33" s="536"/>
      <c r="G33" s="536"/>
      <c r="H33" s="536"/>
      <c r="I33" s="536">
        <f t="shared" si="3"/>
        <v>142500</v>
      </c>
      <c r="J33" s="536">
        <f t="shared" si="4"/>
        <v>141075</v>
      </c>
      <c r="K33" s="536">
        <f t="shared" si="5"/>
        <v>1410.75</v>
      </c>
      <c r="L33" s="536"/>
      <c r="M33" s="538">
        <f t="shared" ref="M33:M34" si="7">E33*2</f>
        <v>57000</v>
      </c>
      <c r="N33" s="529">
        <f t="shared" si="6"/>
        <v>199500</v>
      </c>
      <c r="O33" s="130"/>
    </row>
    <row r="34" spans="2:15" s="3" customFormat="1">
      <c r="B34" s="402"/>
      <c r="C34" s="406" t="s">
        <v>349</v>
      </c>
      <c r="D34" s="408" t="s">
        <v>335</v>
      </c>
      <c r="E34" s="405">
        <v>25600</v>
      </c>
      <c r="F34" s="536"/>
      <c r="G34" s="536"/>
      <c r="H34" s="536"/>
      <c r="I34" s="536">
        <f t="shared" si="3"/>
        <v>128000</v>
      </c>
      <c r="J34" s="536">
        <f t="shared" si="4"/>
        <v>126720</v>
      </c>
      <c r="K34" s="536">
        <f t="shared" si="5"/>
        <v>1267.2</v>
      </c>
      <c r="L34" s="536"/>
      <c r="M34" s="538">
        <f t="shared" si="7"/>
        <v>51200</v>
      </c>
      <c r="N34" s="529">
        <f t="shared" si="6"/>
        <v>179200</v>
      </c>
      <c r="O34" s="130"/>
    </row>
    <row r="35" spans="2:15" s="3" customFormat="1">
      <c r="B35" s="402"/>
      <c r="C35" s="406" t="s">
        <v>350</v>
      </c>
      <c r="D35" s="408" t="s">
        <v>408</v>
      </c>
      <c r="E35" s="405">
        <v>25600</v>
      </c>
      <c r="F35" s="536"/>
      <c r="G35" s="536"/>
      <c r="H35" s="536"/>
      <c r="I35" s="536">
        <f t="shared" si="3"/>
        <v>128000</v>
      </c>
      <c r="J35" s="536">
        <f t="shared" si="4"/>
        <v>126720</v>
      </c>
      <c r="K35" s="536">
        <f t="shared" si="5"/>
        <v>1267.2</v>
      </c>
      <c r="L35" s="536"/>
      <c r="M35" s="538">
        <f>E35*2-5200</f>
        <v>46000</v>
      </c>
      <c r="N35" s="529">
        <f t="shared" si="6"/>
        <v>174000</v>
      </c>
      <c r="O35" s="130"/>
    </row>
    <row r="36" spans="2:15" s="3" customFormat="1">
      <c r="B36" s="402"/>
      <c r="C36" s="406" t="s">
        <v>349</v>
      </c>
      <c r="D36" s="408" t="s">
        <v>335</v>
      </c>
      <c r="E36" s="405">
        <v>23600</v>
      </c>
      <c r="F36" s="536"/>
      <c r="G36" s="536"/>
      <c r="H36" s="536"/>
      <c r="I36" s="536">
        <f t="shared" si="3"/>
        <v>118000</v>
      </c>
      <c r="J36" s="536">
        <f t="shared" si="4"/>
        <v>116820</v>
      </c>
      <c r="K36" s="536">
        <f t="shared" si="5"/>
        <v>1168.2</v>
      </c>
      <c r="L36" s="536"/>
      <c r="M36" s="538"/>
      <c r="N36" s="529">
        <f t="shared" si="6"/>
        <v>118000</v>
      </c>
      <c r="O36" s="130"/>
    </row>
    <row r="37" spans="2:15" s="3" customFormat="1">
      <c r="B37" s="402"/>
      <c r="C37" s="406" t="s">
        <v>350</v>
      </c>
      <c r="D37" s="408" t="s">
        <v>342</v>
      </c>
      <c r="E37" s="405">
        <v>23400</v>
      </c>
      <c r="F37" s="536"/>
      <c r="G37" s="536"/>
      <c r="H37" s="536"/>
      <c r="I37" s="536">
        <f t="shared" si="3"/>
        <v>117000</v>
      </c>
      <c r="J37" s="536">
        <f t="shared" si="4"/>
        <v>115830</v>
      </c>
      <c r="K37" s="536">
        <f t="shared" si="5"/>
        <v>1158.3</v>
      </c>
      <c r="L37" s="536"/>
      <c r="M37" s="538"/>
      <c r="N37" s="529">
        <f t="shared" si="6"/>
        <v>117000</v>
      </c>
      <c r="O37" s="130"/>
    </row>
    <row r="38" spans="2:15" s="3" customFormat="1">
      <c r="B38" s="402"/>
      <c r="C38" s="406" t="s">
        <v>351</v>
      </c>
      <c r="D38" s="408" t="s">
        <v>352</v>
      </c>
      <c r="E38" s="405">
        <v>25860</v>
      </c>
      <c r="F38" s="536"/>
      <c r="G38" s="536"/>
      <c r="H38" s="536"/>
      <c r="I38" s="536">
        <f t="shared" si="3"/>
        <v>129300</v>
      </c>
      <c r="J38" s="536">
        <f t="shared" si="4"/>
        <v>128007</v>
      </c>
      <c r="K38" s="536">
        <f t="shared" si="5"/>
        <v>1280.07</v>
      </c>
      <c r="L38" s="536">
        <f>E38*7</f>
        <v>181020</v>
      </c>
      <c r="M38" s="538"/>
      <c r="N38" s="529">
        <f t="shared" si="6"/>
        <v>310320</v>
      </c>
      <c r="O38" s="130"/>
    </row>
    <row r="39" spans="2:15" s="3" customFormat="1">
      <c r="B39" s="402"/>
      <c r="C39" s="406" t="s">
        <v>353</v>
      </c>
      <c r="D39" s="408" t="s">
        <v>354</v>
      </c>
      <c r="E39" s="405">
        <v>25450</v>
      </c>
      <c r="F39" s="536"/>
      <c r="G39" s="536"/>
      <c r="H39" s="536"/>
      <c r="I39" s="536">
        <f t="shared" si="3"/>
        <v>127250</v>
      </c>
      <c r="J39" s="536">
        <f t="shared" si="4"/>
        <v>125977.5</v>
      </c>
      <c r="K39" s="536">
        <f t="shared" si="5"/>
        <v>1259.7750000000001</v>
      </c>
      <c r="L39" s="536">
        <f t="shared" ref="L39:L54" si="8">E39*7</f>
        <v>178150</v>
      </c>
      <c r="M39" s="538"/>
      <c r="N39" s="529">
        <f t="shared" si="6"/>
        <v>305400</v>
      </c>
      <c r="O39" s="130"/>
    </row>
    <row r="40" spans="2:15" s="3" customFormat="1">
      <c r="B40" s="402"/>
      <c r="C40" s="406" t="e">
        <f>#REF!</f>
        <v>#REF!</v>
      </c>
      <c r="D40" s="408" t="e">
        <f>#REF!</f>
        <v>#REF!</v>
      </c>
      <c r="E40" s="405">
        <v>25800</v>
      </c>
      <c r="F40" s="536"/>
      <c r="G40" s="536"/>
      <c r="H40" s="536"/>
      <c r="I40" s="536">
        <f t="shared" si="3"/>
        <v>129000</v>
      </c>
      <c r="J40" s="536">
        <f t="shared" si="4"/>
        <v>127710</v>
      </c>
      <c r="K40" s="536">
        <f t="shared" si="5"/>
        <v>1277.0999999999999</v>
      </c>
      <c r="L40" s="536">
        <f t="shared" si="8"/>
        <v>180600</v>
      </c>
      <c r="M40" s="538"/>
      <c r="N40" s="529">
        <f t="shared" si="6"/>
        <v>309600</v>
      </c>
      <c r="O40" s="130"/>
    </row>
    <row r="41" spans="2:15" s="3" customFormat="1">
      <c r="B41" s="402"/>
      <c r="C41" s="406" t="e">
        <f>#REF!</f>
        <v>#REF!</v>
      </c>
      <c r="D41" s="408" t="e">
        <f>#REF!</f>
        <v>#REF!</v>
      </c>
      <c r="E41" s="405">
        <v>25650</v>
      </c>
      <c r="F41" s="536"/>
      <c r="G41" s="536"/>
      <c r="H41" s="536"/>
      <c r="I41" s="536">
        <f t="shared" si="3"/>
        <v>128250</v>
      </c>
      <c r="J41" s="536">
        <f t="shared" si="4"/>
        <v>126967.5</v>
      </c>
      <c r="K41" s="536">
        <f t="shared" si="5"/>
        <v>1269.675</v>
      </c>
      <c r="L41" s="536">
        <f t="shared" si="8"/>
        <v>179550</v>
      </c>
      <c r="M41" s="538"/>
      <c r="N41" s="529">
        <f t="shared" si="6"/>
        <v>307800</v>
      </c>
      <c r="O41" s="130"/>
    </row>
    <row r="42" spans="2:15" s="3" customFormat="1">
      <c r="B42" s="402"/>
      <c r="C42" s="406" t="e">
        <f>#REF!</f>
        <v>#REF!</v>
      </c>
      <c r="D42" s="408" t="e">
        <f>#REF!</f>
        <v>#REF!</v>
      </c>
      <c r="E42" s="405">
        <v>25860</v>
      </c>
      <c r="F42" s="536"/>
      <c r="G42" s="536"/>
      <c r="H42" s="536"/>
      <c r="I42" s="536">
        <f t="shared" si="3"/>
        <v>129300</v>
      </c>
      <c r="J42" s="536">
        <f t="shared" si="4"/>
        <v>128007</v>
      </c>
      <c r="K42" s="536">
        <f t="shared" si="5"/>
        <v>1280.07</v>
      </c>
      <c r="L42" s="536">
        <f t="shared" si="8"/>
        <v>181020</v>
      </c>
      <c r="M42" s="538"/>
      <c r="N42" s="529">
        <f t="shared" si="6"/>
        <v>310320</v>
      </c>
      <c r="O42" s="130"/>
    </row>
    <row r="43" spans="2:15" s="3" customFormat="1">
      <c r="B43" s="402"/>
      <c r="C43" s="406" t="e">
        <f>#REF!</f>
        <v>#REF!</v>
      </c>
      <c r="D43" s="408" t="e">
        <f>#REF!</f>
        <v>#REF!</v>
      </c>
      <c r="E43" s="537">
        <v>25450</v>
      </c>
      <c r="F43" s="536"/>
      <c r="G43" s="536"/>
      <c r="H43" s="536"/>
      <c r="I43" s="536">
        <f t="shared" si="3"/>
        <v>127250</v>
      </c>
      <c r="J43" s="536">
        <f t="shared" si="4"/>
        <v>125977.5</v>
      </c>
      <c r="K43" s="536">
        <f t="shared" si="5"/>
        <v>1259.7750000000001</v>
      </c>
      <c r="L43" s="536">
        <f t="shared" si="8"/>
        <v>178150</v>
      </c>
      <c r="M43" s="538"/>
      <c r="N43" s="529">
        <f t="shared" si="6"/>
        <v>305400</v>
      </c>
      <c r="O43" s="130"/>
    </row>
    <row r="44" spans="2:15" s="3" customFormat="1">
      <c r="B44" s="402"/>
      <c r="C44" s="406" t="e">
        <f>#REF!</f>
        <v>#REF!</v>
      </c>
      <c r="D44" s="408" t="e">
        <f>#REF!</f>
        <v>#REF!</v>
      </c>
      <c r="E44" s="537">
        <v>25450</v>
      </c>
      <c r="F44" s="536"/>
      <c r="G44" s="536"/>
      <c r="H44" s="536"/>
      <c r="I44" s="536">
        <f t="shared" si="3"/>
        <v>127250</v>
      </c>
      <c r="J44" s="536">
        <f t="shared" si="4"/>
        <v>125977.5</v>
      </c>
      <c r="K44" s="536">
        <f t="shared" si="5"/>
        <v>1259.7750000000001</v>
      </c>
      <c r="L44" s="536">
        <f t="shared" si="8"/>
        <v>178150</v>
      </c>
      <c r="M44" s="538"/>
      <c r="N44" s="529">
        <f t="shared" si="6"/>
        <v>305400</v>
      </c>
      <c r="O44" s="130"/>
    </row>
    <row r="45" spans="2:15" s="3" customFormat="1">
      <c r="B45" s="402"/>
      <c r="C45" s="406" t="e">
        <f>#REF!</f>
        <v>#REF!</v>
      </c>
      <c r="D45" s="408" t="e">
        <f>#REF!</f>
        <v>#REF!</v>
      </c>
      <c r="E45" s="537">
        <v>25450</v>
      </c>
      <c r="F45" s="536"/>
      <c r="G45" s="536"/>
      <c r="H45" s="536"/>
      <c r="I45" s="536">
        <f t="shared" si="3"/>
        <v>127250</v>
      </c>
      <c r="J45" s="536">
        <f t="shared" si="4"/>
        <v>125977.5</v>
      </c>
      <c r="K45" s="536">
        <f t="shared" si="5"/>
        <v>1259.7750000000001</v>
      </c>
      <c r="L45" s="536">
        <f t="shared" si="8"/>
        <v>178150</v>
      </c>
      <c r="M45" s="538"/>
      <c r="N45" s="529">
        <f t="shared" si="6"/>
        <v>305400</v>
      </c>
      <c r="O45" s="130"/>
    </row>
    <row r="46" spans="2:15" s="3" customFormat="1">
      <c r="B46" s="402"/>
      <c r="C46" s="406" t="e">
        <f>#REF!</f>
        <v>#REF!</v>
      </c>
      <c r="D46" s="408" t="e">
        <f>#REF!</f>
        <v>#REF!</v>
      </c>
      <c r="E46" s="537">
        <v>25450</v>
      </c>
      <c r="F46" s="536"/>
      <c r="G46" s="536"/>
      <c r="H46" s="536"/>
      <c r="I46" s="536">
        <f t="shared" si="3"/>
        <v>127250</v>
      </c>
      <c r="J46" s="536">
        <f t="shared" si="4"/>
        <v>125977.5</v>
      </c>
      <c r="K46" s="536">
        <f t="shared" si="5"/>
        <v>1259.7750000000001</v>
      </c>
      <c r="L46" s="536">
        <f t="shared" si="8"/>
        <v>178150</v>
      </c>
      <c r="M46" s="538"/>
      <c r="N46" s="529">
        <f t="shared" si="6"/>
        <v>305400</v>
      </c>
      <c r="O46" s="130"/>
    </row>
    <row r="47" spans="2:15" s="3" customFormat="1">
      <c r="B47" s="402"/>
      <c r="C47" s="406" t="e">
        <f>#REF!</f>
        <v>#REF!</v>
      </c>
      <c r="D47" s="408" t="e">
        <f>#REF!</f>
        <v>#REF!</v>
      </c>
      <c r="E47" s="537">
        <v>25450</v>
      </c>
      <c r="F47" s="536"/>
      <c r="G47" s="536"/>
      <c r="H47" s="536"/>
      <c r="I47" s="536">
        <f t="shared" si="3"/>
        <v>127250</v>
      </c>
      <c r="J47" s="536">
        <f t="shared" si="4"/>
        <v>125977.5</v>
      </c>
      <c r="K47" s="536">
        <f t="shared" si="5"/>
        <v>1259.7750000000001</v>
      </c>
      <c r="L47" s="536">
        <f t="shared" si="8"/>
        <v>178150</v>
      </c>
      <c r="M47" s="538"/>
      <c r="N47" s="529">
        <f t="shared" si="6"/>
        <v>305400</v>
      </c>
      <c r="O47" s="130"/>
    </row>
    <row r="48" spans="2:15" s="3" customFormat="1">
      <c r="B48" s="402"/>
      <c r="C48" s="406" t="s">
        <v>355</v>
      </c>
      <c r="D48" s="408" t="s">
        <v>356</v>
      </c>
      <c r="E48" s="537">
        <v>25450</v>
      </c>
      <c r="F48" s="536"/>
      <c r="G48" s="536"/>
      <c r="H48" s="536"/>
      <c r="I48" s="536">
        <f t="shared" si="3"/>
        <v>127250</v>
      </c>
      <c r="J48" s="536">
        <f t="shared" si="4"/>
        <v>125977.5</v>
      </c>
      <c r="K48" s="536">
        <f t="shared" si="5"/>
        <v>1259.7750000000001</v>
      </c>
      <c r="L48" s="536">
        <f t="shared" si="8"/>
        <v>178150</v>
      </c>
      <c r="M48" s="538"/>
      <c r="N48" s="529">
        <f t="shared" si="6"/>
        <v>305400</v>
      </c>
      <c r="O48" s="130"/>
    </row>
    <row r="49" spans="2:20" s="3" customFormat="1">
      <c r="B49" s="402"/>
      <c r="C49" s="406" t="s">
        <v>357</v>
      </c>
      <c r="D49" s="408" t="s">
        <v>356</v>
      </c>
      <c r="E49" s="537">
        <v>25450</v>
      </c>
      <c r="F49" s="536"/>
      <c r="G49" s="536"/>
      <c r="H49" s="536"/>
      <c r="I49" s="536">
        <f t="shared" si="3"/>
        <v>127250</v>
      </c>
      <c r="J49" s="536">
        <f t="shared" si="4"/>
        <v>125977.5</v>
      </c>
      <c r="K49" s="536">
        <f t="shared" si="5"/>
        <v>1259.7750000000001</v>
      </c>
      <c r="L49" s="536">
        <f t="shared" si="8"/>
        <v>178150</v>
      </c>
      <c r="M49" s="538"/>
      <c r="N49" s="529">
        <f t="shared" si="6"/>
        <v>305400</v>
      </c>
      <c r="O49" s="130"/>
    </row>
    <row r="50" spans="2:20" s="3" customFormat="1">
      <c r="B50" s="402"/>
      <c r="C50" s="406" t="s">
        <v>358</v>
      </c>
      <c r="D50" s="408" t="s">
        <v>352</v>
      </c>
      <c r="E50" s="537">
        <v>25450</v>
      </c>
      <c r="F50" s="536"/>
      <c r="G50" s="536"/>
      <c r="H50" s="536"/>
      <c r="I50" s="536">
        <f t="shared" si="3"/>
        <v>127250</v>
      </c>
      <c r="J50" s="536">
        <f t="shared" si="4"/>
        <v>125977.5</v>
      </c>
      <c r="K50" s="536">
        <f t="shared" si="5"/>
        <v>1259.7750000000001</v>
      </c>
      <c r="L50" s="536">
        <f t="shared" si="8"/>
        <v>178150</v>
      </c>
      <c r="M50" s="538"/>
      <c r="N50" s="529">
        <f t="shared" si="6"/>
        <v>305400</v>
      </c>
      <c r="O50" s="130"/>
    </row>
    <row r="51" spans="2:20" s="3" customFormat="1">
      <c r="B51" s="402"/>
      <c r="C51" s="406" t="e">
        <f>#REF!</f>
        <v>#REF!</v>
      </c>
      <c r="D51" s="408" t="e">
        <f>#REF!</f>
        <v>#REF!</v>
      </c>
      <c r="E51" s="537">
        <v>25450</v>
      </c>
      <c r="F51" s="536"/>
      <c r="G51" s="536"/>
      <c r="H51" s="536"/>
      <c r="I51" s="536">
        <f t="shared" si="3"/>
        <v>127250</v>
      </c>
      <c r="J51" s="536">
        <f t="shared" si="4"/>
        <v>125977.5</v>
      </c>
      <c r="K51" s="536">
        <f t="shared" si="5"/>
        <v>1259.7750000000001</v>
      </c>
      <c r="L51" s="536">
        <f t="shared" si="8"/>
        <v>178150</v>
      </c>
      <c r="M51" s="538"/>
      <c r="N51" s="529">
        <f t="shared" si="6"/>
        <v>305400</v>
      </c>
      <c r="O51" s="130"/>
    </row>
    <row r="52" spans="2:20" s="3" customFormat="1">
      <c r="B52" s="402"/>
      <c r="C52" s="406" t="e">
        <f>#REF!</f>
        <v>#REF!</v>
      </c>
      <c r="D52" s="408" t="e">
        <f>#REF!</f>
        <v>#REF!</v>
      </c>
      <c r="E52" s="537">
        <v>22450</v>
      </c>
      <c r="F52" s="536"/>
      <c r="G52" s="536"/>
      <c r="H52" s="536"/>
      <c r="I52" s="536">
        <f>E52*5-2100</f>
        <v>110150</v>
      </c>
      <c r="J52" s="536">
        <f t="shared" si="4"/>
        <v>109048.5</v>
      </c>
      <c r="K52" s="536">
        <f t="shared" si="5"/>
        <v>1090.4849999999999</v>
      </c>
      <c r="L52" s="536">
        <f t="shared" si="8"/>
        <v>157150</v>
      </c>
      <c r="M52" s="538"/>
      <c r="N52" s="529">
        <f t="shared" si="6"/>
        <v>267300</v>
      </c>
      <c r="O52" s="130"/>
    </row>
    <row r="53" spans="2:20" s="3" customFormat="1">
      <c r="B53" s="402"/>
      <c r="C53" s="406" t="e">
        <f>#REF!</f>
        <v>#REF!</v>
      </c>
      <c r="D53" s="408" t="e">
        <f>#REF!</f>
        <v>#REF!</v>
      </c>
      <c r="E53" s="537">
        <v>22000</v>
      </c>
      <c r="F53" s="536"/>
      <c r="G53" s="536"/>
      <c r="H53" s="536"/>
      <c r="I53" s="536">
        <f t="shared" si="3"/>
        <v>110000</v>
      </c>
      <c r="J53" s="536">
        <f t="shared" si="4"/>
        <v>108900</v>
      </c>
      <c r="K53" s="536">
        <f t="shared" si="5"/>
        <v>1089</v>
      </c>
      <c r="L53" s="536">
        <f t="shared" si="8"/>
        <v>154000</v>
      </c>
      <c r="M53" s="538"/>
      <c r="N53" s="529">
        <f t="shared" si="6"/>
        <v>264000</v>
      </c>
      <c r="O53" s="130"/>
    </row>
    <row r="54" spans="2:20" s="3" customFormat="1">
      <c r="B54" s="402"/>
      <c r="C54" s="406" t="e">
        <f>#REF!</f>
        <v>#REF!</v>
      </c>
      <c r="D54" s="408" t="e">
        <f>#REF!</f>
        <v>#REF!</v>
      </c>
      <c r="E54" s="537">
        <v>20000</v>
      </c>
      <c r="F54" s="536"/>
      <c r="G54" s="536"/>
      <c r="H54" s="536"/>
      <c r="I54" s="536">
        <f>E54*5</f>
        <v>100000</v>
      </c>
      <c r="J54" s="536">
        <f t="shared" si="4"/>
        <v>99000</v>
      </c>
      <c r="K54" s="536">
        <f t="shared" si="5"/>
        <v>990</v>
      </c>
      <c r="L54" s="536">
        <f t="shared" si="8"/>
        <v>140000</v>
      </c>
      <c r="M54" s="538"/>
      <c r="N54" s="529">
        <f t="shared" si="6"/>
        <v>240000</v>
      </c>
      <c r="O54" s="130"/>
    </row>
    <row r="55" spans="2:20" s="3" customFormat="1">
      <c r="B55" s="402"/>
      <c r="C55" s="406" t="e">
        <f>#REF!</f>
        <v>#REF!</v>
      </c>
      <c r="D55" s="408" t="e">
        <f>#REF!</f>
        <v>#REF!</v>
      </c>
      <c r="E55" s="537">
        <v>20000</v>
      </c>
      <c r="F55" s="536"/>
      <c r="G55" s="536"/>
      <c r="H55" s="536"/>
      <c r="I55" s="536">
        <f t="shared" si="3"/>
        <v>100000</v>
      </c>
      <c r="J55" s="536">
        <f t="shared" si="4"/>
        <v>99000</v>
      </c>
      <c r="K55" s="536">
        <f t="shared" si="5"/>
        <v>990</v>
      </c>
      <c r="L55" s="536">
        <f>E55*7-94840</f>
        <v>45160</v>
      </c>
      <c r="M55" s="538"/>
      <c r="N55" s="529">
        <f t="shared" si="6"/>
        <v>145160</v>
      </c>
      <c r="O55" s="130"/>
    </row>
    <row r="56" spans="2:20" s="3" customFormat="1">
      <c r="B56" s="402"/>
      <c r="C56" s="406"/>
      <c r="D56" s="408"/>
      <c r="E56" s="537"/>
      <c r="F56" s="536"/>
      <c r="G56" s="536"/>
      <c r="H56" s="536"/>
      <c r="I56" s="536"/>
      <c r="J56" s="536"/>
      <c r="K56" s="536"/>
      <c r="L56" s="536"/>
      <c r="M56" s="538"/>
      <c r="N56" s="529"/>
      <c r="O56" s="130"/>
    </row>
    <row r="57" spans="2:20" s="3" customFormat="1">
      <c r="B57" s="402"/>
      <c r="C57" s="406"/>
      <c r="D57" s="408"/>
      <c r="E57" s="405"/>
      <c r="F57" s="536">
        <f>SUM(F4:F37)</f>
        <v>1613400</v>
      </c>
      <c r="G57" s="536"/>
      <c r="H57" s="536">
        <f>SUM(H4:H55)</f>
        <v>16134</v>
      </c>
      <c r="I57" s="536">
        <f>SUM(I4:I55)</f>
        <v>7000000</v>
      </c>
      <c r="J57" s="536">
        <f>SUM(J4:J55)</f>
        <v>6930000</v>
      </c>
      <c r="K57" s="536">
        <f>SUM(K4:K55)</f>
        <v>69300</v>
      </c>
      <c r="L57" s="536">
        <f>SUM(L4:L55)</f>
        <v>3000000</v>
      </c>
      <c r="M57" s="536"/>
      <c r="N57" s="529">
        <f>SUM(N4:N56)</f>
        <v>11824600</v>
      </c>
      <c r="O57" s="130"/>
    </row>
    <row r="58" spans="2:20">
      <c r="B58" s="178"/>
      <c r="C58" s="178"/>
      <c r="D58" s="178"/>
      <c r="E58" s="538"/>
      <c r="F58" s="538">
        <v>16134</v>
      </c>
      <c r="G58" s="538"/>
      <c r="H58" s="538"/>
      <c r="I58" s="538">
        <v>70000</v>
      </c>
      <c r="J58" s="538"/>
      <c r="K58" s="640">
        <v>30000</v>
      </c>
      <c r="L58" s="641"/>
      <c r="M58" s="536">
        <v>2112</v>
      </c>
      <c r="N58" s="529">
        <f>SUM(F58:M58)</f>
        <v>118246</v>
      </c>
      <c r="O58" s="130">
        <f>F58+I58+K58+M58</f>
        <v>118246</v>
      </c>
      <c r="P58">
        <f>N57*1/100</f>
        <v>118246</v>
      </c>
      <c r="T58" s="3"/>
    </row>
    <row r="59" spans="2:20">
      <c r="T59" s="3"/>
    </row>
    <row r="60" spans="2:20">
      <c r="N60" s="529">
        <f>N57-N58</f>
        <v>11706354</v>
      </c>
    </row>
    <row r="61" spans="2:20">
      <c r="C61" s="406" t="e">
        <f>#REF!</f>
        <v>#REF!</v>
      </c>
      <c r="F61" s="3">
        <f t="shared" ref="F61" si="9">E61*9</f>
        <v>0</v>
      </c>
      <c r="T61" s="3"/>
    </row>
    <row r="62" spans="2:20">
      <c r="C62" s="3" t="e">
        <f>#REF!</f>
        <v>#REF!</v>
      </c>
      <c r="E62" s="130">
        <f>SUM(E4:E61)</f>
        <v>1400420</v>
      </c>
      <c r="F62" s="389">
        <f>SUM(F4:F61)</f>
        <v>3242934</v>
      </c>
      <c r="G62" s="389"/>
      <c r="H62" s="389"/>
      <c r="I62" s="529">
        <f>SUM(I4:I61)</f>
        <v>14070000</v>
      </c>
      <c r="J62" s="529"/>
      <c r="K62" s="529"/>
      <c r="L62" s="529">
        <f>SUM(L4:L61)</f>
        <v>6000000</v>
      </c>
      <c r="M62">
        <f>SUM(M4:M61)</f>
        <v>213312</v>
      </c>
      <c r="T62" s="3"/>
    </row>
    <row r="63" spans="2:20">
      <c r="C63" s="3" t="e">
        <f>#REF!</f>
        <v>#REF!</v>
      </c>
      <c r="T63" s="3"/>
    </row>
    <row r="64" spans="2:20">
      <c r="C64" s="3" t="e">
        <f>#REF!</f>
        <v>#REF!</v>
      </c>
      <c r="L64">
        <f>L62/9*6</f>
        <v>4000000</v>
      </c>
      <c r="T64" s="3"/>
    </row>
    <row r="65" spans="2:13">
      <c r="C65" s="3" t="e">
        <f>#REF!</f>
        <v>#REF!</v>
      </c>
    </row>
    <row r="66" spans="2:13">
      <c r="B66" s="402">
        <v>28</v>
      </c>
      <c r="F66" s="3">
        <f>E31*12</f>
        <v>342000</v>
      </c>
    </row>
    <row r="67" spans="2:13">
      <c r="B67" s="402">
        <v>29</v>
      </c>
      <c r="F67" s="3">
        <f>E32*12</f>
        <v>342000</v>
      </c>
      <c r="M67" t="e">
        <f>2112/Q6</f>
        <v>#DIV/0!</v>
      </c>
    </row>
    <row r="68" spans="2:13">
      <c r="B68" s="402">
        <v>30</v>
      </c>
      <c r="F68" s="3">
        <f>E33*12</f>
        <v>342000</v>
      </c>
    </row>
    <row r="69" spans="2:13">
      <c r="F69" s="3">
        <f>SUM(F66:F68)</f>
        <v>1026000</v>
      </c>
      <c r="I69">
        <f>F69*1/100</f>
        <v>10260</v>
      </c>
    </row>
    <row r="70" spans="2:13">
      <c r="F70" s="529"/>
      <c r="G70" s="529"/>
      <c r="H70" s="529"/>
      <c r="I70" s="529">
        <f>E109*5</f>
        <v>142250</v>
      </c>
      <c r="J70" s="529"/>
      <c r="K70" s="529"/>
    </row>
    <row r="71" spans="2:13">
      <c r="F71" s="529"/>
      <c r="G71" s="529"/>
      <c r="H71" s="529"/>
      <c r="I71" s="529">
        <f>E110*5</f>
        <v>142250</v>
      </c>
      <c r="J71" s="529"/>
      <c r="K71" s="529"/>
    </row>
    <row r="72" spans="2:13">
      <c r="F72" s="529"/>
      <c r="G72" s="529"/>
      <c r="H72" s="529"/>
      <c r="I72" s="529">
        <f>E111*5</f>
        <v>142250</v>
      </c>
      <c r="J72" s="529"/>
      <c r="K72" s="529"/>
    </row>
    <row r="84" spans="2:13">
      <c r="M84" s="130" t="e">
        <f>#REF!+O58</f>
        <v>#REF!</v>
      </c>
    </row>
    <row r="85" spans="2:13">
      <c r="C85" s="3" t="e">
        <f>#REF!</f>
        <v>#REF!</v>
      </c>
      <c r="M85">
        <f>S66*100</f>
        <v>0</v>
      </c>
    </row>
    <row r="86" spans="2:13">
      <c r="C86" s="3" t="e">
        <f>#REF!</f>
        <v>#REF!</v>
      </c>
      <c r="M86" s="130" t="e">
        <f>M84-M85</f>
        <v>#REF!</v>
      </c>
    </row>
    <row r="87" spans="2:13">
      <c r="C87" s="3" t="s">
        <v>407</v>
      </c>
    </row>
    <row r="89" spans="2:13">
      <c r="B89">
        <v>1</v>
      </c>
      <c r="C89" s="406" t="e">
        <f>#REF!</f>
        <v>#REF!</v>
      </c>
      <c r="D89" s="130">
        <v>22000</v>
      </c>
      <c r="E89">
        <f>D89*8</f>
        <v>176000</v>
      </c>
    </row>
    <row r="90" spans="2:13">
      <c r="B90">
        <v>2</v>
      </c>
      <c r="C90" s="406" t="e">
        <f>#REF!</f>
        <v>#REF!</v>
      </c>
      <c r="D90" s="130">
        <v>22000</v>
      </c>
      <c r="E90" s="3">
        <f t="shared" ref="E90:E95" si="10">D90*8</f>
        <v>176000</v>
      </c>
    </row>
    <row r="91" spans="2:13">
      <c r="B91" s="3">
        <v>3</v>
      </c>
      <c r="C91" s="406" t="e">
        <f>#REF!</f>
        <v>#REF!</v>
      </c>
      <c r="D91" s="130">
        <v>22000</v>
      </c>
      <c r="E91" s="3">
        <f t="shared" si="10"/>
        <v>176000</v>
      </c>
    </row>
    <row r="92" spans="2:13">
      <c r="B92" s="3">
        <v>4</v>
      </c>
      <c r="C92" s="406" t="e">
        <f>#REF!</f>
        <v>#REF!</v>
      </c>
      <c r="D92" s="130">
        <v>22000</v>
      </c>
      <c r="E92" s="3">
        <f t="shared" si="10"/>
        <v>176000</v>
      </c>
    </row>
    <row r="93" spans="2:13">
      <c r="B93" s="3">
        <v>5</v>
      </c>
      <c r="C93" s="406" t="e">
        <f>#REF!</f>
        <v>#REF!</v>
      </c>
      <c r="D93" s="130">
        <v>22000</v>
      </c>
      <c r="E93" s="3">
        <f t="shared" si="10"/>
        <v>176000</v>
      </c>
    </row>
    <row r="94" spans="2:13">
      <c r="B94" s="3">
        <v>6</v>
      </c>
      <c r="C94" s="406" t="e">
        <f>#REF!</f>
        <v>#REF!</v>
      </c>
      <c r="D94" s="130">
        <v>22000</v>
      </c>
      <c r="E94" s="3">
        <f t="shared" si="10"/>
        <v>176000</v>
      </c>
      <c r="M94" s="130" t="e">
        <f>E106+M86</f>
        <v>#REF!</v>
      </c>
    </row>
    <row r="95" spans="2:13">
      <c r="B95" s="3">
        <v>7</v>
      </c>
      <c r="C95" s="406" t="e">
        <f>#REF!</f>
        <v>#REF!</v>
      </c>
      <c r="D95" s="130">
        <v>22000</v>
      </c>
      <c r="E95" s="3">
        <f t="shared" si="10"/>
        <v>176000</v>
      </c>
    </row>
    <row r="96" spans="2:13">
      <c r="B96" s="3">
        <v>8</v>
      </c>
      <c r="C96" s="406" t="e">
        <f>#REF!</f>
        <v>#REF!</v>
      </c>
      <c r="D96" s="130">
        <v>22000</v>
      </c>
      <c r="E96" s="3">
        <f>D96*8-7700</f>
        <v>168300</v>
      </c>
    </row>
    <row r="97" spans="3:12">
      <c r="C97" s="406"/>
      <c r="D97" s="130"/>
      <c r="E97" s="3"/>
    </row>
    <row r="98" spans="3:12">
      <c r="C98" s="406"/>
      <c r="D98" s="130"/>
      <c r="E98" s="3">
        <f>SUM(E89:E97)</f>
        <v>1400300</v>
      </c>
    </row>
    <row r="99" spans="3:12">
      <c r="C99" s="406"/>
      <c r="D99" s="130"/>
      <c r="E99" s="3"/>
    </row>
    <row r="100" spans="3:12">
      <c r="C100" s="406"/>
      <c r="D100" s="130"/>
      <c r="E100" s="3"/>
    </row>
    <row r="101" spans="3:12">
      <c r="C101" s="406"/>
      <c r="D101" s="130"/>
      <c r="E101" s="3"/>
    </row>
    <row r="102" spans="3:12">
      <c r="C102" s="406"/>
      <c r="D102" s="130"/>
      <c r="E102" s="3"/>
    </row>
    <row r="103" spans="3:12">
      <c r="C103" s="406"/>
      <c r="D103" s="130"/>
      <c r="E103" s="3"/>
    </row>
    <row r="104" spans="3:12">
      <c r="C104" s="406"/>
      <c r="D104" s="130"/>
      <c r="E104" s="3"/>
    </row>
    <row r="105" spans="3:12">
      <c r="C105" s="406"/>
      <c r="E105">
        <f>SUM(E89:E104)</f>
        <v>2800600</v>
      </c>
    </row>
    <row r="109" spans="3:12">
      <c r="C109" s="406" t="e">
        <f>#REF!</f>
        <v>#REF!</v>
      </c>
      <c r="D109" s="408" t="e">
        <f>#REF!</f>
        <v>#REF!</v>
      </c>
      <c r="E109" s="130">
        <v>28450</v>
      </c>
      <c r="F109" s="3"/>
      <c r="I109" s="3"/>
      <c r="L109" s="529">
        <f>E109*7</f>
        <v>199150</v>
      </c>
    </row>
    <row r="110" spans="3:12">
      <c r="C110" s="406" t="e">
        <f>#REF!</f>
        <v>#REF!</v>
      </c>
      <c r="D110" s="408" t="e">
        <f>#REF!</f>
        <v>#REF!</v>
      </c>
      <c r="E110" s="130">
        <v>28450</v>
      </c>
      <c r="F110" s="3"/>
      <c r="I110" s="3"/>
      <c r="L110" s="529">
        <f>E110*7</f>
        <v>199150</v>
      </c>
    </row>
    <row r="111" spans="3:12">
      <c r="C111" s="406" t="e">
        <f>#REF!</f>
        <v>#REF!</v>
      </c>
      <c r="D111" s="408" t="e">
        <f>#REF!</f>
        <v>#REF!</v>
      </c>
      <c r="E111" s="130">
        <v>28450</v>
      </c>
      <c r="F111" s="3"/>
      <c r="I111" s="3"/>
      <c r="L111" s="529">
        <f>E111*7</f>
        <v>199150</v>
      </c>
    </row>
  </sheetData>
  <mergeCells count="1">
    <mergeCell ref="K58:L58"/>
  </mergeCells>
  <pageMargins left="0.11811023622047245" right="0.11811023622047245" top="0.15748031496062992" bottom="0.15748031496062992" header="0.31496062992125984" footer="0.31496062992125984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workbookViewId="0">
      <selection activeCell="B6" sqref="B6:E42"/>
    </sheetView>
  </sheetViews>
  <sheetFormatPr defaultRowHeight="17.25"/>
  <cols>
    <col min="1" max="1" width="1.7109375" style="4" customWidth="1"/>
    <col min="2" max="2" width="35.140625" style="4" customWidth="1"/>
    <col min="3" max="3" width="17.140625" style="4" bestFit="1" customWidth="1"/>
    <col min="4" max="4" width="27" style="4" bestFit="1" customWidth="1"/>
    <col min="5" max="5" width="17.140625" style="4" bestFit="1" customWidth="1"/>
    <col min="6" max="6" width="15.5703125" style="4" bestFit="1" customWidth="1"/>
    <col min="7" max="7" width="15.28515625" style="4" bestFit="1" customWidth="1"/>
    <col min="8" max="8" width="17.140625" style="4" bestFit="1" customWidth="1"/>
    <col min="9" max="9" width="9.140625" style="4"/>
    <col min="10" max="10" width="16.140625" style="4" bestFit="1" customWidth="1"/>
    <col min="11" max="16384" width="9.140625" style="4"/>
  </cols>
  <sheetData>
    <row r="1" spans="1:5" ht="27">
      <c r="A1" s="632" t="s">
        <v>5</v>
      </c>
      <c r="B1" s="632"/>
      <c r="C1" s="632"/>
      <c r="D1" s="632"/>
      <c r="E1" s="632"/>
    </row>
    <row r="2" spans="1:5" ht="18">
      <c r="A2" s="634" t="s">
        <v>7</v>
      </c>
      <c r="B2" s="634"/>
      <c r="C2" s="634"/>
      <c r="D2" s="634"/>
      <c r="E2" s="634"/>
    </row>
    <row r="3" spans="1:5" ht="18">
      <c r="A3" s="634" t="s">
        <v>6</v>
      </c>
      <c r="B3" s="634"/>
      <c r="C3" s="634"/>
      <c r="D3" s="634"/>
      <c r="E3" s="634"/>
    </row>
    <row r="4" spans="1:5" ht="18">
      <c r="A4" s="635" t="s">
        <v>503</v>
      </c>
      <c r="B4" s="635"/>
      <c r="C4" s="635"/>
      <c r="D4" s="635"/>
      <c r="E4" s="635"/>
    </row>
    <row r="5" spans="1:5" ht="23.25" thickBot="1">
      <c r="A5" s="7"/>
      <c r="B5" s="7"/>
      <c r="C5" s="7"/>
      <c r="D5" s="7"/>
      <c r="E5" s="7"/>
    </row>
    <row r="6" spans="1:5" ht="18" thickBot="1">
      <c r="B6" s="566" t="s">
        <v>9</v>
      </c>
      <c r="C6" s="567" t="s">
        <v>11</v>
      </c>
      <c r="D6" s="579" t="s">
        <v>10</v>
      </c>
      <c r="E6" s="580" t="s">
        <v>11</v>
      </c>
    </row>
    <row r="7" spans="1:5">
      <c r="B7" s="563" t="s">
        <v>299</v>
      </c>
      <c r="C7" s="564"/>
      <c r="D7" s="565" t="s">
        <v>112</v>
      </c>
      <c r="E7" s="581">
        <v>2895407</v>
      </c>
    </row>
    <row r="8" spans="1:5">
      <c r="B8" s="160" t="s">
        <v>3</v>
      </c>
      <c r="C8" s="358">
        <v>4415359.49</v>
      </c>
      <c r="D8" s="555" t="s">
        <v>19</v>
      </c>
      <c r="E8" s="397"/>
    </row>
    <row r="9" spans="1:5">
      <c r="B9" s="160" t="s">
        <v>473</v>
      </c>
      <c r="C9" s="560">
        <v>1005000</v>
      </c>
      <c r="D9" s="555" t="s">
        <v>466</v>
      </c>
      <c r="E9" s="397">
        <v>45000</v>
      </c>
    </row>
    <row r="10" spans="1:5">
      <c r="B10" s="160" t="s">
        <v>321</v>
      </c>
      <c r="C10" s="558"/>
      <c r="D10" s="555" t="s">
        <v>52</v>
      </c>
      <c r="E10" s="397">
        <v>108960</v>
      </c>
    </row>
    <row r="11" spans="1:5">
      <c r="B11" s="55" t="s">
        <v>293</v>
      </c>
      <c r="C11" s="358">
        <v>420700.88</v>
      </c>
      <c r="D11" s="555" t="s">
        <v>50</v>
      </c>
      <c r="E11" s="397">
        <v>114485</v>
      </c>
    </row>
    <row r="12" spans="1:5">
      <c r="B12" s="56" t="s">
        <v>294</v>
      </c>
      <c r="C12" s="359">
        <v>297314</v>
      </c>
      <c r="D12" s="555" t="s">
        <v>450</v>
      </c>
      <c r="E12" s="397">
        <v>120853</v>
      </c>
    </row>
    <row r="13" spans="1:5">
      <c r="B13" s="56" t="s">
        <v>300</v>
      </c>
      <c r="C13" s="359">
        <v>1250000</v>
      </c>
      <c r="D13" s="555" t="s">
        <v>319</v>
      </c>
      <c r="E13" s="397">
        <v>45000</v>
      </c>
    </row>
    <row r="14" spans="1:5">
      <c r="B14" s="55" t="s">
        <v>296</v>
      </c>
      <c r="C14" s="358">
        <v>3136000</v>
      </c>
      <c r="D14" s="555" t="s">
        <v>182</v>
      </c>
      <c r="E14" s="397">
        <v>205125</v>
      </c>
    </row>
    <row r="15" spans="1:5">
      <c r="B15" s="55" t="s">
        <v>296</v>
      </c>
      <c r="C15" s="358">
        <v>3114000</v>
      </c>
      <c r="D15" s="555" t="s">
        <v>464</v>
      </c>
      <c r="E15" s="397">
        <v>204000</v>
      </c>
    </row>
    <row r="16" spans="1:5">
      <c r="B16" s="160" t="s">
        <v>437</v>
      </c>
      <c r="C16" s="558"/>
      <c r="D16" s="555" t="s">
        <v>42</v>
      </c>
      <c r="E16" s="397">
        <v>1119344</v>
      </c>
    </row>
    <row r="17" spans="2:10">
      <c r="B17" s="555" t="s">
        <v>507</v>
      </c>
      <c r="C17" s="358">
        <v>100000</v>
      </c>
      <c r="D17" s="555" t="s">
        <v>20</v>
      </c>
      <c r="E17" s="397">
        <f>60000+27567</f>
        <v>87567</v>
      </c>
    </row>
    <row r="18" spans="2:10">
      <c r="B18" s="555" t="s">
        <v>505</v>
      </c>
      <c r="C18" s="358">
        <v>700000</v>
      </c>
      <c r="D18" s="555" t="s">
        <v>467</v>
      </c>
      <c r="E18" s="397">
        <v>75000</v>
      </c>
      <c r="J18" s="174"/>
    </row>
    <row r="19" spans="2:10">
      <c r="B19" s="555" t="s">
        <v>508</v>
      </c>
      <c r="C19" s="358">
        <v>250000</v>
      </c>
      <c r="D19" s="555" t="s">
        <v>268</v>
      </c>
      <c r="E19" s="397">
        <v>85000</v>
      </c>
    </row>
    <row r="20" spans="2:10">
      <c r="B20" s="160" t="s">
        <v>269</v>
      </c>
      <c r="C20" s="558">
        <f>447073-41173</f>
        <v>405900</v>
      </c>
      <c r="D20" s="555" t="s">
        <v>465</v>
      </c>
      <c r="E20" s="397">
        <v>25000</v>
      </c>
    </row>
    <row r="21" spans="2:10">
      <c r="B21" s="160" t="s">
        <v>462</v>
      </c>
      <c r="C21" s="558">
        <v>41173</v>
      </c>
      <c r="D21" s="555" t="s">
        <v>359</v>
      </c>
      <c r="E21" s="397">
        <v>360000</v>
      </c>
    </row>
    <row r="22" spans="2:10">
      <c r="B22" s="160" t="s">
        <v>438</v>
      </c>
      <c r="C22" s="558">
        <v>4000000</v>
      </c>
      <c r="D22" s="555" t="s">
        <v>270</v>
      </c>
      <c r="E22" s="397">
        <v>3517.51</v>
      </c>
    </row>
    <row r="23" spans="2:10">
      <c r="B23" s="160" t="s">
        <v>506</v>
      </c>
      <c r="C23" s="558">
        <v>204703</v>
      </c>
      <c r="D23" s="555" t="s">
        <v>207</v>
      </c>
      <c r="E23" s="397">
        <f>1815395+94500</f>
        <v>1909895</v>
      </c>
    </row>
    <row r="24" spans="2:10">
      <c r="B24" s="160" t="s">
        <v>439</v>
      </c>
      <c r="C24" s="558">
        <v>70350.100000000006</v>
      </c>
      <c r="D24" s="555" t="s">
        <v>468</v>
      </c>
      <c r="E24" s="397">
        <v>165771</v>
      </c>
    </row>
    <row r="25" spans="2:10">
      <c r="D25" s="555" t="s">
        <v>56</v>
      </c>
      <c r="E25" s="397">
        <v>17000</v>
      </c>
    </row>
    <row r="26" spans="2:10">
      <c r="D26" s="555" t="s">
        <v>463</v>
      </c>
      <c r="E26" s="397">
        <v>407172</v>
      </c>
    </row>
    <row r="27" spans="2:10">
      <c r="D27" s="555" t="s">
        <v>469</v>
      </c>
      <c r="E27" s="397">
        <v>13680</v>
      </c>
    </row>
    <row r="28" spans="2:10">
      <c r="B28" s="160"/>
      <c r="C28" s="558"/>
      <c r="D28" s="555" t="s">
        <v>440</v>
      </c>
      <c r="E28" s="397">
        <v>27085</v>
      </c>
    </row>
    <row r="29" spans="2:10">
      <c r="B29" s="160"/>
      <c r="C29" s="558"/>
      <c r="D29" s="555" t="s">
        <v>470</v>
      </c>
      <c r="E29" s="397">
        <v>150000</v>
      </c>
    </row>
    <row r="30" spans="2:10">
      <c r="B30" s="160"/>
      <c r="C30" s="558"/>
      <c r="D30" s="555" t="s">
        <v>471</v>
      </c>
      <c r="E30" s="397">
        <v>50000</v>
      </c>
    </row>
    <row r="31" spans="2:10">
      <c r="B31" s="160"/>
      <c r="C31" s="558"/>
      <c r="D31" s="555" t="s">
        <v>472</v>
      </c>
      <c r="E31" s="397">
        <v>30000</v>
      </c>
    </row>
    <row r="32" spans="2:10">
      <c r="B32" s="160"/>
      <c r="C32" s="558"/>
      <c r="D32" s="555" t="s">
        <v>507</v>
      </c>
      <c r="E32" s="397">
        <v>100000</v>
      </c>
      <c r="J32" s="174"/>
    </row>
    <row r="33" spans="2:5">
      <c r="B33" s="160"/>
      <c r="C33" s="558"/>
      <c r="D33" s="555" t="s">
        <v>505</v>
      </c>
      <c r="E33" s="397">
        <v>700000</v>
      </c>
    </row>
    <row r="34" spans="2:5">
      <c r="B34" s="160"/>
      <c r="C34" s="558"/>
      <c r="D34" s="555" t="s">
        <v>301</v>
      </c>
      <c r="E34" s="397">
        <v>0</v>
      </c>
    </row>
    <row r="35" spans="2:5">
      <c r="D35" s="555" t="s">
        <v>292</v>
      </c>
      <c r="E35" s="397">
        <v>1318202.1000000001</v>
      </c>
    </row>
    <row r="36" spans="2:5">
      <c r="D36" s="555" t="s">
        <v>293</v>
      </c>
      <c r="E36" s="397">
        <v>420700.88</v>
      </c>
    </row>
    <row r="37" spans="2:5">
      <c r="D37" s="556" t="s">
        <v>294</v>
      </c>
      <c r="E37" s="524">
        <v>297314</v>
      </c>
    </row>
    <row r="38" spans="2:5">
      <c r="B38" s="160"/>
      <c r="C38" s="558"/>
      <c r="D38" s="556" t="s">
        <v>300</v>
      </c>
      <c r="E38" s="524">
        <v>1250000</v>
      </c>
    </row>
    <row r="39" spans="2:5">
      <c r="B39" s="160"/>
      <c r="C39" s="558"/>
      <c r="D39" s="555" t="s">
        <v>474</v>
      </c>
      <c r="E39" s="397">
        <v>1005000</v>
      </c>
    </row>
    <row r="40" spans="2:5">
      <c r="B40" s="160"/>
      <c r="C40" s="558"/>
      <c r="D40" s="555" t="s">
        <v>296</v>
      </c>
      <c r="E40" s="397">
        <v>3136000</v>
      </c>
    </row>
    <row r="41" spans="2:5">
      <c r="B41" s="160"/>
      <c r="C41" s="558"/>
      <c r="D41" s="555" t="s">
        <v>296</v>
      </c>
      <c r="E41" s="397">
        <v>3114000</v>
      </c>
    </row>
    <row r="42" spans="2:5" ht="18" thickBot="1">
      <c r="B42" s="154"/>
      <c r="C42" s="559">
        <f>SUM(C8:C41)</f>
        <v>19410500.470000003</v>
      </c>
      <c r="D42" s="557"/>
      <c r="E42" s="582">
        <f>SUM(E7:E41)</f>
        <v>19606078.490000002</v>
      </c>
    </row>
    <row r="43" spans="2:5">
      <c r="B43" s="134"/>
      <c r="C43" s="134"/>
      <c r="D43" s="134"/>
      <c r="E43" s="134"/>
    </row>
    <row r="44" spans="2:5">
      <c r="B44" s="642" t="s">
        <v>510</v>
      </c>
      <c r="C44" s="642"/>
      <c r="D44" s="642"/>
      <c r="E44" s="642"/>
    </row>
    <row r="45" spans="2:5">
      <c r="B45" s="134"/>
      <c r="C45" s="134"/>
      <c r="D45" s="134"/>
      <c r="E45" s="134"/>
    </row>
    <row r="46" spans="2:5">
      <c r="B46" s="134"/>
      <c r="C46" s="134"/>
      <c r="D46" s="134"/>
      <c r="E46" s="134"/>
    </row>
    <row r="47" spans="2:5">
      <c r="B47" s="134"/>
      <c r="C47" s="134"/>
      <c r="D47" s="134"/>
      <c r="E47" s="134"/>
    </row>
    <row r="49" spans="2:5">
      <c r="B49" s="4" t="s">
        <v>15</v>
      </c>
      <c r="D49" s="4" t="s">
        <v>229</v>
      </c>
    </row>
    <row r="51" spans="2:5">
      <c r="B51" s="630" t="s">
        <v>504</v>
      </c>
      <c r="C51" s="630"/>
      <c r="D51" s="630"/>
      <c r="E51" s="630"/>
    </row>
  </sheetData>
  <mergeCells count="6">
    <mergeCell ref="A1:E1"/>
    <mergeCell ref="A2:E2"/>
    <mergeCell ref="A3:E3"/>
    <mergeCell ref="A4:E4"/>
    <mergeCell ref="B51:E51"/>
    <mergeCell ref="B44:E44"/>
  </mergeCells>
  <pageMargins left="0.70866141732283472" right="0.70866141732283472" top="0.74803149606299213" bottom="0.15748031496062992" header="0.31496062992125984" footer="0.31496062992125984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6"/>
  <sheetViews>
    <sheetView tabSelected="1" topLeftCell="A79" workbookViewId="0">
      <selection activeCell="B2" sqref="A2:E97"/>
    </sheetView>
  </sheetViews>
  <sheetFormatPr defaultRowHeight="15"/>
  <cols>
    <col min="2" max="2" width="21.7109375" bestFit="1" customWidth="1"/>
    <col min="3" max="3" width="16.140625" bestFit="1" customWidth="1"/>
    <col min="4" max="4" width="23.5703125" bestFit="1" customWidth="1"/>
    <col min="5" max="5" width="16.85546875" bestFit="1" customWidth="1"/>
  </cols>
  <sheetData>
    <row r="2" spans="2:5" ht="18" thickBot="1">
      <c r="B2" s="643" t="s">
        <v>511</v>
      </c>
      <c r="C2" s="643"/>
      <c r="D2" s="643"/>
      <c r="E2" s="643"/>
    </row>
    <row r="3" spans="2:5" ht="17.25">
      <c r="B3" s="158" t="s">
        <v>475</v>
      </c>
      <c r="C3" s="583">
        <v>6345666</v>
      </c>
      <c r="D3" s="159" t="s">
        <v>488</v>
      </c>
      <c r="E3" s="156">
        <v>40000</v>
      </c>
    </row>
    <row r="4" spans="2:5" ht="17.25">
      <c r="B4" s="160" t="s">
        <v>476</v>
      </c>
      <c r="C4" s="175">
        <v>170000</v>
      </c>
      <c r="D4" s="55" t="s">
        <v>207</v>
      </c>
      <c r="E4" s="157">
        <v>4518327.0999999996</v>
      </c>
    </row>
    <row r="5" spans="2:5" ht="17.25">
      <c r="B5" s="160" t="s">
        <v>477</v>
      </c>
      <c r="C5" s="175">
        <v>50000</v>
      </c>
      <c r="D5" s="55" t="s">
        <v>277</v>
      </c>
      <c r="E5" s="157">
        <v>895065</v>
      </c>
    </row>
    <row r="6" spans="2:5" ht="17.25">
      <c r="B6" s="160" t="s">
        <v>478</v>
      </c>
      <c r="C6" s="175">
        <v>40000</v>
      </c>
      <c r="D6" s="55" t="s">
        <v>479</v>
      </c>
      <c r="E6" s="157">
        <v>2413766</v>
      </c>
    </row>
    <row r="7" spans="2:5" ht="17.25">
      <c r="B7" s="160"/>
      <c r="C7" s="175"/>
      <c r="D7" s="55" t="s">
        <v>457</v>
      </c>
      <c r="E7" s="157">
        <v>7455</v>
      </c>
    </row>
    <row r="8" spans="2:5" ht="17.25">
      <c r="B8" s="160" t="s">
        <v>485</v>
      </c>
      <c r="C8" s="175">
        <v>63136</v>
      </c>
      <c r="D8" s="55" t="s">
        <v>480</v>
      </c>
      <c r="E8" s="157">
        <v>648650</v>
      </c>
    </row>
    <row r="9" spans="2:5" ht="17.25">
      <c r="B9" s="160" t="s">
        <v>486</v>
      </c>
      <c r="C9" s="175">
        <v>7635400</v>
      </c>
      <c r="D9" s="55" t="s">
        <v>481</v>
      </c>
      <c r="E9" s="157">
        <v>154668</v>
      </c>
    </row>
    <row r="10" spans="2:5" ht="17.25">
      <c r="B10" s="160" t="s">
        <v>487</v>
      </c>
      <c r="C10" s="175">
        <v>439463</v>
      </c>
      <c r="D10" s="55" t="s">
        <v>482</v>
      </c>
      <c r="E10" s="157">
        <v>50153</v>
      </c>
    </row>
    <row r="11" spans="2:5" ht="17.25">
      <c r="B11" s="160"/>
      <c r="C11" s="175"/>
      <c r="D11" s="55" t="s">
        <v>212</v>
      </c>
      <c r="E11" s="157">
        <v>7500</v>
      </c>
    </row>
    <row r="12" spans="2:5" ht="17.25">
      <c r="B12" s="160"/>
      <c r="C12" s="175"/>
      <c r="D12" s="55" t="s">
        <v>42</v>
      </c>
      <c r="E12" s="157">
        <v>3958923</v>
      </c>
    </row>
    <row r="13" spans="2:5" ht="17.25">
      <c r="B13" s="160"/>
      <c r="C13" s="175"/>
      <c r="D13" s="55" t="s">
        <v>466</v>
      </c>
      <c r="E13" s="157">
        <v>150000</v>
      </c>
    </row>
    <row r="14" spans="2:5" ht="17.25">
      <c r="B14" s="160"/>
      <c r="C14" s="175"/>
      <c r="D14" s="55" t="s">
        <v>21</v>
      </c>
      <c r="E14" s="157">
        <v>27500</v>
      </c>
    </row>
    <row r="15" spans="2:5" ht="17.25">
      <c r="B15" s="160"/>
      <c r="C15" s="175"/>
      <c r="D15" s="55" t="s">
        <v>491</v>
      </c>
      <c r="E15" s="157">
        <v>179000</v>
      </c>
    </row>
    <row r="16" spans="2:5" ht="17.25">
      <c r="B16" s="160"/>
      <c r="C16" s="175"/>
      <c r="D16" s="55" t="s">
        <v>476</v>
      </c>
      <c r="E16" s="157">
        <v>286400</v>
      </c>
    </row>
    <row r="17" spans="2:5" ht="17.25">
      <c r="B17" s="160"/>
      <c r="C17" s="175"/>
      <c r="D17" s="55" t="s">
        <v>489</v>
      </c>
      <c r="E17" s="157">
        <v>25000</v>
      </c>
    </row>
    <row r="18" spans="2:5" ht="17.25">
      <c r="B18" s="160"/>
      <c r="C18" s="175"/>
      <c r="D18" s="55" t="s">
        <v>490</v>
      </c>
      <c r="E18" s="157">
        <v>732000</v>
      </c>
    </row>
    <row r="19" spans="2:5" ht="17.25">
      <c r="B19" s="160"/>
      <c r="C19" s="175"/>
      <c r="D19" s="55" t="s">
        <v>471</v>
      </c>
      <c r="E19" s="157">
        <v>50000</v>
      </c>
    </row>
    <row r="20" spans="2:5" ht="18" thickBot="1">
      <c r="B20" s="154"/>
      <c r="C20" s="177">
        <v>14743665</v>
      </c>
      <c r="D20" s="155"/>
      <c r="E20" s="355">
        <v>14144407.1</v>
      </c>
    </row>
    <row r="25" spans="2:5" ht="18" thickBot="1">
      <c r="B25" s="643" t="s">
        <v>509</v>
      </c>
      <c r="C25" s="643"/>
      <c r="D25" s="643"/>
      <c r="E25" s="643"/>
    </row>
    <row r="26" spans="2:5" ht="17.25">
      <c r="B26" s="584" t="s">
        <v>207</v>
      </c>
      <c r="C26" s="585">
        <v>10166277.029999999</v>
      </c>
      <c r="D26" s="159" t="s">
        <v>475</v>
      </c>
      <c r="E26" s="156">
        <v>3769345</v>
      </c>
    </row>
    <row r="27" spans="2:5" ht="17.25">
      <c r="B27" s="586" t="s">
        <v>21</v>
      </c>
      <c r="C27" s="587">
        <v>60135</v>
      </c>
      <c r="D27" s="55" t="s">
        <v>8</v>
      </c>
      <c r="E27" s="157">
        <v>25549735.130000003</v>
      </c>
    </row>
    <row r="28" spans="2:5" ht="17.25">
      <c r="B28" s="586" t="s">
        <v>492</v>
      </c>
      <c r="C28" s="587">
        <v>150000</v>
      </c>
      <c r="D28" s="55" t="s">
        <v>238</v>
      </c>
      <c r="E28" s="157">
        <v>168485.5</v>
      </c>
    </row>
    <row r="29" spans="2:5" ht="17.25">
      <c r="B29" s="586" t="s">
        <v>359</v>
      </c>
      <c r="C29" s="587">
        <v>79726.5</v>
      </c>
      <c r="D29" s="55"/>
      <c r="E29" s="157">
        <v>1400000</v>
      </c>
    </row>
    <row r="30" spans="2:5" ht="17.25">
      <c r="B30" s="586" t="s">
        <v>54</v>
      </c>
      <c r="C30" s="587">
        <v>36055</v>
      </c>
      <c r="D30" s="55"/>
      <c r="E30" s="157"/>
    </row>
    <row r="31" spans="2:5" ht="17.25">
      <c r="B31" s="586" t="s">
        <v>493</v>
      </c>
      <c r="C31" s="587">
        <v>148186.15</v>
      </c>
      <c r="D31" s="55"/>
      <c r="E31" s="157"/>
    </row>
    <row r="32" spans="2:5" ht="17.25">
      <c r="B32" s="586" t="s">
        <v>55</v>
      </c>
      <c r="C32" s="587">
        <v>817654.8899999999</v>
      </c>
      <c r="D32" s="55"/>
      <c r="E32" s="358"/>
    </row>
    <row r="33" spans="2:5" ht="17.25">
      <c r="B33" s="586" t="s">
        <v>52</v>
      </c>
      <c r="C33" s="587">
        <v>973184</v>
      </c>
      <c r="D33" s="55" t="s">
        <v>87</v>
      </c>
      <c r="E33" s="157"/>
    </row>
    <row r="34" spans="2:5" ht="17.25">
      <c r="B34" s="586" t="s">
        <v>67</v>
      </c>
      <c r="C34" s="587">
        <v>736068.41</v>
      </c>
      <c r="D34" s="55"/>
      <c r="E34" s="358"/>
    </row>
    <row r="35" spans="2:5" ht="17.25">
      <c r="B35" s="586" t="s">
        <v>331</v>
      </c>
      <c r="C35" s="587">
        <v>37340</v>
      </c>
      <c r="D35" s="55"/>
      <c r="E35" s="358"/>
    </row>
    <row r="36" spans="2:5" ht="17.25">
      <c r="B36" s="586" t="s">
        <v>27</v>
      </c>
      <c r="C36" s="587">
        <v>323316.55</v>
      </c>
      <c r="D36" s="55"/>
      <c r="E36" s="157"/>
    </row>
    <row r="37" spans="2:5" ht="17.25">
      <c r="B37" s="586" t="s">
        <v>494</v>
      </c>
      <c r="C37" s="587">
        <v>28800</v>
      </c>
      <c r="D37" s="55"/>
      <c r="E37" s="358"/>
    </row>
    <row r="38" spans="2:5" ht="17.25">
      <c r="B38" s="586" t="s">
        <v>19</v>
      </c>
      <c r="C38" s="587">
        <v>195774.85</v>
      </c>
      <c r="D38" s="55"/>
      <c r="E38" s="358"/>
    </row>
    <row r="39" spans="2:5" ht="17.25">
      <c r="B39" s="586" t="s">
        <v>58</v>
      </c>
      <c r="C39" s="587">
        <v>106805</v>
      </c>
      <c r="D39" s="55"/>
      <c r="E39" s="358"/>
    </row>
    <row r="40" spans="2:5" ht="17.25">
      <c r="B40" s="586" t="s">
        <v>495</v>
      </c>
      <c r="C40" s="587">
        <v>420500</v>
      </c>
      <c r="D40" s="55"/>
      <c r="E40" s="358"/>
    </row>
    <row r="41" spans="2:5" ht="17.25">
      <c r="B41" s="586" t="s">
        <v>496</v>
      </c>
      <c r="C41" s="587">
        <v>221344.2</v>
      </c>
      <c r="D41" s="55"/>
      <c r="E41" s="358"/>
    </row>
    <row r="42" spans="2:5" ht="17.25">
      <c r="B42" s="586" t="s">
        <v>497</v>
      </c>
      <c r="C42" s="587">
        <v>92500</v>
      </c>
      <c r="D42" s="55"/>
      <c r="E42" s="358"/>
    </row>
    <row r="43" spans="2:5" ht="17.25">
      <c r="B43" s="586" t="s">
        <v>203</v>
      </c>
      <c r="C43" s="587">
        <v>40375</v>
      </c>
      <c r="D43" s="55"/>
      <c r="E43" s="358"/>
    </row>
    <row r="44" spans="2:5" ht="17.25">
      <c r="B44" s="586" t="s">
        <v>56</v>
      </c>
      <c r="C44" s="572">
        <v>368288.45</v>
      </c>
      <c r="D44" s="55"/>
      <c r="E44" s="358"/>
    </row>
    <row r="45" spans="2:5" ht="17.25">
      <c r="B45" s="586" t="s">
        <v>286</v>
      </c>
      <c r="C45" s="572">
        <v>1074360</v>
      </c>
      <c r="D45" s="55"/>
      <c r="E45" s="358"/>
    </row>
    <row r="46" spans="2:5" ht="17.25">
      <c r="B46" s="586" t="s">
        <v>498</v>
      </c>
      <c r="C46" s="572">
        <v>527652.5</v>
      </c>
      <c r="D46" s="55"/>
      <c r="E46" s="358"/>
    </row>
    <row r="47" spans="2:5" ht="17.25">
      <c r="B47" s="573" t="s">
        <v>243</v>
      </c>
      <c r="C47" s="572">
        <v>16604343.529999999</v>
      </c>
      <c r="D47" s="55"/>
      <c r="E47" s="358"/>
    </row>
    <row r="48" spans="2:5" ht="17.25">
      <c r="B48" s="574" t="s">
        <v>499</v>
      </c>
      <c r="C48" s="572">
        <v>10000000</v>
      </c>
      <c r="D48" s="55"/>
      <c r="E48" s="358"/>
    </row>
    <row r="49" spans="1:5" ht="17.25">
      <c r="B49" s="573" t="s">
        <v>0</v>
      </c>
      <c r="C49" s="572">
        <v>598300</v>
      </c>
      <c r="D49" s="55"/>
      <c r="E49" s="358"/>
    </row>
    <row r="50" spans="1:5" ht="17.25">
      <c r="B50" s="573" t="s">
        <v>500</v>
      </c>
      <c r="C50" s="572">
        <v>3155166</v>
      </c>
      <c r="D50" s="55"/>
      <c r="E50" s="358"/>
    </row>
    <row r="51" spans="1:5" ht="17.25">
      <c r="B51" s="573" t="s">
        <v>501</v>
      </c>
      <c r="C51" s="572">
        <v>25273</v>
      </c>
      <c r="D51" s="55"/>
      <c r="E51" s="358"/>
    </row>
    <row r="52" spans="1:5" ht="18" thickBot="1">
      <c r="B52" s="575" t="s">
        <v>243</v>
      </c>
      <c r="C52" s="576">
        <v>30383082.530000001</v>
      </c>
      <c r="D52" s="155"/>
      <c r="E52" s="355">
        <v>30887565.630000003</v>
      </c>
    </row>
    <row r="53" spans="1:5" ht="15.75">
      <c r="B53" s="577" t="s">
        <v>502</v>
      </c>
      <c r="C53" s="578">
        <v>504483.1</v>
      </c>
      <c r="D53" s="588"/>
      <c r="E53" s="588"/>
    </row>
    <row r="54" spans="1:5">
      <c r="B54" s="588"/>
      <c r="C54" s="589">
        <v>30887565.630000003</v>
      </c>
      <c r="D54" s="588"/>
      <c r="E54" s="589">
        <v>-504483.10000000149</v>
      </c>
    </row>
    <row r="59" spans="1:5" ht="18" thickBot="1">
      <c r="A59" s="630" t="s">
        <v>512</v>
      </c>
      <c r="B59" s="630"/>
      <c r="C59" s="630"/>
      <c r="D59" s="630"/>
      <c r="E59" s="630"/>
    </row>
    <row r="60" spans="1:5" ht="17.25">
      <c r="B60" s="590" t="s">
        <v>9</v>
      </c>
      <c r="C60" s="591" t="s">
        <v>11</v>
      </c>
      <c r="D60" s="592" t="s">
        <v>10</v>
      </c>
      <c r="E60" s="246" t="s">
        <v>11</v>
      </c>
    </row>
    <row r="61" spans="1:5" ht="17.25">
      <c r="B61" s="55" t="s">
        <v>299</v>
      </c>
      <c r="C61" s="55"/>
      <c r="D61" s="55" t="s">
        <v>112</v>
      </c>
      <c r="E61" s="55">
        <v>2895407</v>
      </c>
    </row>
    <row r="62" spans="1:5" ht="17.25">
      <c r="B62" s="55" t="s">
        <v>3</v>
      </c>
      <c r="C62" s="55">
        <v>4415359.49</v>
      </c>
      <c r="D62" s="55" t="s">
        <v>19</v>
      </c>
      <c r="E62" s="55"/>
    </row>
    <row r="63" spans="1:5" ht="17.25">
      <c r="B63" s="55" t="s">
        <v>473</v>
      </c>
      <c r="C63" s="55">
        <v>1005000</v>
      </c>
      <c r="D63" s="55" t="s">
        <v>466</v>
      </c>
      <c r="E63" s="55">
        <v>45000</v>
      </c>
    </row>
    <row r="64" spans="1:5" ht="17.25">
      <c r="B64" s="55" t="s">
        <v>321</v>
      </c>
      <c r="C64" s="55"/>
      <c r="D64" s="55" t="s">
        <v>52</v>
      </c>
      <c r="E64" s="55">
        <v>108960</v>
      </c>
    </row>
    <row r="65" spans="2:5" ht="17.25">
      <c r="B65" s="55" t="s">
        <v>293</v>
      </c>
      <c r="C65" s="55">
        <v>420700.88</v>
      </c>
      <c r="D65" s="55" t="s">
        <v>50</v>
      </c>
      <c r="E65" s="55">
        <v>114485</v>
      </c>
    </row>
    <row r="66" spans="2:5" ht="17.25">
      <c r="B66" s="56" t="s">
        <v>294</v>
      </c>
      <c r="C66" s="56">
        <v>297314</v>
      </c>
      <c r="D66" s="55" t="s">
        <v>450</v>
      </c>
      <c r="E66" s="55">
        <v>120853</v>
      </c>
    </row>
    <row r="67" spans="2:5" ht="17.25">
      <c r="B67" s="56" t="s">
        <v>300</v>
      </c>
      <c r="C67" s="56">
        <v>1250000</v>
      </c>
      <c r="D67" s="55" t="s">
        <v>319</v>
      </c>
      <c r="E67" s="55">
        <v>45000</v>
      </c>
    </row>
    <row r="68" spans="2:5" ht="17.25">
      <c r="B68" s="55" t="s">
        <v>296</v>
      </c>
      <c r="C68" s="55">
        <v>3136000</v>
      </c>
      <c r="D68" s="55" t="s">
        <v>182</v>
      </c>
      <c r="E68" s="55">
        <v>205125</v>
      </c>
    </row>
    <row r="69" spans="2:5" ht="17.25">
      <c r="B69" s="55" t="s">
        <v>296</v>
      </c>
      <c r="C69" s="55">
        <v>3114000</v>
      </c>
      <c r="D69" s="55" t="s">
        <v>464</v>
      </c>
      <c r="E69" s="55">
        <v>204000</v>
      </c>
    </row>
    <row r="70" spans="2:5" ht="17.25">
      <c r="B70" s="55" t="s">
        <v>437</v>
      </c>
      <c r="C70" s="55"/>
      <c r="D70" s="55" t="s">
        <v>42</v>
      </c>
      <c r="E70" s="55">
        <v>1119344</v>
      </c>
    </row>
    <row r="71" spans="2:5" ht="17.25">
      <c r="B71" s="55" t="s">
        <v>507</v>
      </c>
      <c r="C71" s="55">
        <v>100000</v>
      </c>
      <c r="D71" s="55" t="s">
        <v>20</v>
      </c>
      <c r="E71" s="55">
        <v>87567</v>
      </c>
    </row>
    <row r="72" spans="2:5" ht="17.25">
      <c r="B72" s="55" t="s">
        <v>505</v>
      </c>
      <c r="C72" s="55">
        <v>700000</v>
      </c>
      <c r="D72" s="55" t="s">
        <v>467</v>
      </c>
      <c r="E72" s="55">
        <v>75000</v>
      </c>
    </row>
    <row r="73" spans="2:5" ht="17.25">
      <c r="B73" s="55" t="s">
        <v>508</v>
      </c>
      <c r="C73" s="55">
        <v>250000</v>
      </c>
      <c r="D73" s="55" t="s">
        <v>268</v>
      </c>
      <c r="E73" s="55">
        <v>85000</v>
      </c>
    </row>
    <row r="74" spans="2:5" ht="17.25">
      <c r="B74" s="55" t="s">
        <v>269</v>
      </c>
      <c r="C74" s="55">
        <v>405900</v>
      </c>
      <c r="D74" s="55" t="s">
        <v>465</v>
      </c>
      <c r="E74" s="55">
        <v>25000</v>
      </c>
    </row>
    <row r="75" spans="2:5" ht="17.25">
      <c r="B75" s="55" t="s">
        <v>462</v>
      </c>
      <c r="C75" s="55">
        <v>41173</v>
      </c>
      <c r="D75" s="55" t="s">
        <v>359</v>
      </c>
      <c r="E75" s="55">
        <v>360000</v>
      </c>
    </row>
    <row r="76" spans="2:5" ht="17.25">
      <c r="B76" s="55" t="s">
        <v>438</v>
      </c>
      <c r="C76" s="55">
        <v>4000000</v>
      </c>
      <c r="D76" s="55" t="s">
        <v>270</v>
      </c>
      <c r="E76" s="55">
        <v>3517.51</v>
      </c>
    </row>
    <row r="77" spans="2:5" ht="17.25">
      <c r="B77" s="55" t="s">
        <v>506</v>
      </c>
      <c r="C77" s="55">
        <v>204703</v>
      </c>
      <c r="D77" s="55" t="s">
        <v>207</v>
      </c>
      <c r="E77" s="55">
        <v>1909895</v>
      </c>
    </row>
    <row r="78" spans="2:5" ht="17.25">
      <c r="B78" s="55" t="s">
        <v>439</v>
      </c>
      <c r="C78" s="55">
        <v>70350.100000000006</v>
      </c>
      <c r="D78" s="55" t="s">
        <v>468</v>
      </c>
      <c r="E78" s="55">
        <v>165771</v>
      </c>
    </row>
    <row r="79" spans="2:5" ht="17.25">
      <c r="B79" s="55"/>
      <c r="C79" s="55"/>
      <c r="D79" s="55" t="s">
        <v>56</v>
      </c>
      <c r="E79" s="55">
        <v>17000</v>
      </c>
    </row>
    <row r="80" spans="2:5" ht="17.25">
      <c r="B80" s="55"/>
      <c r="C80" s="55"/>
      <c r="D80" s="55" t="s">
        <v>463</v>
      </c>
      <c r="E80" s="55">
        <v>407172</v>
      </c>
    </row>
    <row r="81" spans="2:5" ht="17.25">
      <c r="B81" s="55"/>
      <c r="C81" s="55"/>
      <c r="D81" s="55" t="s">
        <v>469</v>
      </c>
      <c r="E81" s="55">
        <v>13680</v>
      </c>
    </row>
    <row r="82" spans="2:5" ht="17.25">
      <c r="B82" s="55"/>
      <c r="C82" s="55"/>
      <c r="D82" s="55" t="s">
        <v>440</v>
      </c>
      <c r="E82" s="55">
        <v>27085</v>
      </c>
    </row>
    <row r="83" spans="2:5" ht="17.25">
      <c r="B83" s="55"/>
      <c r="C83" s="55"/>
      <c r="D83" s="55" t="s">
        <v>470</v>
      </c>
      <c r="E83" s="55">
        <v>150000</v>
      </c>
    </row>
    <row r="84" spans="2:5" ht="17.25">
      <c r="B84" s="55"/>
      <c r="C84" s="55"/>
      <c r="D84" s="55" t="s">
        <v>471</v>
      </c>
      <c r="E84" s="55">
        <v>50000</v>
      </c>
    </row>
    <row r="85" spans="2:5" ht="17.25">
      <c r="B85" s="55"/>
      <c r="C85" s="55"/>
      <c r="D85" s="55" t="s">
        <v>472</v>
      </c>
      <c r="E85" s="55">
        <v>30000</v>
      </c>
    </row>
    <row r="86" spans="2:5" ht="17.25">
      <c r="B86" s="55"/>
      <c r="C86" s="55"/>
      <c r="D86" s="55" t="s">
        <v>507</v>
      </c>
      <c r="E86" s="55">
        <v>100000</v>
      </c>
    </row>
    <row r="87" spans="2:5" ht="17.25">
      <c r="B87" s="55"/>
      <c r="C87" s="55"/>
      <c r="D87" s="55" t="s">
        <v>505</v>
      </c>
      <c r="E87" s="55">
        <v>700000</v>
      </c>
    </row>
    <row r="88" spans="2:5" ht="17.25">
      <c r="B88" s="55"/>
      <c r="C88" s="55"/>
      <c r="D88" s="55" t="s">
        <v>301</v>
      </c>
      <c r="E88" s="55">
        <v>0</v>
      </c>
    </row>
    <row r="89" spans="2:5" ht="17.25">
      <c r="B89" s="55"/>
      <c r="C89" s="55"/>
      <c r="D89" s="55" t="s">
        <v>292</v>
      </c>
      <c r="E89" s="55">
        <v>1318202.1000000001</v>
      </c>
    </row>
    <row r="90" spans="2:5" ht="17.25">
      <c r="B90" s="55"/>
      <c r="C90" s="55"/>
      <c r="D90" s="55" t="s">
        <v>293</v>
      </c>
      <c r="E90" s="55">
        <v>420700.88</v>
      </c>
    </row>
    <row r="91" spans="2:5" ht="17.25">
      <c r="B91" s="55"/>
      <c r="C91" s="55"/>
      <c r="D91" s="56" t="s">
        <v>294</v>
      </c>
      <c r="E91" s="56">
        <v>297314</v>
      </c>
    </row>
    <row r="92" spans="2:5" ht="17.25">
      <c r="B92" s="55"/>
      <c r="C92" s="55"/>
      <c r="D92" s="56" t="s">
        <v>300</v>
      </c>
      <c r="E92" s="56">
        <v>1250000</v>
      </c>
    </row>
    <row r="93" spans="2:5" ht="17.25">
      <c r="B93" s="55"/>
      <c r="C93" s="55"/>
      <c r="D93" s="55" t="s">
        <v>474</v>
      </c>
      <c r="E93" s="55">
        <v>1005000</v>
      </c>
    </row>
    <row r="94" spans="2:5" ht="17.25">
      <c r="B94" s="55"/>
      <c r="C94" s="55"/>
      <c r="D94" s="55" t="s">
        <v>296</v>
      </c>
      <c r="E94" s="55">
        <v>3136000</v>
      </c>
    </row>
    <row r="95" spans="2:5" ht="17.25">
      <c r="B95" s="55"/>
      <c r="C95" s="55"/>
      <c r="D95" s="55" t="s">
        <v>296</v>
      </c>
      <c r="E95" s="55">
        <v>3114000</v>
      </c>
    </row>
    <row r="96" spans="2:5" ht="17.25">
      <c r="B96" s="55"/>
      <c r="C96" s="55">
        <v>19410500.470000003</v>
      </c>
      <c r="D96" s="55"/>
      <c r="E96" s="55">
        <v>19606078.490000002</v>
      </c>
    </row>
  </sheetData>
  <mergeCells count="3">
    <mergeCell ref="B2:E2"/>
    <mergeCell ref="B25:E25"/>
    <mergeCell ref="A59:E59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60"/>
  <sheetViews>
    <sheetView topLeftCell="A40" workbookViewId="0">
      <selection activeCell="B43" sqref="B43:E60"/>
    </sheetView>
  </sheetViews>
  <sheetFormatPr defaultRowHeight="17.25"/>
  <cols>
    <col min="1" max="1" width="9.140625" style="4"/>
    <col min="2" max="2" width="21.7109375" style="4" bestFit="1" customWidth="1"/>
    <col min="3" max="3" width="16.140625" style="4" bestFit="1" customWidth="1"/>
    <col min="4" max="4" width="17.5703125" style="4" customWidth="1"/>
    <col min="5" max="5" width="16.85546875" style="4" bestFit="1" customWidth="1"/>
    <col min="6" max="6" width="15.5703125" style="4" bestFit="1" customWidth="1"/>
    <col min="7" max="7" width="12.28515625" style="4" bestFit="1" customWidth="1"/>
    <col min="8" max="8" width="12.42578125" style="4" bestFit="1" customWidth="1"/>
    <col min="9" max="9" width="11.5703125" style="4" bestFit="1" customWidth="1"/>
    <col min="10" max="10" width="17.140625" style="4" bestFit="1" customWidth="1"/>
    <col min="11" max="11" width="12.28515625" style="4" bestFit="1" customWidth="1"/>
    <col min="12" max="12" width="10.7109375" style="4" bestFit="1" customWidth="1"/>
    <col min="13" max="13" width="9.140625" style="4"/>
    <col min="14" max="14" width="17.140625" style="4" bestFit="1" customWidth="1"/>
    <col min="15" max="15" width="15" style="4" bestFit="1" customWidth="1"/>
    <col min="16" max="17" width="10.7109375" style="4" bestFit="1" customWidth="1"/>
    <col min="18" max="18" width="11.42578125" style="4" bestFit="1" customWidth="1"/>
    <col min="19" max="19" width="11.42578125" style="4" customWidth="1"/>
    <col min="20" max="20" width="12.28515625" style="4" bestFit="1" customWidth="1"/>
    <col min="21" max="21" width="11.42578125" style="4" customWidth="1"/>
    <col min="22" max="16384" width="9.140625" style="4"/>
  </cols>
  <sheetData>
    <row r="4" spans="2:22">
      <c r="B4" s="4" t="s">
        <v>475</v>
      </c>
      <c r="C4" s="4">
        <v>6345666</v>
      </c>
      <c r="E4" s="4" t="s">
        <v>488</v>
      </c>
      <c r="F4" s="4" t="s">
        <v>207</v>
      </c>
      <c r="G4" s="4" t="s">
        <v>277</v>
      </c>
      <c r="H4" s="4" t="s">
        <v>479</v>
      </c>
      <c r="I4" s="4" t="s">
        <v>457</v>
      </c>
      <c r="J4" s="4" t="s">
        <v>480</v>
      </c>
      <c r="K4" s="4" t="s">
        <v>481</v>
      </c>
      <c r="L4" s="4" t="s">
        <v>482</v>
      </c>
      <c r="M4" s="4" t="s">
        <v>212</v>
      </c>
      <c r="O4" s="4" t="s">
        <v>0</v>
      </c>
    </row>
    <row r="5" spans="2:22">
      <c r="B5" s="4" t="s">
        <v>476</v>
      </c>
      <c r="C5" s="4">
        <v>170000</v>
      </c>
      <c r="D5" s="4">
        <v>-170000</v>
      </c>
      <c r="E5" s="4">
        <v>40000</v>
      </c>
      <c r="F5" s="4">
        <v>234000</v>
      </c>
      <c r="G5" s="4">
        <v>676000</v>
      </c>
      <c r="H5" s="4">
        <v>306000</v>
      </c>
      <c r="I5" s="4">
        <v>7455</v>
      </c>
      <c r="J5" s="4">
        <v>125000</v>
      </c>
      <c r="K5" s="4">
        <v>8000</v>
      </c>
      <c r="L5" s="4">
        <v>50153</v>
      </c>
      <c r="M5" s="4">
        <v>7500</v>
      </c>
      <c r="O5" s="4" t="s">
        <v>491</v>
      </c>
      <c r="P5" s="4">
        <v>179000</v>
      </c>
      <c r="Q5" s="4">
        <v>438000</v>
      </c>
      <c r="R5" s="4">
        <v>-438000</v>
      </c>
      <c r="T5" s="4">
        <f>SUM(P5:S5)</f>
        <v>179000</v>
      </c>
      <c r="V5" s="4" t="s">
        <v>454</v>
      </c>
    </row>
    <row r="6" spans="2:22">
      <c r="B6" s="4" t="s">
        <v>477</v>
      </c>
      <c r="C6" s="4">
        <v>50000</v>
      </c>
      <c r="D6" s="4">
        <v>-50000</v>
      </c>
      <c r="F6" s="4">
        <v>832788.07</v>
      </c>
      <c r="G6" s="4">
        <v>198000</v>
      </c>
      <c r="H6" s="4">
        <v>413420</v>
      </c>
      <c r="J6" s="4">
        <v>312000</v>
      </c>
      <c r="K6" s="4">
        <v>53334</v>
      </c>
      <c r="O6" s="4" t="s">
        <v>476</v>
      </c>
      <c r="P6" s="4">
        <v>286400</v>
      </c>
      <c r="T6" s="4">
        <f>SUM(P6:S6)</f>
        <v>286400</v>
      </c>
      <c r="V6" s="4">
        <v>6000</v>
      </c>
    </row>
    <row r="7" spans="2:22">
      <c r="B7" s="4" t="s">
        <v>478</v>
      </c>
      <c r="C7" s="4">
        <v>40000</v>
      </c>
      <c r="D7" s="4">
        <v>-40000</v>
      </c>
      <c r="F7" s="4">
        <v>370145</v>
      </c>
      <c r="G7" s="4">
        <v>21065</v>
      </c>
      <c r="H7" s="4">
        <v>342768</v>
      </c>
      <c r="K7" s="4">
        <v>53334</v>
      </c>
      <c r="O7" s="4" t="s">
        <v>489</v>
      </c>
      <c r="P7" s="4">
        <v>25000</v>
      </c>
      <c r="T7" s="4">
        <f>SUM(P7:S7)</f>
        <v>25000</v>
      </c>
      <c r="V7" s="4">
        <v>7500</v>
      </c>
    </row>
    <row r="8" spans="2:22">
      <c r="F8" s="4">
        <v>1362097</v>
      </c>
      <c r="H8" s="4">
        <v>438000</v>
      </c>
      <c r="J8" s="4">
        <v>211650</v>
      </c>
      <c r="K8" s="4">
        <v>40000</v>
      </c>
      <c r="O8" s="4" t="s">
        <v>490</v>
      </c>
      <c r="P8" s="4">
        <v>132000</v>
      </c>
      <c r="Q8" s="4">
        <v>150000</v>
      </c>
      <c r="R8" s="4">
        <v>350000</v>
      </c>
      <c r="S8" s="4">
        <v>100000</v>
      </c>
      <c r="T8" s="4">
        <f>SUM(P8:S8)</f>
        <v>732000</v>
      </c>
      <c r="V8" s="4">
        <v>6202</v>
      </c>
    </row>
    <row r="9" spans="2:22">
      <c r="B9" s="4" t="s">
        <v>485</v>
      </c>
      <c r="C9" s="4">
        <v>63136</v>
      </c>
      <c r="F9" s="4">
        <v>1719297</v>
      </c>
      <c r="H9" s="4">
        <v>75109</v>
      </c>
      <c r="O9" s="4" t="s">
        <v>471</v>
      </c>
      <c r="P9" s="4">
        <v>50000</v>
      </c>
      <c r="T9" s="4">
        <f>SUM(P9:S9)</f>
        <v>50000</v>
      </c>
      <c r="V9" s="4">
        <v>5142</v>
      </c>
    </row>
    <row r="10" spans="2:22">
      <c r="B10" s="4" t="s">
        <v>486</v>
      </c>
      <c r="C10" s="4">
        <v>7635400</v>
      </c>
      <c r="H10" s="4">
        <v>139216</v>
      </c>
      <c r="T10" s="4">
        <f>SUM(T5:T9)</f>
        <v>1272400</v>
      </c>
      <c r="V10" s="4">
        <v>112</v>
      </c>
    </row>
    <row r="11" spans="2:22">
      <c r="B11" s="4" t="s">
        <v>487</v>
      </c>
      <c r="C11" s="4">
        <v>439463</v>
      </c>
      <c r="H11" s="4">
        <v>117715</v>
      </c>
      <c r="Q11" s="4">
        <v>11131</v>
      </c>
      <c r="R11" s="4">
        <v>15</v>
      </c>
    </row>
    <row r="12" spans="2:22">
      <c r="H12" s="4">
        <v>228750</v>
      </c>
      <c r="Q12" s="4">
        <v>800</v>
      </c>
      <c r="R12" s="4">
        <v>35100</v>
      </c>
    </row>
    <row r="13" spans="2:22">
      <c r="C13" s="4">
        <f>SUM(C9:C12)</f>
        <v>8137999</v>
      </c>
      <c r="H13" s="4">
        <v>95000</v>
      </c>
      <c r="Q13" s="4">
        <v>15000</v>
      </c>
      <c r="R13" s="4">
        <v>4125</v>
      </c>
      <c r="V13" s="4">
        <v>7563.54</v>
      </c>
    </row>
    <row r="14" spans="2:22">
      <c r="H14" s="4">
        <v>257788</v>
      </c>
      <c r="Q14" s="4">
        <v>5333.4</v>
      </c>
      <c r="R14" s="4">
        <v>16500</v>
      </c>
      <c r="V14" s="4">
        <v>5601</v>
      </c>
    </row>
    <row r="15" spans="2:22">
      <c r="B15" s="4">
        <f>C4+C9+C10+C11</f>
        <v>14483665</v>
      </c>
      <c r="E15" s="4">
        <f t="shared" ref="E15:M15" si="0">SUM(E5:E14)</f>
        <v>40000</v>
      </c>
      <c r="F15" s="4">
        <f t="shared" si="0"/>
        <v>4518327.07</v>
      </c>
      <c r="G15" s="4">
        <f t="shared" si="0"/>
        <v>895065</v>
      </c>
      <c r="H15" s="4">
        <f t="shared" si="0"/>
        <v>2413766</v>
      </c>
      <c r="I15" s="4">
        <f t="shared" si="0"/>
        <v>7455</v>
      </c>
      <c r="J15" s="4">
        <f t="shared" si="0"/>
        <v>648650</v>
      </c>
      <c r="K15" s="4">
        <f t="shared" si="0"/>
        <v>154668</v>
      </c>
      <c r="L15" s="4">
        <f t="shared" si="0"/>
        <v>50153</v>
      </c>
      <c r="M15" s="4">
        <f t="shared" si="0"/>
        <v>7500</v>
      </c>
      <c r="N15" s="4">
        <f>SUM(E15:M15)</f>
        <v>8735584.0700000003</v>
      </c>
      <c r="Q15" s="4">
        <v>5333.4</v>
      </c>
      <c r="V15" s="4">
        <v>1977.34</v>
      </c>
    </row>
    <row r="16" spans="2:22">
      <c r="B16" s="4">
        <f>C4+C9+C10+C11</f>
        <v>14483665</v>
      </c>
      <c r="Q16" s="4">
        <v>4000</v>
      </c>
      <c r="V16" s="4">
        <v>424.77</v>
      </c>
    </row>
    <row r="17" spans="6:22">
      <c r="F17" s="4" t="s">
        <v>484</v>
      </c>
      <c r="G17" s="4" t="s">
        <v>42</v>
      </c>
      <c r="H17" s="4" t="s">
        <v>466</v>
      </c>
      <c r="I17" s="4" t="s">
        <v>21</v>
      </c>
      <c r="V17" s="4">
        <v>406.65</v>
      </c>
    </row>
    <row r="18" spans="6:22">
      <c r="F18" s="4" t="s">
        <v>483</v>
      </c>
      <c r="V18" s="4">
        <v>1080</v>
      </c>
    </row>
    <row r="19" spans="6:22">
      <c r="F19" s="4">
        <v>36111</v>
      </c>
      <c r="G19" s="4">
        <v>130000</v>
      </c>
      <c r="H19" s="4">
        <v>150000</v>
      </c>
      <c r="I19" s="4">
        <v>27500</v>
      </c>
      <c r="V19" s="4">
        <v>6096.24</v>
      </c>
    </row>
    <row r="20" spans="6:22">
      <c r="G20" s="4">
        <v>100000</v>
      </c>
      <c r="V20" s="4">
        <v>670.74</v>
      </c>
    </row>
    <row r="21" spans="6:22">
      <c r="G21" s="4">
        <v>569787</v>
      </c>
      <c r="V21" s="4">
        <v>1599</v>
      </c>
    </row>
    <row r="22" spans="6:22">
      <c r="G22" s="4">
        <v>236975.35999999999</v>
      </c>
      <c r="V22" s="4">
        <v>1848</v>
      </c>
    </row>
    <row r="23" spans="6:22">
      <c r="G23" s="4">
        <v>337991.58</v>
      </c>
      <c r="Q23" s="4">
        <f>SUM(Q12:Q22)</f>
        <v>30466.800000000003</v>
      </c>
      <c r="R23" s="4">
        <f>SUM(R12:R22)</f>
        <v>55725</v>
      </c>
      <c r="V23" s="4">
        <v>1425</v>
      </c>
    </row>
    <row r="24" spans="6:22">
      <c r="G24" s="4">
        <v>20000</v>
      </c>
      <c r="R24" s="4">
        <f>V24+R23+Q23</f>
        <v>139840.08000000002</v>
      </c>
      <c r="V24" s="4">
        <f>SUM(V6:V23)</f>
        <v>53648.279999999992</v>
      </c>
    </row>
    <row r="25" spans="6:22">
      <c r="G25" s="4">
        <v>422001</v>
      </c>
    </row>
    <row r="26" spans="6:22">
      <c r="G26" s="4">
        <v>54904</v>
      </c>
    </row>
    <row r="27" spans="6:22">
      <c r="G27" s="4">
        <v>148960.20000000001</v>
      </c>
    </row>
    <row r="28" spans="6:22">
      <c r="G28" s="4">
        <v>32000</v>
      </c>
    </row>
    <row r="29" spans="6:22">
      <c r="G29" s="4">
        <v>78726</v>
      </c>
    </row>
    <row r="30" spans="6:22">
      <c r="G30" s="4">
        <v>1085369</v>
      </c>
    </row>
    <row r="31" spans="6:22">
      <c r="G31" s="4">
        <v>30634.3</v>
      </c>
    </row>
    <row r="32" spans="6:22">
      <c r="G32" s="4">
        <v>81360</v>
      </c>
    </row>
    <row r="33" spans="2:13">
      <c r="G33" s="4">
        <v>459250</v>
      </c>
    </row>
    <row r="34" spans="2:13">
      <c r="G34" s="4">
        <v>50529.08</v>
      </c>
    </row>
    <row r="35" spans="2:13">
      <c r="G35" s="4">
        <v>120435</v>
      </c>
    </row>
    <row r="36" spans="2:13">
      <c r="F36" s="4">
        <f>SUM(F19:F35)</f>
        <v>36111</v>
      </c>
      <c r="G36" s="4">
        <f>SUM(G19:G35)</f>
        <v>3958922.5199999996</v>
      </c>
      <c r="H36" s="4">
        <f>SUM(H19:H35)</f>
        <v>150000</v>
      </c>
      <c r="I36" s="4">
        <f>SUM(I19:I35)</f>
        <v>27500</v>
      </c>
      <c r="J36" s="4">
        <f>SUM(F36:I36)</f>
        <v>4172533.5199999996</v>
      </c>
    </row>
    <row r="39" spans="2:13">
      <c r="J39" s="4">
        <f>J36+N15</f>
        <v>12908117.59</v>
      </c>
    </row>
    <row r="40" spans="2:13">
      <c r="J40" s="4">
        <v>1272400</v>
      </c>
    </row>
    <row r="41" spans="2:13">
      <c r="J41" s="4">
        <f>SUM(J39:J40)</f>
        <v>14180517.59</v>
      </c>
    </row>
    <row r="42" spans="2:13" ht="18" thickBot="1">
      <c r="J42" s="4">
        <f>J41-B16</f>
        <v>-303147.41000000015</v>
      </c>
    </row>
    <row r="43" spans="2:13">
      <c r="B43" s="158" t="s">
        <v>475</v>
      </c>
      <c r="C43" s="583">
        <v>6345666</v>
      </c>
      <c r="D43" s="159" t="s">
        <v>488</v>
      </c>
      <c r="E43" s="156">
        <v>40000</v>
      </c>
      <c r="F43" s="4">
        <v>4518327.07</v>
      </c>
      <c r="G43" s="4">
        <v>895065</v>
      </c>
      <c r="H43" s="4">
        <v>2413766</v>
      </c>
      <c r="I43" s="4">
        <v>7455</v>
      </c>
      <c r="J43" s="4">
        <v>648650</v>
      </c>
      <c r="K43" s="4">
        <v>154668</v>
      </c>
      <c r="L43" s="4">
        <v>50153</v>
      </c>
      <c r="M43" s="4">
        <v>7500</v>
      </c>
    </row>
    <row r="44" spans="2:13">
      <c r="B44" s="160" t="s">
        <v>476</v>
      </c>
      <c r="C44" s="175">
        <v>170000</v>
      </c>
      <c r="D44" s="55" t="s">
        <v>207</v>
      </c>
      <c r="E44" s="157">
        <v>4518327.0999999996</v>
      </c>
    </row>
    <row r="45" spans="2:13">
      <c r="B45" s="160" t="s">
        <v>477</v>
      </c>
      <c r="C45" s="175">
        <v>50000</v>
      </c>
      <c r="D45" s="55" t="s">
        <v>277</v>
      </c>
      <c r="E45" s="157">
        <v>895065</v>
      </c>
    </row>
    <row r="46" spans="2:13">
      <c r="B46" s="160" t="s">
        <v>478</v>
      </c>
      <c r="C46" s="175">
        <v>40000</v>
      </c>
      <c r="D46" s="55" t="s">
        <v>479</v>
      </c>
      <c r="E46" s="157">
        <v>2413766</v>
      </c>
    </row>
    <row r="47" spans="2:13">
      <c r="B47" s="160"/>
      <c r="C47" s="175"/>
      <c r="D47" s="55" t="s">
        <v>457</v>
      </c>
      <c r="E47" s="157">
        <v>7455</v>
      </c>
    </row>
    <row r="48" spans="2:13">
      <c r="B48" s="160" t="s">
        <v>485</v>
      </c>
      <c r="C48" s="175">
        <v>63136</v>
      </c>
      <c r="D48" s="55" t="s">
        <v>480</v>
      </c>
      <c r="E48" s="157">
        <v>648650</v>
      </c>
    </row>
    <row r="49" spans="2:5">
      <c r="B49" s="160" t="s">
        <v>486</v>
      </c>
      <c r="C49" s="175">
        <v>7635400</v>
      </c>
      <c r="D49" s="55" t="s">
        <v>481</v>
      </c>
      <c r="E49" s="157">
        <v>154668</v>
      </c>
    </row>
    <row r="50" spans="2:5">
      <c r="B50" s="160" t="s">
        <v>487</v>
      </c>
      <c r="C50" s="175">
        <v>439463</v>
      </c>
      <c r="D50" s="55" t="s">
        <v>482</v>
      </c>
      <c r="E50" s="157">
        <v>50153</v>
      </c>
    </row>
    <row r="51" spans="2:5">
      <c r="B51" s="160"/>
      <c r="C51" s="175"/>
      <c r="D51" s="55" t="s">
        <v>212</v>
      </c>
      <c r="E51" s="157">
        <v>7500</v>
      </c>
    </row>
    <row r="52" spans="2:5">
      <c r="B52" s="160"/>
      <c r="C52" s="175"/>
      <c r="D52" s="55" t="s">
        <v>42</v>
      </c>
      <c r="E52" s="157">
        <v>3958923</v>
      </c>
    </row>
    <row r="53" spans="2:5">
      <c r="B53" s="160"/>
      <c r="C53" s="175"/>
      <c r="D53" s="55" t="s">
        <v>466</v>
      </c>
      <c r="E53" s="157">
        <v>150000</v>
      </c>
    </row>
    <row r="54" spans="2:5">
      <c r="B54" s="160"/>
      <c r="C54" s="175"/>
      <c r="D54" s="55" t="s">
        <v>21</v>
      </c>
      <c r="E54" s="157">
        <v>27500</v>
      </c>
    </row>
    <row r="55" spans="2:5">
      <c r="B55" s="160"/>
      <c r="C55" s="175"/>
      <c r="D55" s="55" t="s">
        <v>491</v>
      </c>
      <c r="E55" s="157">
        <v>179000</v>
      </c>
    </row>
    <row r="56" spans="2:5">
      <c r="B56" s="160"/>
      <c r="C56" s="175"/>
      <c r="D56" s="55" t="s">
        <v>476</v>
      </c>
      <c r="E56" s="157">
        <v>286400</v>
      </c>
    </row>
    <row r="57" spans="2:5">
      <c r="B57" s="160"/>
      <c r="C57" s="175"/>
      <c r="D57" s="55" t="s">
        <v>489</v>
      </c>
      <c r="E57" s="157">
        <v>25000</v>
      </c>
    </row>
    <row r="58" spans="2:5">
      <c r="B58" s="160"/>
      <c r="C58" s="175"/>
      <c r="D58" s="55" t="s">
        <v>490</v>
      </c>
      <c r="E58" s="157">
        <v>732000</v>
      </c>
    </row>
    <row r="59" spans="2:5">
      <c r="B59" s="160"/>
      <c r="C59" s="175"/>
      <c r="D59" s="55" t="s">
        <v>471</v>
      </c>
      <c r="E59" s="157">
        <v>50000</v>
      </c>
    </row>
    <row r="60" spans="2:5" ht="18" thickBot="1">
      <c r="B60" s="154"/>
      <c r="C60" s="177">
        <f>SUM(C43:C59)</f>
        <v>14743665</v>
      </c>
      <c r="D60" s="155"/>
      <c r="E60" s="355">
        <f>SUM(E43:E59)</f>
        <v>14144407.1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6" workbookViewId="0">
      <selection activeCell="D32" sqref="D32"/>
    </sheetView>
  </sheetViews>
  <sheetFormatPr defaultRowHeight="15"/>
  <cols>
    <col min="1" max="1" width="1.42578125" style="3" customWidth="1"/>
    <col min="2" max="2" width="23.5703125" customWidth="1"/>
    <col min="3" max="3" width="17.140625" bestFit="1" customWidth="1"/>
    <col min="4" max="4" width="17.5703125" style="3" bestFit="1" customWidth="1"/>
    <col min="5" max="5" width="4.28515625" bestFit="1" customWidth="1"/>
    <col min="6" max="6" width="23" bestFit="1" customWidth="1"/>
    <col min="7" max="7" width="16.42578125" style="3" bestFit="1" customWidth="1"/>
    <col min="8" max="8" width="14.7109375" style="3" bestFit="1" customWidth="1"/>
  </cols>
  <sheetData>
    <row r="1" spans="2:10" ht="27">
      <c r="B1" s="593" t="s">
        <v>5</v>
      </c>
      <c r="C1" s="593"/>
      <c r="D1" s="593"/>
      <c r="E1" s="593"/>
      <c r="F1" s="593"/>
      <c r="G1" s="593"/>
    </row>
    <row r="2" spans="2:10" ht="18">
      <c r="B2" s="3"/>
      <c r="C2" s="594" t="s">
        <v>7</v>
      </c>
      <c r="D2" s="594"/>
      <c r="E2" s="594"/>
      <c r="F2" s="594"/>
      <c r="G2" s="594"/>
    </row>
    <row r="3" spans="2:10" ht="18">
      <c r="B3" s="594" t="s">
        <v>6</v>
      </c>
      <c r="C3" s="594"/>
      <c r="D3" s="594"/>
      <c r="E3" s="594"/>
      <c r="F3" s="594"/>
      <c r="G3" s="594"/>
      <c r="H3" s="594"/>
    </row>
    <row r="4" spans="2:10" ht="18">
      <c r="B4" s="594" t="s">
        <v>282</v>
      </c>
      <c r="C4" s="594"/>
      <c r="D4" s="594"/>
      <c r="E4" s="594"/>
      <c r="F4" s="594"/>
      <c r="G4" s="594"/>
    </row>
    <row r="5" spans="2:10" s="3" customFormat="1" ht="9.75" customHeight="1" thickBot="1">
      <c r="B5" s="324"/>
      <c r="C5" s="324"/>
      <c r="D5" s="324"/>
      <c r="E5" s="324"/>
      <c r="F5" s="324"/>
      <c r="G5" s="324"/>
      <c r="H5" s="324"/>
    </row>
    <row r="6" spans="2:10" ht="18">
      <c r="B6" s="414" t="s">
        <v>59</v>
      </c>
      <c r="C6" s="413" t="s">
        <v>232</v>
      </c>
      <c r="D6" s="420" t="s">
        <v>230</v>
      </c>
      <c r="E6" s="414"/>
      <c r="F6" s="416" t="s">
        <v>231</v>
      </c>
      <c r="G6" s="414" t="s">
        <v>232</v>
      </c>
      <c r="H6" s="421" t="s">
        <v>230</v>
      </c>
    </row>
    <row r="7" spans="2:10" s="3" customFormat="1" ht="18.75" thickBot="1">
      <c r="B7" s="415"/>
      <c r="C7" s="412" t="s">
        <v>11</v>
      </c>
      <c r="D7" s="422" t="s">
        <v>11</v>
      </c>
      <c r="E7" s="415"/>
      <c r="F7" s="417"/>
      <c r="G7" s="415" t="s">
        <v>11</v>
      </c>
      <c r="H7" s="423" t="s">
        <v>11</v>
      </c>
    </row>
    <row r="8" spans="2:10" ht="18">
      <c r="B8" s="424" t="s">
        <v>1</v>
      </c>
      <c r="C8" s="425">
        <v>3638.81</v>
      </c>
      <c r="D8" s="426">
        <v>863244.5</v>
      </c>
      <c r="E8" s="427"/>
      <c r="F8" s="418" t="s">
        <v>194</v>
      </c>
      <c r="G8" s="428">
        <v>14281805.529999999</v>
      </c>
      <c r="H8" s="411">
        <v>16680939.07</v>
      </c>
      <c r="J8">
        <v>14281805.529999999</v>
      </c>
    </row>
    <row r="9" spans="2:10" ht="18">
      <c r="B9" s="429" t="s">
        <v>360</v>
      </c>
      <c r="C9" s="430">
        <v>20771446.629999999</v>
      </c>
      <c r="D9" s="431">
        <v>22435755</v>
      </c>
      <c r="E9" s="432">
        <v>2</v>
      </c>
      <c r="F9" s="419" t="s">
        <v>51</v>
      </c>
      <c r="G9" s="433">
        <v>100000</v>
      </c>
      <c r="H9" s="234">
        <v>104500</v>
      </c>
      <c r="J9">
        <v>100000</v>
      </c>
    </row>
    <row r="10" spans="2:10" ht="18">
      <c r="B10" s="321"/>
      <c r="C10" s="430"/>
      <c r="D10" s="431"/>
      <c r="E10" s="432">
        <v>3</v>
      </c>
      <c r="F10" s="419" t="s">
        <v>54</v>
      </c>
      <c r="G10" s="433">
        <v>57851</v>
      </c>
      <c r="H10" s="234">
        <v>24000</v>
      </c>
      <c r="J10">
        <v>57851</v>
      </c>
    </row>
    <row r="11" spans="2:10" ht="18">
      <c r="B11" s="429"/>
      <c r="C11" s="430"/>
      <c r="D11" s="431"/>
      <c r="E11" s="432">
        <v>4</v>
      </c>
      <c r="F11" s="419" t="s">
        <v>195</v>
      </c>
      <c r="G11" s="433">
        <v>99996</v>
      </c>
      <c r="H11" s="234">
        <v>98148.14</v>
      </c>
      <c r="J11">
        <v>99996</v>
      </c>
    </row>
    <row r="12" spans="2:10" ht="18">
      <c r="B12" s="429"/>
      <c r="C12" s="430"/>
      <c r="D12" s="431"/>
      <c r="E12" s="432">
        <v>5</v>
      </c>
      <c r="F12" s="419" t="s">
        <v>55</v>
      </c>
      <c r="G12" s="345">
        <v>1120777</v>
      </c>
      <c r="H12" s="234">
        <v>603217</v>
      </c>
      <c r="J12">
        <v>155282</v>
      </c>
    </row>
    <row r="13" spans="2:10" ht="18">
      <c r="B13" s="429"/>
      <c r="C13" s="430"/>
      <c r="D13" s="431"/>
      <c r="E13" s="432">
        <v>6</v>
      </c>
      <c r="F13" s="419" t="s">
        <v>52</v>
      </c>
      <c r="G13" s="345">
        <v>428757</v>
      </c>
      <c r="H13" s="234">
        <v>444509</v>
      </c>
      <c r="J13">
        <v>29000</v>
      </c>
    </row>
    <row r="14" spans="2:10" ht="18">
      <c r="B14" s="429"/>
      <c r="C14" s="430"/>
      <c r="D14" s="431"/>
      <c r="E14" s="432">
        <v>7</v>
      </c>
      <c r="F14" s="419" t="s">
        <v>196</v>
      </c>
      <c r="G14" s="345">
        <v>2345108</v>
      </c>
      <c r="H14" s="234">
        <v>2007793</v>
      </c>
      <c r="J14">
        <v>1120777</v>
      </c>
    </row>
    <row r="15" spans="2:10" ht="18">
      <c r="B15" s="429"/>
      <c r="C15" s="430"/>
      <c r="D15" s="431"/>
      <c r="E15" s="432">
        <v>8</v>
      </c>
      <c r="F15" s="419" t="s">
        <v>197</v>
      </c>
      <c r="G15" s="345">
        <v>798575</v>
      </c>
      <c r="H15" s="234">
        <v>877186</v>
      </c>
      <c r="J15">
        <v>428757</v>
      </c>
    </row>
    <row r="16" spans="2:10" ht="18">
      <c r="B16" s="429"/>
      <c r="C16" s="430"/>
      <c r="D16" s="431"/>
      <c r="E16" s="432">
        <v>9</v>
      </c>
      <c r="F16" s="419" t="s">
        <v>27</v>
      </c>
      <c r="G16" s="345">
        <v>35443</v>
      </c>
      <c r="H16" s="234">
        <v>6015</v>
      </c>
      <c r="J16">
        <v>2345108</v>
      </c>
    </row>
    <row r="17" spans="2:11" ht="18">
      <c r="B17" s="429"/>
      <c r="C17" s="430"/>
      <c r="D17" s="431"/>
      <c r="E17" s="432">
        <v>10</v>
      </c>
      <c r="F17" s="419" t="s">
        <v>198</v>
      </c>
      <c r="G17" s="345">
        <v>0</v>
      </c>
      <c r="H17" s="169">
        <v>62919.48</v>
      </c>
      <c r="J17">
        <v>798575</v>
      </c>
    </row>
    <row r="18" spans="2:11" ht="18">
      <c r="B18" s="429"/>
      <c r="C18" s="430"/>
      <c r="D18" s="431"/>
      <c r="E18" s="432">
        <v>11</v>
      </c>
      <c r="F18" s="419" t="s">
        <v>199</v>
      </c>
      <c r="G18" s="345">
        <v>22500</v>
      </c>
      <c r="H18" s="234">
        <v>22500</v>
      </c>
      <c r="J18">
        <v>35443</v>
      </c>
    </row>
    <row r="19" spans="2:11" ht="18">
      <c r="B19" s="429"/>
      <c r="C19" s="430"/>
      <c r="D19" s="431"/>
      <c r="E19" s="432">
        <v>12</v>
      </c>
      <c r="F19" s="419" t="s">
        <v>200</v>
      </c>
      <c r="G19" s="345">
        <v>155282</v>
      </c>
      <c r="H19" s="234">
        <v>153000</v>
      </c>
      <c r="J19">
        <v>0</v>
      </c>
    </row>
    <row r="20" spans="2:11" ht="18">
      <c r="B20" s="429"/>
      <c r="C20" s="430"/>
      <c r="D20" s="431"/>
      <c r="E20" s="432">
        <v>13</v>
      </c>
      <c r="F20" s="419" t="s">
        <v>182</v>
      </c>
      <c r="G20" s="345">
        <v>0</v>
      </c>
      <c r="H20" s="169">
        <v>0</v>
      </c>
      <c r="J20">
        <v>22500</v>
      </c>
    </row>
    <row r="21" spans="2:11" ht="18">
      <c r="B21" s="429"/>
      <c r="C21" s="430"/>
      <c r="D21" s="431"/>
      <c r="E21" s="432">
        <v>14</v>
      </c>
      <c r="F21" s="419" t="s">
        <v>201</v>
      </c>
      <c r="G21" s="345">
        <v>29000</v>
      </c>
      <c r="H21" s="234">
        <v>132500</v>
      </c>
      <c r="J21">
        <v>0</v>
      </c>
    </row>
    <row r="22" spans="2:11" ht="18">
      <c r="B22" s="429"/>
      <c r="C22" s="430"/>
      <c r="D22" s="431"/>
      <c r="E22" s="432">
        <v>15</v>
      </c>
      <c r="F22" s="419" t="s">
        <v>19</v>
      </c>
      <c r="G22" s="345">
        <v>245437</v>
      </c>
      <c r="H22" s="234">
        <v>310004</v>
      </c>
      <c r="J22">
        <v>245437</v>
      </c>
    </row>
    <row r="23" spans="2:11" ht="18">
      <c r="B23" s="429"/>
      <c r="C23" s="430"/>
      <c r="D23" s="431"/>
      <c r="E23" s="432">
        <v>16</v>
      </c>
      <c r="F23" s="419" t="s">
        <v>58</v>
      </c>
      <c r="G23" s="345">
        <v>268764</v>
      </c>
      <c r="H23" s="169">
        <v>238415</v>
      </c>
      <c r="J23">
        <v>268764</v>
      </c>
    </row>
    <row r="24" spans="2:11" ht="18">
      <c r="B24" s="429"/>
      <c r="C24" s="430"/>
      <c r="D24" s="431"/>
      <c r="E24" s="432">
        <v>17</v>
      </c>
      <c r="F24" s="419" t="s">
        <v>202</v>
      </c>
      <c r="G24" s="345">
        <v>5000</v>
      </c>
      <c r="H24" s="169">
        <v>6000</v>
      </c>
      <c r="J24">
        <v>5000</v>
      </c>
    </row>
    <row r="25" spans="2:11" ht="18">
      <c r="B25" s="429"/>
      <c r="C25" s="430"/>
      <c r="D25" s="431"/>
      <c r="E25" s="432">
        <v>20</v>
      </c>
      <c r="F25" s="419" t="s">
        <v>57</v>
      </c>
      <c r="G25" s="345">
        <v>188000</v>
      </c>
      <c r="H25" s="169">
        <v>496000</v>
      </c>
      <c r="J25">
        <v>438921</v>
      </c>
    </row>
    <row r="26" spans="2:11" ht="18">
      <c r="B26" s="429"/>
      <c r="C26" s="430"/>
      <c r="D26" s="431"/>
      <c r="E26" s="432">
        <v>21</v>
      </c>
      <c r="F26" s="419" t="s">
        <v>203</v>
      </c>
      <c r="G26" s="345">
        <v>47475</v>
      </c>
      <c r="H26" s="169">
        <v>66500</v>
      </c>
      <c r="J26">
        <v>79350</v>
      </c>
    </row>
    <row r="27" spans="2:11" ht="18">
      <c r="B27" s="429"/>
      <c r="C27" s="430"/>
      <c r="D27" s="431"/>
      <c r="E27" s="432">
        <v>22</v>
      </c>
      <c r="F27" s="419" t="s">
        <v>56</v>
      </c>
      <c r="G27" s="345">
        <v>438921</v>
      </c>
      <c r="H27" s="169">
        <v>129855</v>
      </c>
      <c r="J27">
        <v>802995</v>
      </c>
    </row>
    <row r="28" spans="2:11" ht="18">
      <c r="B28" s="429"/>
      <c r="C28" s="430"/>
      <c r="D28" s="431"/>
      <c r="E28" s="432">
        <v>24</v>
      </c>
      <c r="F28" s="419" t="s">
        <v>204</v>
      </c>
      <c r="G28" s="345">
        <v>79350</v>
      </c>
      <c r="H28" s="169">
        <v>831360</v>
      </c>
    </row>
    <row r="29" spans="2:11" ht="18">
      <c r="B29" s="429"/>
      <c r="C29" s="434"/>
      <c r="D29" s="435"/>
      <c r="E29" s="432"/>
      <c r="F29" s="436" t="s">
        <v>13</v>
      </c>
      <c r="G29" s="430">
        <v>27044.01</v>
      </c>
      <c r="H29" s="437">
        <v>3638.81</v>
      </c>
      <c r="J29">
        <v>3197004.31</v>
      </c>
      <c r="K29" t="e">
        <f>#REF!-J29</f>
        <v>#REF!</v>
      </c>
    </row>
    <row r="30" spans="2:11" ht="16.5" thickBot="1">
      <c r="B30" s="438"/>
      <c r="C30" s="434">
        <f>SUM(C8:C29)</f>
        <v>20775085.439999998</v>
      </c>
      <c r="D30" s="435">
        <f>SUM(D8:D29)</f>
        <v>23298999.5</v>
      </c>
      <c r="E30" s="439"/>
      <c r="F30" s="440"/>
      <c r="G30" s="434">
        <f>SUM(G8:G29)</f>
        <v>20775085.540000003</v>
      </c>
      <c r="H30" s="441">
        <f>SUM(H8:H29)</f>
        <v>23298999.5</v>
      </c>
      <c r="J30">
        <v>27044.01</v>
      </c>
    </row>
    <row r="31" spans="2:11">
      <c r="B31" s="52"/>
      <c r="C31" s="52"/>
      <c r="D31" s="52"/>
      <c r="E31" s="52"/>
      <c r="F31" s="52"/>
      <c r="G31" s="322"/>
      <c r="H31" s="322"/>
    </row>
    <row r="32" spans="2:11">
      <c r="B32" s="52"/>
      <c r="C32" s="52"/>
      <c r="D32" s="322">
        <f>D30-H30</f>
        <v>0</v>
      </c>
      <c r="E32" s="52"/>
      <c r="F32" s="52"/>
      <c r="G32" s="52"/>
      <c r="H32" s="233"/>
      <c r="J32">
        <f>SUM(J8:J31)</f>
        <v>24539609.850000001</v>
      </c>
    </row>
    <row r="33" spans="3:10">
      <c r="C33" s="130"/>
      <c r="D33" s="130"/>
      <c r="H33" s="130"/>
    </row>
    <row r="34" spans="3:10">
      <c r="C34" s="53"/>
      <c r="D34" s="53"/>
      <c r="H34" s="53"/>
      <c r="J34">
        <f>G30-J32</f>
        <v>-3764524.3099999987</v>
      </c>
    </row>
    <row r="35" spans="3:10">
      <c r="D35" s="53" t="e">
        <f>#REF!-D30</f>
        <v>#REF!</v>
      </c>
    </row>
  </sheetData>
  <mergeCells count="4">
    <mergeCell ref="B3:H3"/>
    <mergeCell ref="B1:G1"/>
    <mergeCell ref="C2:G2"/>
    <mergeCell ref="B4:G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5"/>
  <sheetViews>
    <sheetView workbookViewId="0">
      <selection activeCell="B6" sqref="B6:E35"/>
    </sheetView>
  </sheetViews>
  <sheetFormatPr defaultRowHeight="15"/>
  <cols>
    <col min="2" max="2" width="26.85546875" customWidth="1"/>
    <col min="3" max="3" width="15.5703125" bestFit="1" customWidth="1"/>
    <col min="4" max="4" width="10.7109375" bestFit="1" customWidth="1"/>
    <col min="5" max="5" width="16" bestFit="1" customWidth="1"/>
  </cols>
  <sheetData>
    <row r="3" spans="2:5" s="3" customFormat="1"/>
    <row r="4" spans="2:5" s="3" customFormat="1"/>
    <row r="5" spans="2:5" s="3" customFormat="1"/>
    <row r="6" spans="2:5" ht="18" thickBot="1">
      <c r="B6" s="643" t="s">
        <v>509</v>
      </c>
      <c r="C6" s="643"/>
      <c r="D6" s="643"/>
      <c r="E6" s="643"/>
    </row>
    <row r="7" spans="2:5" ht="17.25">
      <c r="B7" s="568" t="s">
        <v>207</v>
      </c>
      <c r="C7" s="569">
        <v>10166277.029999999</v>
      </c>
      <c r="D7" s="159" t="s">
        <v>475</v>
      </c>
      <c r="E7" s="156">
        <v>3769345</v>
      </c>
    </row>
    <row r="8" spans="2:5" ht="17.25">
      <c r="B8" s="570" t="s">
        <v>21</v>
      </c>
      <c r="C8" s="571">
        <v>60135</v>
      </c>
      <c r="D8" s="55" t="s">
        <v>8</v>
      </c>
      <c r="E8" s="157">
        <v>25549735.130000003</v>
      </c>
    </row>
    <row r="9" spans="2:5" ht="17.25">
      <c r="B9" s="570" t="s">
        <v>492</v>
      </c>
      <c r="C9" s="571">
        <v>150000</v>
      </c>
      <c r="D9" s="55" t="s">
        <v>238</v>
      </c>
      <c r="E9" s="157">
        <v>168485.5</v>
      </c>
    </row>
    <row r="10" spans="2:5" ht="17.25">
      <c r="B10" s="570" t="s">
        <v>359</v>
      </c>
      <c r="C10" s="571">
        <v>79726.5</v>
      </c>
      <c r="D10" s="55"/>
      <c r="E10" s="157">
        <v>1400000</v>
      </c>
    </row>
    <row r="11" spans="2:5" ht="17.25">
      <c r="B11" s="570" t="s">
        <v>54</v>
      </c>
      <c r="C11" s="571">
        <v>36055</v>
      </c>
      <c r="D11" s="55"/>
      <c r="E11" s="157"/>
    </row>
    <row r="12" spans="2:5" ht="17.25">
      <c r="B12" s="570" t="s">
        <v>493</v>
      </c>
      <c r="C12" s="571">
        <v>148186.15</v>
      </c>
      <c r="D12" s="55"/>
      <c r="E12" s="157"/>
    </row>
    <row r="13" spans="2:5" ht="17.25">
      <c r="B13" s="570" t="s">
        <v>55</v>
      </c>
      <c r="C13" s="571">
        <v>817654.8899999999</v>
      </c>
      <c r="D13" s="55"/>
      <c r="E13" s="358"/>
    </row>
    <row r="14" spans="2:5" ht="17.25">
      <c r="B14" s="570" t="s">
        <v>52</v>
      </c>
      <c r="C14" s="571">
        <v>973184</v>
      </c>
      <c r="D14" s="55" t="s">
        <v>87</v>
      </c>
      <c r="E14" s="157"/>
    </row>
    <row r="15" spans="2:5" ht="17.25">
      <c r="B15" s="570" t="s">
        <v>67</v>
      </c>
      <c r="C15" s="571">
        <v>736068.41</v>
      </c>
      <c r="D15" s="55"/>
      <c r="E15" s="358"/>
    </row>
    <row r="16" spans="2:5" ht="17.25">
      <c r="B16" s="570" t="s">
        <v>331</v>
      </c>
      <c r="C16" s="571">
        <v>37340</v>
      </c>
      <c r="D16" s="55"/>
      <c r="E16" s="358"/>
    </row>
    <row r="17" spans="2:5" ht="17.25">
      <c r="B17" s="570" t="s">
        <v>27</v>
      </c>
      <c r="C17" s="571">
        <v>323316.55</v>
      </c>
      <c r="D17" s="55"/>
      <c r="E17" s="157"/>
    </row>
    <row r="18" spans="2:5" ht="17.25">
      <c r="B18" s="570" t="s">
        <v>494</v>
      </c>
      <c r="C18" s="571">
        <v>28800</v>
      </c>
      <c r="D18" s="55"/>
      <c r="E18" s="358"/>
    </row>
    <row r="19" spans="2:5" ht="17.25">
      <c r="B19" s="570" t="s">
        <v>19</v>
      </c>
      <c r="C19" s="571">
        <v>195774.85</v>
      </c>
      <c r="D19" s="55"/>
      <c r="E19" s="358"/>
    </row>
    <row r="20" spans="2:5" ht="17.25">
      <c r="B20" s="570" t="s">
        <v>58</v>
      </c>
      <c r="C20" s="571">
        <v>106805</v>
      </c>
      <c r="D20" s="55"/>
      <c r="E20" s="358"/>
    </row>
    <row r="21" spans="2:5" ht="17.25">
      <c r="B21" s="570" t="s">
        <v>495</v>
      </c>
      <c r="C21" s="571">
        <v>420500</v>
      </c>
      <c r="D21" s="55"/>
      <c r="E21" s="358"/>
    </row>
    <row r="22" spans="2:5" ht="17.25">
      <c r="B22" s="570" t="s">
        <v>496</v>
      </c>
      <c r="C22" s="571">
        <v>221344.2</v>
      </c>
      <c r="D22" s="55"/>
      <c r="E22" s="358"/>
    </row>
    <row r="23" spans="2:5" ht="17.25">
      <c r="B23" s="570" t="s">
        <v>497</v>
      </c>
      <c r="C23" s="571">
        <v>92500</v>
      </c>
      <c r="D23" s="55"/>
      <c r="E23" s="358"/>
    </row>
    <row r="24" spans="2:5" ht="17.25">
      <c r="B24" s="570" t="s">
        <v>203</v>
      </c>
      <c r="C24" s="571">
        <v>40375</v>
      </c>
      <c r="D24" s="55"/>
      <c r="E24" s="358"/>
    </row>
    <row r="25" spans="2:5" ht="17.25">
      <c r="B25" s="570" t="s">
        <v>56</v>
      </c>
      <c r="C25" s="572">
        <v>368288.45</v>
      </c>
      <c r="D25" s="55"/>
      <c r="E25" s="358"/>
    </row>
    <row r="26" spans="2:5" ht="17.25">
      <c r="B26" s="570" t="s">
        <v>286</v>
      </c>
      <c r="C26" s="572">
        <v>1074360</v>
      </c>
      <c r="D26" s="55"/>
      <c r="E26" s="358"/>
    </row>
    <row r="27" spans="2:5" ht="17.25">
      <c r="B27" s="570" t="s">
        <v>498</v>
      </c>
      <c r="C27" s="572">
        <v>527652.5</v>
      </c>
      <c r="D27" s="55"/>
      <c r="E27" s="358"/>
    </row>
    <row r="28" spans="2:5" ht="17.25">
      <c r="B28" s="573" t="s">
        <v>243</v>
      </c>
      <c r="C28" s="572">
        <v>16604343.529999999</v>
      </c>
      <c r="D28" s="55"/>
      <c r="E28" s="358"/>
    </row>
    <row r="29" spans="2:5" ht="17.25">
      <c r="B29" s="574" t="s">
        <v>499</v>
      </c>
      <c r="C29" s="572">
        <v>10000000</v>
      </c>
      <c r="D29" s="55"/>
      <c r="E29" s="358"/>
    </row>
    <row r="30" spans="2:5" ht="17.25">
      <c r="B30" s="573" t="s">
        <v>0</v>
      </c>
      <c r="C30" s="572">
        <v>598300</v>
      </c>
      <c r="D30" s="55"/>
      <c r="E30" s="358"/>
    </row>
    <row r="31" spans="2:5" ht="17.25">
      <c r="B31" s="573" t="s">
        <v>500</v>
      </c>
      <c r="C31" s="572">
        <v>3155166</v>
      </c>
      <c r="D31" s="55"/>
      <c r="E31" s="358"/>
    </row>
    <row r="32" spans="2:5" ht="17.25">
      <c r="B32" s="573" t="s">
        <v>501</v>
      </c>
      <c r="C32" s="572">
        <v>25273</v>
      </c>
      <c r="D32" s="55"/>
      <c r="E32" s="358"/>
    </row>
    <row r="33" spans="2:5" ht="18" thickBot="1">
      <c r="B33" s="575" t="s">
        <v>243</v>
      </c>
      <c r="C33" s="576">
        <v>30383082.530000001</v>
      </c>
      <c r="D33" s="155"/>
      <c r="E33" s="355">
        <v>30887565.630000003</v>
      </c>
    </row>
    <row r="34" spans="2:5" ht="15.75">
      <c r="B34" s="577" t="s">
        <v>502</v>
      </c>
      <c r="C34" s="578">
        <v>504483.1</v>
      </c>
      <c r="D34" s="3"/>
      <c r="E34" s="3"/>
    </row>
    <row r="35" spans="2:5">
      <c r="B35" s="3"/>
      <c r="C35" s="53">
        <v>30887565.630000003</v>
      </c>
      <c r="D35" s="3"/>
      <c r="E35" s="53">
        <v>-504483.10000000149</v>
      </c>
    </row>
  </sheetData>
  <mergeCells count="1">
    <mergeCell ref="B6:E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1"/>
  <sheetViews>
    <sheetView workbookViewId="0">
      <selection activeCell="I12" sqref="I12"/>
    </sheetView>
  </sheetViews>
  <sheetFormatPr defaultRowHeight="17.25"/>
  <cols>
    <col min="1" max="1" width="9.140625" style="4"/>
    <col min="2" max="2" width="12.28515625" style="4" bestFit="1" customWidth="1"/>
    <col min="3" max="3" width="12.28515625" style="4" customWidth="1"/>
    <col min="4" max="4" width="12.42578125" style="4" bestFit="1" customWidth="1"/>
    <col min="5" max="5" width="9.140625" style="4"/>
    <col min="6" max="6" width="10.7109375" style="4" bestFit="1" customWidth="1"/>
    <col min="7" max="7" width="15.5703125" style="4" bestFit="1" customWidth="1"/>
    <col min="8" max="8" width="14" style="4" bestFit="1" customWidth="1"/>
    <col min="9" max="9" width="10.7109375" style="4" customWidth="1"/>
    <col min="10" max="10" width="12.7109375" style="4" bestFit="1" customWidth="1"/>
    <col min="11" max="12" width="12.7109375" style="4" customWidth="1"/>
    <col min="13" max="13" width="23.28515625" style="4" bestFit="1" customWidth="1"/>
    <col min="14" max="14" width="10.7109375" style="4" bestFit="1" customWidth="1"/>
    <col min="15" max="15" width="17.140625" style="4" bestFit="1" customWidth="1"/>
    <col min="16" max="16" width="11.42578125" style="4" bestFit="1" customWidth="1"/>
    <col min="17" max="17" width="9.85546875" style="4" bestFit="1" customWidth="1"/>
    <col min="18" max="16384" width="9.140625" style="4"/>
  </cols>
  <sheetData>
    <row r="2" spans="2:19">
      <c r="B2" s="4" t="s">
        <v>325</v>
      </c>
      <c r="C2" s="4" t="s">
        <v>207</v>
      </c>
      <c r="D2" s="4" t="s">
        <v>50</v>
      </c>
      <c r="E2" s="4" t="s">
        <v>27</v>
      </c>
      <c r="F2" s="4" t="s">
        <v>449</v>
      </c>
      <c r="G2" s="4" t="s">
        <v>450</v>
      </c>
      <c r="H2" s="4" t="s">
        <v>207</v>
      </c>
      <c r="I2" s="4" t="s">
        <v>319</v>
      </c>
      <c r="J2" s="4" t="s">
        <v>451</v>
      </c>
      <c r="K2" s="4" t="s">
        <v>452</v>
      </c>
      <c r="L2" s="4" t="s">
        <v>182</v>
      </c>
      <c r="N2" s="4" t="s">
        <v>440</v>
      </c>
    </row>
    <row r="3" spans="2:19">
      <c r="B3" s="4">
        <v>13680</v>
      </c>
      <c r="C3" s="4">
        <v>10000</v>
      </c>
      <c r="D3" s="4">
        <v>20000</v>
      </c>
      <c r="E3" s="4">
        <v>18915</v>
      </c>
      <c r="F3" s="4">
        <v>440</v>
      </c>
      <c r="G3" s="4">
        <v>77111</v>
      </c>
      <c r="H3" s="4">
        <f>1694+167706</f>
        <v>169400</v>
      </c>
      <c r="I3" s="4">
        <v>45000</v>
      </c>
      <c r="J3" s="4">
        <v>60000</v>
      </c>
      <c r="K3" s="4">
        <v>2400050</v>
      </c>
      <c r="L3" s="4">
        <f>187.5+13937.5</f>
        <v>14125</v>
      </c>
      <c r="M3" s="4" t="s">
        <v>441</v>
      </c>
    </row>
    <row r="4" spans="2:19">
      <c r="C4" s="4">
        <v>27000</v>
      </c>
      <c r="D4" s="4">
        <v>14485</v>
      </c>
      <c r="E4" s="4">
        <v>8652</v>
      </c>
      <c r="G4" s="4">
        <v>43742</v>
      </c>
      <c r="H4" s="4">
        <f>941.55+93213.45</f>
        <v>94155</v>
      </c>
      <c r="K4" s="4">
        <v>445357.01</v>
      </c>
      <c r="L4" s="4">
        <v>191000</v>
      </c>
      <c r="M4" s="4" t="s">
        <v>442</v>
      </c>
      <c r="N4" s="4">
        <v>50000</v>
      </c>
      <c r="O4" s="4">
        <v>-48915</v>
      </c>
      <c r="P4" s="4">
        <v>35000</v>
      </c>
      <c r="Q4" s="4">
        <v>-44000</v>
      </c>
      <c r="R4" s="4">
        <v>35000</v>
      </c>
      <c r="S4" s="4">
        <f>SUM(N4:R4)</f>
        <v>27085</v>
      </c>
    </row>
    <row r="5" spans="2:19">
      <c r="C5" s="4">
        <v>13500</v>
      </c>
      <c r="D5" s="4">
        <v>80000</v>
      </c>
      <c r="H5" s="4">
        <v>84875</v>
      </c>
      <c r="K5" s="4">
        <v>50000</v>
      </c>
      <c r="M5" s="4" t="s">
        <v>443</v>
      </c>
      <c r="O5" s="4">
        <v>75000</v>
      </c>
    </row>
    <row r="6" spans="2:19">
      <c r="C6" s="4">
        <v>3500</v>
      </c>
      <c r="H6" s="4">
        <v>96950</v>
      </c>
      <c r="M6" s="4" t="s">
        <v>444</v>
      </c>
    </row>
    <row r="7" spans="2:19">
      <c r="C7" s="4">
        <v>27000</v>
      </c>
      <c r="H7" s="4">
        <v>208720</v>
      </c>
      <c r="M7" s="4" t="s">
        <v>444</v>
      </c>
    </row>
    <row r="8" spans="2:19">
      <c r="C8" s="4">
        <v>13500</v>
      </c>
      <c r="H8" s="4">
        <v>147050</v>
      </c>
      <c r="M8" s="4" t="s">
        <v>445</v>
      </c>
      <c r="N8" s="4">
        <v>50000</v>
      </c>
    </row>
    <row r="9" spans="2:19">
      <c r="H9" s="4">
        <v>208620.4</v>
      </c>
      <c r="M9" s="4" t="s">
        <v>455</v>
      </c>
      <c r="N9" s="4">
        <v>30000</v>
      </c>
    </row>
    <row r="10" spans="2:19">
      <c r="H10" s="4">
        <v>208175</v>
      </c>
      <c r="M10" s="4" t="s">
        <v>446</v>
      </c>
      <c r="N10" s="4">
        <v>80000</v>
      </c>
      <c r="O10" s="4">
        <v>-80000</v>
      </c>
      <c r="P10" s="4">
        <v>-330000</v>
      </c>
    </row>
    <row r="11" spans="2:19">
      <c r="H11" s="4">
        <v>177350</v>
      </c>
      <c r="M11" s="4" t="s">
        <v>447</v>
      </c>
      <c r="N11" s="4">
        <v>150000</v>
      </c>
    </row>
    <row r="12" spans="2:19">
      <c r="H12" s="4">
        <v>187550</v>
      </c>
    </row>
    <row r="13" spans="2:19">
      <c r="H13" s="4">
        <v>45000</v>
      </c>
    </row>
    <row r="14" spans="2:19" ht="18" thickBot="1">
      <c r="H14" s="4">
        <v>187550</v>
      </c>
    </row>
    <row r="15" spans="2:19" ht="18" thickBot="1">
      <c r="B15" s="4">
        <f t="shared" ref="B15:L15" si="0">SUM(B3:B14)</f>
        <v>13680</v>
      </c>
      <c r="C15" s="400">
        <f t="shared" si="0"/>
        <v>94500</v>
      </c>
      <c r="D15" s="561">
        <f t="shared" si="0"/>
        <v>114485</v>
      </c>
      <c r="E15" s="561">
        <f t="shared" si="0"/>
        <v>27567</v>
      </c>
      <c r="F15" s="561">
        <f t="shared" si="0"/>
        <v>440</v>
      </c>
      <c r="G15" s="561">
        <f t="shared" si="0"/>
        <v>120853</v>
      </c>
      <c r="H15" s="561">
        <f t="shared" si="0"/>
        <v>1815395.4</v>
      </c>
      <c r="I15" s="561">
        <f t="shared" si="0"/>
        <v>45000</v>
      </c>
      <c r="J15" s="561">
        <f t="shared" si="0"/>
        <v>60000</v>
      </c>
      <c r="K15" s="561">
        <f t="shared" si="0"/>
        <v>2895407.01</v>
      </c>
      <c r="L15" s="562">
        <f t="shared" si="0"/>
        <v>205125</v>
      </c>
      <c r="O15" s="4">
        <f>SUM(B15:N15)</f>
        <v>5392452.4100000001</v>
      </c>
    </row>
    <row r="17" spans="3:15">
      <c r="D17" s="4" t="s">
        <v>457</v>
      </c>
      <c r="E17" s="4" t="s">
        <v>458</v>
      </c>
      <c r="F17" s="4" t="s">
        <v>268</v>
      </c>
      <c r="G17" s="4" t="s">
        <v>460</v>
      </c>
      <c r="I17" s="4" t="s">
        <v>456</v>
      </c>
      <c r="J17" s="4" t="s">
        <v>454</v>
      </c>
      <c r="K17" s="4" t="s">
        <v>359</v>
      </c>
      <c r="L17" s="4" t="s">
        <v>453</v>
      </c>
      <c r="M17" s="4" t="s">
        <v>448</v>
      </c>
      <c r="N17" s="4">
        <v>50000</v>
      </c>
    </row>
    <row r="18" spans="3:15">
      <c r="C18" s="4">
        <f>C4+C5+C6</f>
        <v>44000</v>
      </c>
      <c r="I18" s="4">
        <v>20000</v>
      </c>
      <c r="J18" s="4">
        <v>75000</v>
      </c>
      <c r="K18" s="4">
        <v>125000</v>
      </c>
      <c r="L18" s="4">
        <v>93451</v>
      </c>
      <c r="N18" s="4">
        <f>SUM(N3:N17)</f>
        <v>410000</v>
      </c>
    </row>
    <row r="19" spans="3:15">
      <c r="D19" s="4">
        <v>204000</v>
      </c>
      <c r="E19" s="4">
        <v>20520</v>
      </c>
      <c r="G19" s="4">
        <v>25000</v>
      </c>
      <c r="I19" s="4">
        <v>25000</v>
      </c>
      <c r="K19" s="4">
        <v>235000</v>
      </c>
      <c r="L19" s="4">
        <v>72320</v>
      </c>
    </row>
    <row r="20" spans="3:15">
      <c r="E20" s="4">
        <v>15000</v>
      </c>
      <c r="F20" s="4">
        <v>85000</v>
      </c>
    </row>
    <row r="21" spans="3:15">
      <c r="E21" s="4">
        <v>3000</v>
      </c>
    </row>
    <row r="22" spans="3:15">
      <c r="D22" s="4">
        <f>SUM(D18:D21)</f>
        <v>204000</v>
      </c>
      <c r="E22" s="4">
        <f>SUM(E18:E21)</f>
        <v>38520</v>
      </c>
      <c r="F22" s="4">
        <f>SUM(F18:F21)</f>
        <v>85000</v>
      </c>
      <c r="G22" s="4">
        <f>SUM(G18:G21)</f>
        <v>25000</v>
      </c>
      <c r="I22" s="4">
        <f>SUM(I18:I21)</f>
        <v>45000</v>
      </c>
      <c r="J22" s="4">
        <f>SUM(J18:J21)</f>
        <v>75000</v>
      </c>
      <c r="K22" s="4">
        <f>SUM(K18:K21)</f>
        <v>360000</v>
      </c>
      <c r="L22" s="4">
        <f>SUM(L18:L21)</f>
        <v>165771</v>
      </c>
      <c r="O22" s="4">
        <f>SUM(D22:N22)</f>
        <v>998291</v>
      </c>
    </row>
    <row r="23" spans="3:15">
      <c r="M23" s="4" t="s">
        <v>461</v>
      </c>
      <c r="N23" s="4">
        <v>17201</v>
      </c>
    </row>
    <row r="24" spans="3:15">
      <c r="D24" s="4" t="s">
        <v>459</v>
      </c>
      <c r="F24" s="4" t="s">
        <v>463</v>
      </c>
      <c r="G24" s="4" t="s">
        <v>42</v>
      </c>
      <c r="H24" s="4" t="s">
        <v>52</v>
      </c>
      <c r="N24" s="4">
        <v>25458.3</v>
      </c>
    </row>
    <row r="25" spans="3:15">
      <c r="D25" s="4">
        <v>17000</v>
      </c>
      <c r="F25" s="4">
        <v>221344.2</v>
      </c>
      <c r="G25" s="4">
        <v>841344.04</v>
      </c>
      <c r="H25" s="4">
        <v>108960</v>
      </c>
    </row>
    <row r="26" spans="3:15">
      <c r="F26" s="4">
        <f>185828</f>
        <v>185828</v>
      </c>
      <c r="G26" s="4">
        <v>258000</v>
      </c>
    </row>
    <row r="27" spans="3:15">
      <c r="G27" s="4">
        <v>20000</v>
      </c>
    </row>
    <row r="29" spans="3:15">
      <c r="D29" s="4">
        <f>SUM(D25:D28)</f>
        <v>17000</v>
      </c>
      <c r="F29" s="4">
        <f>SUM(F25:F28)</f>
        <v>407172.2</v>
      </c>
      <c r="G29" s="4">
        <f>SUM(G25:G28)</f>
        <v>1119344.04</v>
      </c>
      <c r="H29" s="4">
        <f>SUM(H25:H28)</f>
        <v>108960</v>
      </c>
      <c r="O29" s="4">
        <f>SUM(D29:N29)</f>
        <v>1652476.24</v>
      </c>
    </row>
    <row r="31" spans="3:15">
      <c r="O31" s="4">
        <f>O15+O22+O29</f>
        <v>8043219.6500000004</v>
      </c>
    </row>
  </sheetData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4" sqref="A4:F4"/>
    </sheetView>
  </sheetViews>
  <sheetFormatPr defaultRowHeight="15"/>
  <cols>
    <col min="2" max="2" width="29.140625" bestFit="1" customWidth="1"/>
    <col min="4" max="4" width="13.5703125" bestFit="1" customWidth="1"/>
    <col min="5" max="5" width="15.140625" bestFit="1" customWidth="1"/>
  </cols>
  <sheetData>
    <row r="1" spans="1:6" ht="27">
      <c r="A1" s="593" t="s">
        <v>5</v>
      </c>
      <c r="B1" s="593"/>
      <c r="C1" s="593"/>
      <c r="D1" s="593"/>
      <c r="E1" s="593"/>
      <c r="F1" s="593"/>
    </row>
    <row r="2" spans="1:6" ht="15.75">
      <c r="A2" s="601" t="s">
        <v>7</v>
      </c>
      <c r="B2" s="601"/>
      <c r="C2" s="601"/>
      <c r="D2" s="601"/>
      <c r="E2" s="601"/>
      <c r="F2" s="601"/>
    </row>
    <row r="3" spans="1:6" ht="15.75">
      <c r="A3" s="601" t="s">
        <v>6</v>
      </c>
      <c r="B3" s="601"/>
      <c r="C3" s="601"/>
      <c r="D3" s="601"/>
      <c r="E3" s="601"/>
      <c r="F3" s="601"/>
    </row>
    <row r="4" spans="1:6" ht="16.5" thickBot="1">
      <c r="A4" s="601" t="s">
        <v>267</v>
      </c>
      <c r="B4" s="601"/>
      <c r="C4" s="601"/>
      <c r="D4" s="601"/>
      <c r="E4" s="601"/>
      <c r="F4" s="601"/>
    </row>
    <row r="5" spans="1:6" ht="18.75" thickBot="1">
      <c r="A5" s="42"/>
      <c r="B5" s="43" t="s">
        <v>23</v>
      </c>
      <c r="C5" s="44" t="s">
        <v>24</v>
      </c>
      <c r="D5" s="43" t="s">
        <v>25</v>
      </c>
      <c r="E5" s="44" t="s">
        <v>11</v>
      </c>
      <c r="F5" s="49" t="s">
        <v>26</v>
      </c>
    </row>
    <row r="6" spans="1:6" ht="18">
      <c r="A6" s="24"/>
      <c r="B6" s="20" t="s">
        <v>29</v>
      </c>
      <c r="C6" s="38"/>
      <c r="D6" s="20" t="s">
        <v>30</v>
      </c>
      <c r="E6" s="39">
        <v>44807</v>
      </c>
      <c r="F6" s="50"/>
    </row>
    <row r="7" spans="1:6" ht="18">
      <c r="A7" s="24"/>
      <c r="B7" s="20" t="s">
        <v>169</v>
      </c>
      <c r="C7" s="38"/>
      <c r="D7" s="20"/>
      <c r="E7" s="39">
        <v>4500</v>
      </c>
      <c r="F7" s="50"/>
    </row>
    <row r="8" spans="1:6" ht="18.75" thickBot="1">
      <c r="A8" s="26"/>
      <c r="B8" s="27" t="s">
        <v>31</v>
      </c>
      <c r="C8" s="45"/>
      <c r="D8" s="27"/>
      <c r="E8" s="46">
        <v>18211</v>
      </c>
      <c r="F8" s="51"/>
    </row>
    <row r="9" spans="1:6" ht="18.75" thickBot="1">
      <c r="A9" s="37"/>
      <c r="B9" s="28"/>
      <c r="C9" s="47"/>
      <c r="D9" s="28"/>
      <c r="E9" s="48">
        <f>SUM(E6:E8)</f>
        <v>67518</v>
      </c>
      <c r="F9" s="28"/>
    </row>
    <row r="10" spans="1:6" ht="18">
      <c r="A10" s="21"/>
      <c r="B10" s="8"/>
      <c r="C10" s="8"/>
      <c r="D10" s="8"/>
      <c r="E10" s="8"/>
      <c r="F10" s="21"/>
    </row>
    <row r="11" spans="1:6" ht="18.75" thickBot="1">
      <c r="A11" s="594" t="s">
        <v>32</v>
      </c>
      <c r="B11" s="594"/>
      <c r="C11" s="594"/>
      <c r="D11" s="594"/>
      <c r="E11" s="594"/>
      <c r="F11" s="594"/>
    </row>
    <row r="12" spans="1:6" ht="18">
      <c r="A12" s="9"/>
      <c r="B12" s="10" t="s">
        <v>23</v>
      </c>
      <c r="C12" s="10" t="s">
        <v>24</v>
      </c>
      <c r="D12" s="10" t="s">
        <v>25</v>
      </c>
      <c r="E12" s="10" t="s">
        <v>11</v>
      </c>
      <c r="F12" s="11" t="s">
        <v>26</v>
      </c>
    </row>
    <row r="13" spans="1:6" ht="18">
      <c r="A13" s="12"/>
      <c r="B13" s="19" t="s">
        <v>33</v>
      </c>
      <c r="C13" s="19">
        <v>69</v>
      </c>
      <c r="D13" s="19" t="s">
        <v>34</v>
      </c>
      <c r="E13" s="13">
        <v>162877</v>
      </c>
      <c r="F13" s="32" t="s">
        <v>154</v>
      </c>
    </row>
    <row r="14" spans="1:6" ht="18">
      <c r="A14" s="12"/>
      <c r="B14" s="19" t="s">
        <v>35</v>
      </c>
      <c r="C14" s="19"/>
      <c r="D14" s="19" t="s">
        <v>36</v>
      </c>
      <c r="E14" s="13">
        <v>169333.08</v>
      </c>
      <c r="F14" s="32" t="s">
        <v>154</v>
      </c>
    </row>
    <row r="15" spans="1:6" ht="18">
      <c r="A15" s="12"/>
      <c r="B15" s="19" t="s">
        <v>37</v>
      </c>
      <c r="C15" s="19"/>
      <c r="D15" s="19" t="s">
        <v>36</v>
      </c>
      <c r="E15" s="13">
        <v>22275</v>
      </c>
      <c r="F15" s="32" t="s">
        <v>154</v>
      </c>
    </row>
    <row r="16" spans="1:6" ht="18">
      <c r="A16" s="12"/>
      <c r="B16" s="19" t="s">
        <v>38</v>
      </c>
      <c r="C16" s="19"/>
      <c r="D16" s="19" t="s">
        <v>36</v>
      </c>
      <c r="E16" s="13">
        <v>25000</v>
      </c>
      <c r="F16" s="32" t="s">
        <v>153</v>
      </c>
    </row>
    <row r="17" spans="1:6" ht="18">
      <c r="A17" s="12"/>
      <c r="B17" s="19"/>
      <c r="C17" s="19"/>
      <c r="D17" s="19"/>
      <c r="E17" s="13"/>
      <c r="F17" s="32"/>
    </row>
    <row r="18" spans="1:6" ht="18.75" thickBot="1">
      <c r="A18" s="14"/>
      <c r="B18" s="33"/>
      <c r="C18" s="33"/>
      <c r="D18" s="33"/>
      <c r="E18" s="13">
        <v>379485.07999999996</v>
      </c>
      <c r="F18" s="34"/>
    </row>
    <row r="19" spans="1:6" ht="18">
      <c r="A19" s="21"/>
      <c r="B19" s="21"/>
      <c r="C19" s="21"/>
      <c r="D19" s="21"/>
      <c r="E19" s="21"/>
      <c r="F19" s="21"/>
    </row>
    <row r="20" spans="1:6" ht="18.75" thickBot="1">
      <c r="A20" s="594" t="s">
        <v>39</v>
      </c>
      <c r="B20" s="594"/>
      <c r="C20" s="594"/>
      <c r="D20" s="594"/>
      <c r="E20" s="594"/>
      <c r="F20" s="594"/>
    </row>
    <row r="21" spans="1:6" ht="18">
      <c r="A21" s="16"/>
      <c r="B21" s="29" t="s">
        <v>23</v>
      </c>
      <c r="C21" s="30" t="s">
        <v>24</v>
      </c>
      <c r="D21" s="30" t="s">
        <v>25</v>
      </c>
      <c r="E21" s="30" t="s">
        <v>11</v>
      </c>
      <c r="F21" s="31" t="s">
        <v>26</v>
      </c>
    </row>
    <row r="22" spans="1:6" ht="18">
      <c r="A22" s="17"/>
      <c r="B22" s="12" t="s">
        <v>40</v>
      </c>
      <c r="C22" s="19"/>
      <c r="D22" s="19" t="s">
        <v>41</v>
      </c>
      <c r="E22" s="35"/>
      <c r="F22" s="32"/>
    </row>
    <row r="23" spans="1:6" ht="18">
      <c r="A23" s="17"/>
      <c r="B23" s="12" t="s">
        <v>28</v>
      </c>
      <c r="C23" s="19" t="s">
        <v>2</v>
      </c>
      <c r="D23" s="19" t="s">
        <v>42</v>
      </c>
      <c r="E23" s="35">
        <v>158160</v>
      </c>
      <c r="F23" s="32"/>
    </row>
    <row r="24" spans="1:6" ht="18">
      <c r="A24" s="17"/>
      <c r="B24" s="12" t="s">
        <v>43</v>
      </c>
      <c r="C24" s="19" t="s">
        <v>2</v>
      </c>
      <c r="D24" s="19"/>
      <c r="E24" s="35">
        <v>75000</v>
      </c>
      <c r="F24" s="32"/>
    </row>
    <row r="25" spans="1:6" ht="18.75" thickBot="1">
      <c r="A25" s="18"/>
      <c r="B25" s="14"/>
      <c r="C25" s="33"/>
      <c r="D25" s="33"/>
      <c r="E25" s="36">
        <f>SUM(E22:E24)</f>
        <v>233160</v>
      </c>
      <c r="F25" s="34"/>
    </row>
    <row r="26" spans="1:6" ht="18">
      <c r="A26" s="15"/>
      <c r="B26" s="15"/>
      <c r="C26" s="15"/>
      <c r="D26" s="15"/>
      <c r="E26" s="15"/>
      <c r="F26" s="15"/>
    </row>
    <row r="27" spans="1:6" ht="18">
      <c r="A27" s="15"/>
      <c r="B27" s="15"/>
      <c r="C27" s="15"/>
      <c r="D27" s="15"/>
      <c r="E27" s="15"/>
      <c r="F27" s="15"/>
    </row>
    <row r="28" spans="1:6" ht="18">
      <c r="A28" s="15"/>
      <c r="B28" s="15"/>
      <c r="C28" s="15"/>
      <c r="D28" s="15"/>
      <c r="E28" s="15"/>
      <c r="F28" s="15"/>
    </row>
    <row r="29" spans="1:6" ht="18">
      <c r="A29" s="15"/>
      <c r="B29" s="15"/>
      <c r="C29" s="15"/>
      <c r="D29" s="15"/>
      <c r="E29" s="15"/>
      <c r="F29" s="15"/>
    </row>
    <row r="30" spans="1:6" ht="18">
      <c r="A30" s="15"/>
      <c r="B30" s="23" t="s">
        <v>44</v>
      </c>
      <c r="C30" s="23"/>
      <c r="D30" s="22" t="s">
        <v>16</v>
      </c>
      <c r="E30" s="22" t="s">
        <v>17</v>
      </c>
      <c r="F30" s="22" t="s">
        <v>18</v>
      </c>
    </row>
    <row r="31" spans="1:6" ht="18">
      <c r="A31" s="15"/>
      <c r="B31" s="23"/>
      <c r="C31" s="23"/>
      <c r="D31" s="23"/>
      <c r="E31" s="23"/>
      <c r="F31" s="23"/>
    </row>
  </sheetData>
  <mergeCells count="6">
    <mergeCell ref="A11:F11"/>
    <mergeCell ref="A20:F20"/>
    <mergeCell ref="A3:F3"/>
    <mergeCell ref="A1:F1"/>
    <mergeCell ref="A2:F2"/>
    <mergeCell ref="A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D9" sqref="D9"/>
    </sheetView>
  </sheetViews>
  <sheetFormatPr defaultRowHeight="15"/>
  <cols>
    <col min="1" max="1" width="5.28515625" customWidth="1"/>
    <col min="2" max="2" width="27.42578125" customWidth="1"/>
    <col min="3" max="3" width="9.28515625" style="3" bestFit="1" customWidth="1"/>
    <col min="4" max="4" width="15" style="3" bestFit="1" customWidth="1"/>
    <col min="5" max="5" width="16.5703125" bestFit="1" customWidth="1"/>
    <col min="6" max="6" width="16.85546875" style="3" bestFit="1" customWidth="1"/>
    <col min="7" max="7" width="16.42578125" style="3" bestFit="1" customWidth="1"/>
    <col min="8" max="8" width="17" bestFit="1" customWidth="1"/>
    <col min="9" max="9" width="14.5703125" bestFit="1" customWidth="1"/>
    <col min="10" max="10" width="17.42578125" bestFit="1" customWidth="1"/>
    <col min="11" max="11" width="13.5703125" bestFit="1" customWidth="1"/>
  </cols>
  <sheetData>
    <row r="1" spans="1:9" ht="27">
      <c r="A1" s="606" t="s">
        <v>5</v>
      </c>
      <c r="B1" s="606"/>
      <c r="C1" s="606"/>
      <c r="D1" s="606"/>
      <c r="E1" s="606"/>
      <c r="F1" s="606"/>
      <c r="G1" s="606"/>
      <c r="H1" s="606"/>
      <c r="I1" s="606"/>
    </row>
    <row r="2" spans="1:9" ht="18">
      <c r="A2" s="607" t="s">
        <v>7</v>
      </c>
      <c r="B2" s="607"/>
      <c r="C2" s="607"/>
      <c r="D2" s="607"/>
      <c r="E2" s="607"/>
      <c r="F2" s="607"/>
      <c r="G2" s="607"/>
      <c r="H2" s="607"/>
      <c r="I2" s="607"/>
    </row>
    <row r="3" spans="1:9" ht="18">
      <c r="A3" s="607" t="s">
        <v>6</v>
      </c>
      <c r="B3" s="607"/>
      <c r="C3" s="607"/>
      <c r="D3" s="607"/>
      <c r="E3" s="607"/>
      <c r="F3" s="607"/>
      <c r="G3" s="607"/>
      <c r="H3" s="607"/>
      <c r="I3" s="607"/>
    </row>
    <row r="4" spans="1:9" ht="18">
      <c r="A4" s="608" t="s">
        <v>412</v>
      </c>
      <c r="B4" s="608"/>
      <c r="C4" s="608"/>
      <c r="D4" s="608"/>
      <c r="E4" s="608"/>
      <c r="F4" s="608"/>
      <c r="G4" s="608"/>
      <c r="H4" s="608"/>
      <c r="I4" s="608"/>
    </row>
    <row r="7" spans="1:9" ht="57">
      <c r="A7" s="309" t="s">
        <v>14</v>
      </c>
      <c r="B7" s="309" t="s">
        <v>253</v>
      </c>
      <c r="C7" s="309" t="s">
        <v>254</v>
      </c>
      <c r="D7" s="310" t="s">
        <v>255</v>
      </c>
      <c r="E7" s="310" t="s">
        <v>256</v>
      </c>
      <c r="F7" s="310" t="s">
        <v>257</v>
      </c>
      <c r="G7" s="310" t="s">
        <v>258</v>
      </c>
      <c r="H7" s="310" t="s">
        <v>259</v>
      </c>
      <c r="I7" s="309" t="s">
        <v>26</v>
      </c>
    </row>
    <row r="8" spans="1:9">
      <c r="A8" s="311">
        <v>1</v>
      </c>
      <c r="B8" s="312" t="s">
        <v>260</v>
      </c>
      <c r="C8" s="311">
        <v>1038</v>
      </c>
      <c r="D8" s="539">
        <v>4253.6000000000004</v>
      </c>
      <c r="E8" s="539">
        <v>4000000</v>
      </c>
      <c r="F8" s="539">
        <f>D8+E8</f>
        <v>4004253.6</v>
      </c>
      <c r="G8" s="540">
        <v>4000000</v>
      </c>
      <c r="H8" s="541">
        <f>F8-G8</f>
        <v>4253.6000000000931</v>
      </c>
      <c r="I8" s="604">
        <f>H8+H9</f>
        <v>6345665.9999999981</v>
      </c>
    </row>
    <row r="9" spans="1:9" ht="45">
      <c r="A9" s="311">
        <v>2</v>
      </c>
      <c r="B9" s="313" t="s">
        <v>261</v>
      </c>
      <c r="C9" s="311">
        <v>1038</v>
      </c>
      <c r="D9" s="539">
        <v>650024.4</v>
      </c>
      <c r="E9" s="539">
        <v>28752388</v>
      </c>
      <c r="F9" s="539">
        <f t="shared" ref="F9:F13" si="0">D9+E9</f>
        <v>29402412.399999999</v>
      </c>
      <c r="G9" s="540">
        <v>23061000</v>
      </c>
      <c r="H9" s="541">
        <f t="shared" ref="H9:H13" si="1">F9-G9</f>
        <v>6341412.3999999985</v>
      </c>
      <c r="I9" s="605"/>
    </row>
    <row r="10" spans="1:9" ht="15.75">
      <c r="A10" s="311">
        <v>3</v>
      </c>
      <c r="B10" s="313" t="s">
        <v>262</v>
      </c>
      <c r="C10" s="314">
        <v>6518</v>
      </c>
      <c r="D10" s="542">
        <v>3791566.24</v>
      </c>
      <c r="E10" s="539">
        <v>27834530.760000002</v>
      </c>
      <c r="F10" s="539">
        <f t="shared" si="0"/>
        <v>31626097</v>
      </c>
      <c r="G10" s="539">
        <v>27856752</v>
      </c>
      <c r="H10" s="541">
        <f t="shared" si="1"/>
        <v>3769345</v>
      </c>
      <c r="I10" s="543"/>
    </row>
    <row r="11" spans="1:9" ht="15.75">
      <c r="A11" s="311">
        <v>4</v>
      </c>
      <c r="B11" s="313" t="s">
        <v>263</v>
      </c>
      <c r="C11" s="314">
        <v>1147</v>
      </c>
      <c r="D11" s="539">
        <v>74530</v>
      </c>
      <c r="E11" s="539">
        <v>0</v>
      </c>
      <c r="F11" s="539">
        <f t="shared" si="0"/>
        <v>74530</v>
      </c>
      <c r="G11" s="540">
        <v>0</v>
      </c>
      <c r="H11" s="541">
        <f t="shared" si="1"/>
        <v>74530</v>
      </c>
      <c r="I11" s="543"/>
    </row>
    <row r="12" spans="1:9" ht="15.75">
      <c r="A12" s="311">
        <v>5</v>
      </c>
      <c r="B12" s="312" t="s">
        <v>264</v>
      </c>
      <c r="C12" s="311">
        <v>1090</v>
      </c>
      <c r="D12" s="539">
        <v>3638.91</v>
      </c>
      <c r="E12" s="539">
        <v>20771446.629999999</v>
      </c>
      <c r="F12" s="539">
        <f t="shared" si="0"/>
        <v>20775085.539999999</v>
      </c>
      <c r="G12" s="540">
        <v>20748041.530000001</v>
      </c>
      <c r="H12" s="541">
        <f t="shared" si="1"/>
        <v>27044.009999997914</v>
      </c>
      <c r="I12" s="543"/>
    </row>
    <row r="13" spans="1:9" ht="15.75">
      <c r="A13" s="311">
        <v>6</v>
      </c>
      <c r="B13" s="312" t="s">
        <v>265</v>
      </c>
      <c r="C13" s="311">
        <v>2880</v>
      </c>
      <c r="D13" s="539">
        <v>1289573.8500000001</v>
      </c>
      <c r="E13" s="539">
        <v>1610278.01</v>
      </c>
      <c r="F13" s="539">
        <f t="shared" si="0"/>
        <v>2899851.8600000003</v>
      </c>
      <c r="G13" s="540">
        <v>1622406.7</v>
      </c>
      <c r="H13" s="541">
        <f t="shared" si="1"/>
        <v>1277445.1600000004</v>
      </c>
      <c r="I13" s="543"/>
    </row>
    <row r="14" spans="1:9" ht="15.75">
      <c r="A14" s="318" t="s">
        <v>266</v>
      </c>
      <c r="B14" s="319"/>
      <c r="C14" s="320"/>
      <c r="D14" s="541">
        <f>SUM(D8:D13)</f>
        <v>5813587</v>
      </c>
      <c r="E14" s="541">
        <f>SUM(E8:E13)</f>
        <v>82968643.400000006</v>
      </c>
      <c r="F14" s="541">
        <f>SUM(F8:F13)</f>
        <v>88782230.399999991</v>
      </c>
      <c r="G14" s="541">
        <f>SUM(G8:G13)</f>
        <v>77288200.230000004</v>
      </c>
      <c r="H14" s="541">
        <f>SUM(H8:H13)</f>
        <v>11494030.169999996</v>
      </c>
      <c r="I14" s="544"/>
    </row>
    <row r="15" spans="1:9" ht="15.75">
      <c r="A15" s="315"/>
      <c r="B15" s="316"/>
      <c r="C15" s="317"/>
      <c r="D15" s="315"/>
      <c r="E15" s="315"/>
      <c r="F15" s="315"/>
      <c r="G15" s="316"/>
      <c r="H15" s="315"/>
      <c r="I15" s="315"/>
    </row>
    <row r="16" spans="1:9" ht="15.75">
      <c r="A16" s="315"/>
      <c r="B16" s="316"/>
      <c r="C16" s="317"/>
      <c r="D16" s="376"/>
      <c r="E16" s="315"/>
      <c r="F16" s="315"/>
      <c r="G16" s="316"/>
      <c r="H16" s="315"/>
      <c r="I16" s="315"/>
    </row>
    <row r="17" spans="1:12" ht="15.75">
      <c r="A17" s="315"/>
      <c r="B17" s="316"/>
      <c r="C17" s="317"/>
      <c r="D17" s="315"/>
      <c r="E17" s="315"/>
      <c r="F17" s="315"/>
      <c r="G17" s="316"/>
      <c r="H17" s="315"/>
      <c r="I17" s="315"/>
    </row>
    <row r="18" spans="1:12" ht="15.75">
      <c r="B18" s="315"/>
      <c r="C18" s="316"/>
      <c r="D18" s="377"/>
      <c r="E18" s="315"/>
      <c r="F18" s="315"/>
      <c r="G18" s="315"/>
      <c r="H18" s="344"/>
      <c r="I18" s="315"/>
    </row>
    <row r="19" spans="1:12" ht="15.75">
      <c r="B19" s="315"/>
      <c r="C19" s="315"/>
      <c r="D19" s="315"/>
      <c r="E19" s="315"/>
      <c r="F19" s="315"/>
      <c r="G19" s="315"/>
      <c r="H19" s="316"/>
      <c r="I19" s="315"/>
    </row>
    <row r="20" spans="1:12" ht="15.75">
      <c r="B20" s="602"/>
      <c r="C20" s="602"/>
      <c r="D20" s="603"/>
      <c r="E20" s="603"/>
      <c r="F20" s="603"/>
      <c r="G20" s="603"/>
      <c r="H20" s="603"/>
      <c r="I20" s="530"/>
      <c r="J20" s="74"/>
      <c r="K20" s="3"/>
      <c r="L20" s="531" t="s">
        <v>18</v>
      </c>
    </row>
    <row r="21" spans="1:12" ht="15.75">
      <c r="B21" s="315" t="s">
        <v>15</v>
      </c>
      <c r="C21" s="316" t="s">
        <v>251</v>
      </c>
      <c r="D21" s="317"/>
      <c r="E21" s="315"/>
      <c r="F21" s="315" t="s">
        <v>410</v>
      </c>
      <c r="G21" s="315"/>
      <c r="H21" s="316" t="s">
        <v>411</v>
      </c>
      <c r="I21" s="315"/>
    </row>
    <row r="27" spans="1:12">
      <c r="E27" s="130"/>
    </row>
  </sheetData>
  <mergeCells count="7">
    <mergeCell ref="B20:C20"/>
    <mergeCell ref="D20:H20"/>
    <mergeCell ref="I8:I9"/>
    <mergeCell ref="A1:I1"/>
    <mergeCell ref="A2:I2"/>
    <mergeCell ref="A3:I3"/>
    <mergeCell ref="A4:I4"/>
  </mergeCells>
  <pageMargins left="0.2" right="0.2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A2" sqref="A2:M20"/>
    </sheetView>
  </sheetViews>
  <sheetFormatPr defaultRowHeight="15"/>
  <cols>
    <col min="1" max="1" width="3.7109375" bestFit="1" customWidth="1"/>
    <col min="2" max="2" width="11.28515625" bestFit="1" customWidth="1"/>
    <col min="3" max="3" width="6.42578125" bestFit="1" customWidth="1"/>
    <col min="4" max="4" width="13.5703125" bestFit="1" customWidth="1"/>
    <col min="5" max="5" width="12.42578125" bestFit="1" customWidth="1"/>
    <col min="6" max="6" width="4.85546875" bestFit="1" customWidth="1"/>
    <col min="7" max="7" width="11.85546875" customWidth="1"/>
    <col min="8" max="8" width="11" bestFit="1" customWidth="1"/>
    <col min="9" max="9" width="13.7109375" bestFit="1" customWidth="1"/>
    <col min="10" max="10" width="4.85546875" bestFit="1" customWidth="1"/>
    <col min="11" max="11" width="11.7109375" customWidth="1"/>
    <col min="12" max="12" width="12.28515625" bestFit="1" customWidth="1"/>
    <col min="13" max="13" width="14.140625" bestFit="1" customWidth="1"/>
    <col min="15" max="15" width="10.85546875" bestFit="1" customWidth="1"/>
  </cols>
  <sheetData>
    <row r="2" spans="1:15" ht="27">
      <c r="A2" s="611" t="s">
        <v>5</v>
      </c>
      <c r="B2" s="611"/>
      <c r="C2" s="611"/>
      <c r="D2" s="611"/>
      <c r="E2" s="611"/>
      <c r="F2" s="611"/>
      <c r="G2" s="611"/>
      <c r="H2" s="611"/>
      <c r="I2" s="611"/>
      <c r="J2" s="611"/>
      <c r="K2" s="611"/>
      <c r="L2" s="611"/>
      <c r="M2" s="611"/>
    </row>
    <row r="3" spans="1:15" ht="15.75">
      <c r="A3" s="612" t="s">
        <v>6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</row>
    <row r="4" spans="1:15" ht="15.75">
      <c r="A4" s="612" t="s">
        <v>7</v>
      </c>
      <c r="B4" s="612"/>
      <c r="C4" s="612"/>
      <c r="D4" s="612"/>
      <c r="E4" s="612"/>
      <c r="F4" s="612"/>
      <c r="G4" s="612"/>
      <c r="H4" s="612"/>
      <c r="I4" s="612"/>
      <c r="J4" s="612"/>
      <c r="K4" s="612"/>
      <c r="L4" s="612"/>
      <c r="M4" s="612"/>
    </row>
    <row r="5" spans="1:15" ht="15.75">
      <c r="A5" s="612" t="s">
        <v>314</v>
      </c>
      <c r="B5" s="612"/>
      <c r="C5" s="612"/>
      <c r="D5" s="612"/>
      <c r="E5" s="612"/>
      <c r="F5" s="612"/>
      <c r="G5" s="612"/>
      <c r="H5" s="612"/>
      <c r="I5" s="612"/>
      <c r="J5" s="612"/>
      <c r="K5" s="612"/>
      <c r="L5" s="612"/>
      <c r="M5" s="612"/>
    </row>
    <row r="6" spans="1:15" ht="16.5" thickBot="1">
      <c r="A6" s="170"/>
      <c r="B6" s="170"/>
      <c r="C6" s="170"/>
      <c r="D6" s="170"/>
      <c r="E6" s="170"/>
      <c r="F6" s="170"/>
      <c r="G6" s="170"/>
      <c r="H6" s="170"/>
      <c r="I6" s="170"/>
      <c r="J6" s="170"/>
      <c r="K6" s="170"/>
      <c r="L6" s="170"/>
      <c r="M6" s="170"/>
    </row>
    <row r="7" spans="1:15" ht="15.75" thickBot="1">
      <c r="A7" s="410" t="s">
        <v>74</v>
      </c>
      <c r="B7" s="613" t="s">
        <v>76</v>
      </c>
      <c r="C7" s="410" t="s">
        <v>77</v>
      </c>
      <c r="D7" s="410" t="s">
        <v>78</v>
      </c>
      <c r="E7" s="613" t="s">
        <v>108</v>
      </c>
      <c r="F7" s="615" t="s">
        <v>80</v>
      </c>
      <c r="G7" s="617" t="s">
        <v>81</v>
      </c>
      <c r="H7" s="618"/>
      <c r="I7" s="618"/>
      <c r="J7" s="618"/>
      <c r="K7" s="619"/>
      <c r="L7" s="617" t="s">
        <v>82</v>
      </c>
      <c r="M7" s="619"/>
    </row>
    <row r="8" spans="1:15" ht="15.75" thickBot="1">
      <c r="A8" s="218"/>
      <c r="B8" s="614"/>
      <c r="C8" s="218" t="s">
        <v>83</v>
      </c>
      <c r="D8" s="218" t="s">
        <v>312</v>
      </c>
      <c r="E8" s="614"/>
      <c r="F8" s="616"/>
      <c r="G8" s="469" t="s">
        <v>313</v>
      </c>
      <c r="H8" s="470" t="s">
        <v>85</v>
      </c>
      <c r="I8" s="470" t="s">
        <v>86</v>
      </c>
      <c r="J8" s="470" t="s">
        <v>80</v>
      </c>
      <c r="K8" s="471" t="s">
        <v>87</v>
      </c>
      <c r="L8" s="469" t="s">
        <v>85</v>
      </c>
      <c r="M8" s="471" t="s">
        <v>88</v>
      </c>
    </row>
    <row r="9" spans="1:15" ht="15.75">
      <c r="A9" s="173"/>
      <c r="B9" s="80" t="s">
        <v>167</v>
      </c>
      <c r="C9" s="81"/>
      <c r="D9" s="167">
        <v>6330000</v>
      </c>
      <c r="E9" s="205"/>
      <c r="F9" s="205">
        <v>0</v>
      </c>
      <c r="G9" s="168">
        <f>D9+E9</f>
        <v>6330000</v>
      </c>
      <c r="H9" s="206">
        <v>0</v>
      </c>
      <c r="I9" s="206">
        <v>0</v>
      </c>
      <c r="J9" s="206"/>
      <c r="K9" s="206">
        <v>0</v>
      </c>
      <c r="L9" s="206">
        <v>6330000</v>
      </c>
      <c r="M9" s="167">
        <f>G9-I9</f>
        <v>6330000</v>
      </c>
    </row>
    <row r="10" spans="1:15" ht="15.75">
      <c r="A10" s="82" t="s">
        <v>109</v>
      </c>
      <c r="B10" s="83" t="s">
        <v>110</v>
      </c>
      <c r="C10" s="84">
        <v>5</v>
      </c>
      <c r="D10" s="207">
        <v>6781764.2205151869</v>
      </c>
      <c r="E10" s="85">
        <v>5000000</v>
      </c>
      <c r="F10" s="84">
        <v>0</v>
      </c>
      <c r="G10" s="168">
        <f t="shared" ref="G10:G12" si="0">D10+E10</f>
        <v>11781764.220515188</v>
      </c>
      <c r="H10" s="85">
        <v>1859785.0070598123</v>
      </c>
      <c r="I10" s="206">
        <f>G10*C10/100</f>
        <v>589088.21102575946</v>
      </c>
      <c r="J10" s="208">
        <v>0</v>
      </c>
      <c r="K10" s="168">
        <f>H10+I10</f>
        <v>2448873.2180855717</v>
      </c>
      <c r="L10" s="85">
        <v>6781764.2205151869</v>
      </c>
      <c r="M10" s="167">
        <f t="shared" ref="M10:M11" si="1">G10-I10</f>
        <v>11192676.009489428</v>
      </c>
      <c r="O10" s="226"/>
    </row>
    <row r="11" spans="1:15" ht="15.75">
      <c r="A11" s="82" t="s">
        <v>111</v>
      </c>
      <c r="B11" s="83" t="s">
        <v>112</v>
      </c>
      <c r="C11" s="84">
        <v>20</v>
      </c>
      <c r="D11" s="207">
        <v>976345.59999999998</v>
      </c>
      <c r="E11" s="85">
        <v>200000</v>
      </c>
      <c r="F11" s="84">
        <v>0</v>
      </c>
      <c r="G11" s="168">
        <f t="shared" si="0"/>
        <v>1176345.6000000001</v>
      </c>
      <c r="H11" s="85">
        <v>2389279.7999999998</v>
      </c>
      <c r="I11" s="206">
        <f t="shared" ref="I11" si="2">G11*C11/100</f>
        <v>235269.12</v>
      </c>
      <c r="J11" s="86">
        <v>0</v>
      </c>
      <c r="K11" s="168">
        <f>H11+I11</f>
        <v>2624548.92</v>
      </c>
      <c r="L11" s="85">
        <v>976345.59999999998</v>
      </c>
      <c r="M11" s="167">
        <f t="shared" si="1"/>
        <v>941076.4800000001</v>
      </c>
    </row>
    <row r="12" spans="1:15" ht="16.5" thickBot="1">
      <c r="A12" s="78" t="s">
        <v>111</v>
      </c>
      <c r="B12" s="79" t="s">
        <v>381</v>
      </c>
      <c r="C12" s="87"/>
      <c r="D12" s="88">
        <v>0</v>
      </c>
      <c r="E12" s="88">
        <v>436029.25</v>
      </c>
      <c r="F12" s="88"/>
      <c r="G12" s="472">
        <f t="shared" si="0"/>
        <v>436029.25</v>
      </c>
      <c r="H12" s="88">
        <v>0</v>
      </c>
      <c r="I12" s="88">
        <v>0</v>
      </c>
      <c r="J12" s="209"/>
      <c r="K12" s="88">
        <v>0</v>
      </c>
      <c r="L12" s="88">
        <v>0</v>
      </c>
      <c r="M12" s="210">
        <v>436029.25</v>
      </c>
    </row>
    <row r="13" spans="1:15" ht="16.5" thickBot="1">
      <c r="A13" s="89"/>
      <c r="B13" s="90" t="s">
        <v>114</v>
      </c>
      <c r="C13" s="91"/>
      <c r="D13" s="211">
        <f t="shared" ref="D13:M13" si="3">SUM(D9:D12)</f>
        <v>14088109.820515187</v>
      </c>
      <c r="E13" s="212">
        <f t="shared" si="3"/>
        <v>5636029.25</v>
      </c>
      <c r="F13" s="212">
        <f t="shared" si="3"/>
        <v>0</v>
      </c>
      <c r="G13" s="211">
        <f t="shared" si="3"/>
        <v>19724139.070515189</v>
      </c>
      <c r="H13" s="211">
        <f t="shared" si="3"/>
        <v>4249064.8070598124</v>
      </c>
      <c r="I13" s="212">
        <f t="shared" si="3"/>
        <v>824357.33102575946</v>
      </c>
      <c r="J13" s="212">
        <f t="shared" si="3"/>
        <v>0</v>
      </c>
      <c r="K13" s="211">
        <f t="shared" si="3"/>
        <v>5073422.138085572</v>
      </c>
      <c r="L13" s="211">
        <f t="shared" si="3"/>
        <v>14088109.820515187</v>
      </c>
      <c r="M13" s="214">
        <f t="shared" si="3"/>
        <v>18899781.739489429</v>
      </c>
    </row>
    <row r="14" spans="1:15" ht="17.25">
      <c r="A14" s="4"/>
      <c r="B14" s="4"/>
      <c r="C14" s="4"/>
      <c r="D14" s="174"/>
      <c r="E14" s="4"/>
      <c r="F14" s="4"/>
      <c r="G14" s="134"/>
      <c r="H14" s="132"/>
      <c r="I14" s="73"/>
      <c r="J14" s="134"/>
      <c r="K14" s="134"/>
      <c r="L14" s="134"/>
      <c r="M14" s="132"/>
    </row>
    <row r="15" spans="1:15" ht="15.75">
      <c r="A15" s="3"/>
      <c r="B15" s="3"/>
      <c r="C15" s="3"/>
      <c r="D15" s="3"/>
      <c r="E15" s="3"/>
      <c r="F15" s="3"/>
      <c r="G15" s="57"/>
      <c r="H15" s="93"/>
      <c r="I15" s="73"/>
      <c r="J15" s="57"/>
      <c r="K15" s="57"/>
      <c r="L15" s="57"/>
      <c r="M15" s="93"/>
      <c r="O15" s="130"/>
    </row>
    <row r="16" spans="1:15" ht="15.75">
      <c r="A16" s="3"/>
      <c r="B16" s="3"/>
      <c r="C16" s="3"/>
      <c r="D16" s="3"/>
      <c r="E16" s="3"/>
      <c r="F16" s="3"/>
      <c r="G16" s="57"/>
      <c r="H16" s="57"/>
      <c r="I16" s="73"/>
      <c r="J16" s="57"/>
      <c r="K16" s="57"/>
      <c r="L16" s="57"/>
      <c r="M16" s="93"/>
    </row>
    <row r="17" spans="1:13">
      <c r="A17" s="3"/>
      <c r="B17" s="3"/>
      <c r="C17" s="3"/>
      <c r="D17" s="3"/>
      <c r="E17" s="3"/>
      <c r="F17" s="3"/>
      <c r="G17" s="57"/>
      <c r="H17" s="57"/>
      <c r="I17" s="92"/>
      <c r="J17" s="57"/>
      <c r="K17" s="57"/>
      <c r="L17" s="57"/>
      <c r="M17" s="57"/>
    </row>
    <row r="18" spans="1:1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15.75">
      <c r="A20" s="609" t="s">
        <v>15</v>
      </c>
      <c r="B20" s="609"/>
      <c r="C20" s="94"/>
      <c r="D20" s="171"/>
      <c r="E20" s="171"/>
      <c r="F20" s="171"/>
      <c r="G20" s="163" t="s">
        <v>251</v>
      </c>
      <c r="H20" s="163"/>
      <c r="I20" s="610" t="s">
        <v>17</v>
      </c>
      <c r="J20" s="610"/>
      <c r="K20" s="610"/>
      <c r="L20" s="94"/>
      <c r="M20" s="171" t="s">
        <v>18</v>
      </c>
    </row>
    <row r="21" spans="1:13" s="3" customFormat="1" ht="15.75">
      <c r="A21" s="241"/>
      <c r="B21" s="241"/>
      <c r="C21" s="94"/>
      <c r="D21" s="241"/>
      <c r="E21" s="241"/>
      <c r="F21" s="241"/>
      <c r="G21" s="163"/>
      <c r="H21" s="163"/>
      <c r="I21" s="242"/>
      <c r="J21" s="242"/>
      <c r="K21" s="242"/>
      <c r="L21" s="94"/>
      <c r="M21" s="241"/>
    </row>
    <row r="22" spans="1:13" s="3" customFormat="1" ht="15.75">
      <c r="A22" s="241"/>
      <c r="B22" s="241"/>
      <c r="C22" s="94"/>
      <c r="D22" s="241"/>
      <c r="E22" s="241"/>
      <c r="F22" s="241"/>
      <c r="G22" s="163"/>
      <c r="H22" s="163"/>
      <c r="I22" s="242"/>
      <c r="J22" s="242"/>
      <c r="K22" s="242"/>
      <c r="L22" s="94"/>
      <c r="M22" s="241"/>
    </row>
    <row r="23" spans="1:13" s="3" customFormat="1" ht="15.75">
      <c r="A23" s="241"/>
      <c r="B23" s="241"/>
      <c r="C23" s="94"/>
      <c r="D23" s="241"/>
      <c r="E23" s="241"/>
      <c r="F23" s="241"/>
      <c r="G23" s="163"/>
      <c r="H23" s="163"/>
      <c r="I23" s="242"/>
      <c r="J23" s="242"/>
      <c r="K23" s="242"/>
      <c r="L23" s="94"/>
      <c r="M23" s="241"/>
    </row>
    <row r="24" spans="1:13" s="3" customFormat="1" ht="15.75">
      <c r="A24" s="241"/>
      <c r="B24" s="241"/>
      <c r="C24" s="94"/>
      <c r="D24" s="241"/>
      <c r="E24" s="241"/>
      <c r="F24" s="241"/>
      <c r="G24" s="163"/>
      <c r="H24" s="163"/>
      <c r="I24" s="242"/>
      <c r="J24" s="242"/>
      <c r="K24" s="242"/>
      <c r="L24" s="94"/>
      <c r="M24" s="241"/>
    </row>
    <row r="25" spans="1:13" s="3" customFormat="1" ht="15.75">
      <c r="A25" s="241"/>
      <c r="B25" s="241"/>
      <c r="C25" s="94"/>
      <c r="D25" s="241"/>
      <c r="E25" s="241"/>
      <c r="F25" s="241"/>
      <c r="G25" s="163"/>
      <c r="H25" s="163"/>
      <c r="I25" s="242"/>
      <c r="J25" s="242"/>
      <c r="K25" s="242"/>
      <c r="L25" s="94"/>
      <c r="M25" s="241"/>
    </row>
    <row r="26" spans="1:13" s="3" customFormat="1" ht="15.75">
      <c r="A26" s="241"/>
      <c r="B26" s="241"/>
      <c r="C26" s="94"/>
      <c r="D26" s="241"/>
      <c r="E26" s="241"/>
      <c r="F26" s="241"/>
      <c r="G26" s="163"/>
      <c r="H26" s="163"/>
      <c r="I26" s="242"/>
      <c r="J26" s="242"/>
      <c r="K26" s="242"/>
      <c r="L26" s="94"/>
      <c r="M26" s="241"/>
    </row>
    <row r="27" spans="1:13" s="3" customFormat="1" ht="15.75">
      <c r="A27" s="241"/>
      <c r="B27" s="241"/>
      <c r="C27" s="94"/>
      <c r="D27" s="241"/>
      <c r="E27" s="241"/>
      <c r="F27" s="241"/>
      <c r="G27" s="163"/>
      <c r="H27" s="163"/>
      <c r="I27" s="242"/>
      <c r="J27" s="242"/>
      <c r="K27" s="242"/>
      <c r="L27" s="94"/>
      <c r="M27" s="241"/>
    </row>
    <row r="28" spans="1:13" s="3" customFormat="1" ht="15.75">
      <c r="A28" s="241"/>
      <c r="B28" s="241"/>
      <c r="C28" s="94"/>
      <c r="D28" s="241"/>
      <c r="E28" s="241"/>
      <c r="F28" s="241"/>
      <c r="G28" s="163"/>
      <c r="H28" s="163"/>
      <c r="I28" s="242"/>
      <c r="J28" s="242"/>
      <c r="K28" s="242"/>
      <c r="L28" s="94"/>
      <c r="M28" s="241"/>
    </row>
    <row r="33" spans="1:13" s="3" customFormat="1"/>
    <row r="34" spans="1:13" ht="27">
      <c r="A34" s="611" t="s">
        <v>5</v>
      </c>
      <c r="B34" s="611"/>
      <c r="C34" s="611"/>
      <c r="D34" s="611"/>
      <c r="E34" s="611"/>
      <c r="F34" s="611"/>
      <c r="G34" s="611"/>
      <c r="H34" s="611"/>
      <c r="I34" s="611"/>
      <c r="J34" s="611"/>
      <c r="K34" s="611"/>
      <c r="L34" s="611"/>
      <c r="M34" s="611"/>
    </row>
    <row r="35" spans="1:13" ht="15.75">
      <c r="A35" s="612" t="s">
        <v>6</v>
      </c>
      <c r="B35" s="612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</row>
    <row r="36" spans="1:13" ht="15.75">
      <c r="A36" s="612" t="s">
        <v>7</v>
      </c>
      <c r="B36" s="612"/>
      <c r="C36" s="612"/>
      <c r="D36" s="612"/>
      <c r="E36" s="612"/>
      <c r="F36" s="612"/>
      <c r="G36" s="612"/>
      <c r="H36" s="612"/>
      <c r="I36" s="612"/>
      <c r="J36" s="612"/>
      <c r="K36" s="612"/>
      <c r="L36" s="612"/>
      <c r="M36" s="612"/>
    </row>
    <row r="37" spans="1:13" ht="15.75">
      <c r="A37" s="612" t="s">
        <v>235</v>
      </c>
      <c r="B37" s="612"/>
      <c r="C37" s="612"/>
      <c r="D37" s="612"/>
      <c r="E37" s="612"/>
      <c r="F37" s="612"/>
      <c r="G37" s="612"/>
      <c r="H37" s="612"/>
      <c r="I37" s="612"/>
      <c r="J37" s="612"/>
      <c r="K37" s="612"/>
      <c r="L37" s="612"/>
      <c r="M37" s="612"/>
    </row>
    <row r="38" spans="1:13" ht="16.5" thickBot="1">
      <c r="A38" s="230"/>
      <c r="B38" s="230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</row>
    <row r="39" spans="1:13">
      <c r="A39" s="231" t="s">
        <v>74</v>
      </c>
      <c r="B39" s="613" t="s">
        <v>76</v>
      </c>
      <c r="C39" s="231" t="s">
        <v>77</v>
      </c>
      <c r="D39" s="231" t="s">
        <v>78</v>
      </c>
      <c r="E39" s="613" t="s">
        <v>108</v>
      </c>
      <c r="F39" s="615" t="s">
        <v>80</v>
      </c>
      <c r="G39" s="615" t="s">
        <v>81</v>
      </c>
      <c r="H39" s="622"/>
      <c r="I39" s="622"/>
      <c r="J39" s="622"/>
      <c r="K39" s="623"/>
      <c r="L39" s="615" t="s">
        <v>82</v>
      </c>
      <c r="M39" s="623"/>
    </row>
    <row r="40" spans="1:13" ht="15.75" thickBot="1">
      <c r="A40" s="232"/>
      <c r="B40" s="620"/>
      <c r="C40" s="232" t="s">
        <v>83</v>
      </c>
      <c r="D40" s="218" t="s">
        <v>206</v>
      </c>
      <c r="E40" s="620"/>
      <c r="F40" s="621"/>
      <c r="G40" s="215" t="s">
        <v>84</v>
      </c>
      <c r="H40" s="216" t="s">
        <v>85</v>
      </c>
      <c r="I40" s="216" t="s">
        <v>86</v>
      </c>
      <c r="J40" s="216" t="s">
        <v>80</v>
      </c>
      <c r="K40" s="217" t="s">
        <v>87</v>
      </c>
      <c r="L40" s="215" t="s">
        <v>85</v>
      </c>
      <c r="M40" s="217" t="s">
        <v>88</v>
      </c>
    </row>
    <row r="41" spans="1:13" ht="15.75">
      <c r="A41" s="173"/>
      <c r="B41" s="80" t="s">
        <v>167</v>
      </c>
      <c r="C41" s="81"/>
      <c r="D41" s="167">
        <v>6330000</v>
      </c>
      <c r="E41" s="205"/>
      <c r="F41" s="205">
        <v>0</v>
      </c>
      <c r="G41" s="168">
        <v>6330000</v>
      </c>
      <c r="H41" s="206">
        <v>0</v>
      </c>
      <c r="I41" s="206">
        <v>0</v>
      </c>
      <c r="J41" s="206"/>
      <c r="K41" s="206">
        <v>0</v>
      </c>
      <c r="L41" s="167">
        <v>6330000</v>
      </c>
      <c r="M41" s="167">
        <f>G41-I41</f>
        <v>6330000</v>
      </c>
    </row>
    <row r="42" spans="1:13" ht="15.75">
      <c r="A42" s="82" t="s">
        <v>109</v>
      </c>
      <c r="B42" s="83" t="s">
        <v>110</v>
      </c>
      <c r="C42" s="84">
        <v>5</v>
      </c>
      <c r="D42" s="207">
        <v>6781764.2199999997</v>
      </c>
      <c r="E42" s="85">
        <f>1730386+1331622</f>
        <v>3062008</v>
      </c>
      <c r="F42" s="84">
        <v>0</v>
      </c>
      <c r="G42" s="168">
        <f>D42+E42</f>
        <v>9843772.2199999988</v>
      </c>
      <c r="H42" s="85" t="s">
        <v>234</v>
      </c>
      <c r="I42" s="206">
        <f>G42*C42/100</f>
        <v>492188.61099999992</v>
      </c>
      <c r="J42" s="208">
        <v>0</v>
      </c>
      <c r="K42" s="168">
        <f>1416408.32+405669.3</f>
        <v>1822077.62</v>
      </c>
      <c r="L42" s="207">
        <v>6781764.2199999997</v>
      </c>
      <c r="M42" s="167">
        <f t="shared" ref="M42:M43" si="4">G42-I42</f>
        <v>9351583.6089999992</v>
      </c>
    </row>
    <row r="43" spans="1:13" ht="15.75">
      <c r="A43" s="82" t="s">
        <v>111</v>
      </c>
      <c r="B43" s="83" t="s">
        <v>112</v>
      </c>
      <c r="C43" s="84">
        <v>20</v>
      </c>
      <c r="D43" s="207">
        <v>976345.59999999998</v>
      </c>
      <c r="E43" s="85">
        <v>0</v>
      </c>
      <c r="F43" s="84">
        <v>0</v>
      </c>
      <c r="G43" s="168">
        <v>1220432</v>
      </c>
      <c r="H43" s="85">
        <f>244086.4+2145193.4</f>
        <v>2389279.7999999998</v>
      </c>
      <c r="I43" s="206">
        <f>H43*C43/100</f>
        <v>477855.96</v>
      </c>
      <c r="J43" s="86">
        <v>0</v>
      </c>
      <c r="K43" s="168">
        <f>H43+I43</f>
        <v>2867135.76</v>
      </c>
      <c r="L43" s="207">
        <v>976345.59999999998</v>
      </c>
      <c r="M43" s="167">
        <f t="shared" si="4"/>
        <v>742576.04</v>
      </c>
    </row>
    <row r="44" spans="1:13" ht="16.5" thickBot="1">
      <c r="A44" s="78"/>
      <c r="B44" s="79" t="s">
        <v>113</v>
      </c>
      <c r="C44" s="87"/>
      <c r="D44" s="88"/>
      <c r="E44" s="88"/>
      <c r="F44" s="88"/>
      <c r="G44" s="88"/>
      <c r="H44" s="88"/>
      <c r="I44" s="209"/>
      <c r="J44" s="209"/>
      <c r="K44" s="88"/>
      <c r="L44" s="88"/>
      <c r="M44" s="210" t="s">
        <v>224</v>
      </c>
    </row>
    <row r="45" spans="1:13" ht="16.5" thickBot="1">
      <c r="A45" s="89"/>
      <c r="B45" s="90" t="s">
        <v>114</v>
      </c>
      <c r="C45" s="91"/>
      <c r="D45" s="211">
        <v>7187295.1390749998</v>
      </c>
      <c r="E45" s="212">
        <v>0</v>
      </c>
      <c r="F45" s="212"/>
      <c r="G45" s="211">
        <f t="shared" ref="G45:M45" si="5">SUM(G41:G44)</f>
        <v>17394204.219999999</v>
      </c>
      <c r="H45" s="211">
        <f t="shared" si="5"/>
        <v>2389279.7999999998</v>
      </c>
      <c r="I45" s="213">
        <f t="shared" si="5"/>
        <v>970044.571</v>
      </c>
      <c r="J45" s="212">
        <f t="shared" si="5"/>
        <v>0</v>
      </c>
      <c r="K45" s="211">
        <f t="shared" si="5"/>
        <v>4689213.38</v>
      </c>
      <c r="L45" s="211">
        <f t="shared" si="5"/>
        <v>14088109.819999998</v>
      </c>
      <c r="M45" s="214">
        <f t="shared" si="5"/>
        <v>16424159.649</v>
      </c>
    </row>
    <row r="46" spans="1:13" ht="17.25">
      <c r="A46" s="4"/>
      <c r="B46" s="4"/>
      <c r="C46" s="4"/>
      <c r="D46" s="174"/>
      <c r="E46" s="4"/>
      <c r="F46" s="4"/>
      <c r="G46" s="134"/>
      <c r="H46" s="132"/>
      <c r="I46" s="73"/>
      <c r="J46" s="134"/>
      <c r="K46" s="134"/>
      <c r="L46" s="134"/>
      <c r="M46" s="132"/>
    </row>
    <row r="47" spans="1:13" ht="15.75">
      <c r="A47" s="3"/>
      <c r="B47" s="3"/>
      <c r="C47" s="3"/>
      <c r="D47" s="3"/>
      <c r="E47" s="3"/>
      <c r="F47" s="3"/>
      <c r="G47" s="57"/>
      <c r="H47" s="93"/>
      <c r="I47" s="73"/>
      <c r="J47" s="57"/>
      <c r="K47" s="57"/>
      <c r="L47" s="57"/>
      <c r="M47" s="93"/>
    </row>
    <row r="48" spans="1:13" ht="15.75">
      <c r="A48" s="3"/>
      <c r="B48" s="3"/>
      <c r="C48" s="3"/>
      <c r="D48" s="3"/>
      <c r="E48" s="3">
        <v>3786072</v>
      </c>
      <c r="F48" s="3"/>
      <c r="G48" s="57"/>
      <c r="H48" s="57"/>
      <c r="I48" s="73"/>
      <c r="J48" s="57"/>
      <c r="K48" s="57"/>
      <c r="L48" s="57"/>
      <c r="M48" s="93"/>
    </row>
    <row r="49" spans="1:13">
      <c r="A49" s="3"/>
      <c r="B49" s="3"/>
      <c r="C49" s="3"/>
      <c r="D49" s="3"/>
      <c r="E49" s="3">
        <v>724064</v>
      </c>
      <c r="F49" s="3"/>
      <c r="G49" s="57"/>
      <c r="H49" s="57"/>
      <c r="I49" s="92"/>
      <c r="J49" s="57"/>
      <c r="K49" s="57"/>
      <c r="L49" s="57"/>
      <c r="M49" s="57"/>
    </row>
    <row r="50" spans="1:13">
      <c r="A50" s="3"/>
      <c r="B50" s="3"/>
      <c r="C50" s="3"/>
      <c r="D50" s="3"/>
      <c r="E50" s="3">
        <f>E48-E49</f>
        <v>3062008</v>
      </c>
      <c r="F50" s="3"/>
      <c r="G50" s="3"/>
      <c r="H50" s="3"/>
      <c r="I50" s="3"/>
      <c r="J50" s="3"/>
      <c r="K50" s="3"/>
      <c r="L50" s="3"/>
      <c r="M50" s="3"/>
    </row>
    <row r="51" spans="1:13">
      <c r="A51" s="3"/>
      <c r="B51" s="3"/>
      <c r="C51" s="3"/>
      <c r="D51" s="3"/>
      <c r="E51" s="53">
        <f>E50-E42</f>
        <v>0</v>
      </c>
      <c r="F51" s="3"/>
      <c r="G51" s="3"/>
      <c r="H51" s="3"/>
      <c r="I51" s="3"/>
      <c r="J51" s="3"/>
      <c r="K51" s="3"/>
      <c r="L51" s="3"/>
      <c r="M51" s="3"/>
    </row>
    <row r="52" spans="1:13" ht="15.75">
      <c r="A52" s="609" t="s">
        <v>15</v>
      </c>
      <c r="B52" s="609"/>
      <c r="C52" s="94"/>
      <c r="D52" s="229"/>
      <c r="E52" s="229"/>
      <c r="F52" s="229"/>
      <c r="G52" s="163" t="s">
        <v>251</v>
      </c>
      <c r="H52" s="163"/>
      <c r="I52" s="610" t="s">
        <v>17</v>
      </c>
      <c r="J52" s="610"/>
      <c r="K52" s="610"/>
      <c r="L52" s="94"/>
      <c r="M52" s="229" t="s">
        <v>18</v>
      </c>
    </row>
  </sheetData>
  <mergeCells count="22">
    <mergeCell ref="A52:B52"/>
    <mergeCell ref="I52:K52"/>
    <mergeCell ref="A34:M34"/>
    <mergeCell ref="A35:M35"/>
    <mergeCell ref="A36:M36"/>
    <mergeCell ref="A37:M37"/>
    <mergeCell ref="B39:B40"/>
    <mergeCell ref="E39:E40"/>
    <mergeCell ref="F39:F40"/>
    <mergeCell ref="G39:K39"/>
    <mergeCell ref="L39:M39"/>
    <mergeCell ref="A20:B20"/>
    <mergeCell ref="I20:K20"/>
    <mergeCell ref="A2:M2"/>
    <mergeCell ref="A3:M3"/>
    <mergeCell ref="A4:M4"/>
    <mergeCell ref="A5:M5"/>
    <mergeCell ref="B7:B8"/>
    <mergeCell ref="E7:E8"/>
    <mergeCell ref="F7:F8"/>
    <mergeCell ref="G7:K7"/>
    <mergeCell ref="L7:M7"/>
  </mergeCells>
  <pageMargins left="0" right="0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3" workbookViewId="0">
      <selection activeCell="C34" sqref="C34:N34"/>
    </sheetView>
  </sheetViews>
  <sheetFormatPr defaultRowHeight="15"/>
  <cols>
    <col min="1" max="1" width="5.7109375" customWidth="1"/>
    <col min="2" max="2" width="4.5703125" bestFit="1" customWidth="1"/>
    <col min="3" max="3" width="17.28515625" bestFit="1" customWidth="1"/>
    <col min="4" max="4" width="6.42578125" bestFit="1" customWidth="1"/>
    <col min="5" max="5" width="10.7109375" bestFit="1" customWidth="1"/>
    <col min="6" max="6" width="6.85546875" customWidth="1"/>
    <col min="7" max="7" width="4.140625" bestFit="1" customWidth="1"/>
    <col min="8" max="8" width="11.140625" bestFit="1" customWidth="1"/>
    <col min="9" max="9" width="11.5703125" bestFit="1" customWidth="1"/>
    <col min="10" max="10" width="11" bestFit="1" customWidth="1"/>
    <col min="11" max="11" width="4.28515625" bestFit="1" customWidth="1"/>
    <col min="12" max="12" width="10.42578125" bestFit="1" customWidth="1"/>
    <col min="13" max="13" width="10.7109375" bestFit="1" customWidth="1"/>
    <col min="14" max="14" width="9.28515625" bestFit="1" customWidth="1"/>
  </cols>
  <sheetData>
    <row r="1" spans="1:14" ht="27">
      <c r="A1" s="611" t="s">
        <v>5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</row>
    <row r="2" spans="1:14" ht="15.75">
      <c r="A2" s="612" t="s">
        <v>6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</row>
    <row r="3" spans="1:14" ht="15.75">
      <c r="A3" s="612" t="s">
        <v>7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</row>
    <row r="4" spans="1:14" ht="15.75">
      <c r="A4" s="612" t="s">
        <v>361</v>
      </c>
      <c r="B4" s="612"/>
      <c r="C4" s="612"/>
      <c r="D4" s="612"/>
      <c r="E4" s="612"/>
      <c r="F4" s="612"/>
      <c r="G4" s="612"/>
      <c r="H4" s="612"/>
      <c r="I4" s="612"/>
      <c r="J4" s="612"/>
      <c r="K4" s="612"/>
      <c r="L4" s="612"/>
      <c r="M4" s="612"/>
      <c r="N4" s="612"/>
    </row>
    <row r="5" spans="1:14" ht="18" thickBo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630" t="s">
        <v>192</v>
      </c>
      <c r="N5" s="630"/>
    </row>
    <row r="6" spans="1:14">
      <c r="A6" s="624" t="s">
        <v>74</v>
      </c>
      <c r="B6" s="626" t="s">
        <v>75</v>
      </c>
      <c r="C6" s="628" t="s">
        <v>76</v>
      </c>
      <c r="D6" s="59" t="s">
        <v>77</v>
      </c>
      <c r="E6" s="60" t="s">
        <v>78</v>
      </c>
      <c r="F6" s="624" t="s">
        <v>79</v>
      </c>
      <c r="G6" s="626" t="s">
        <v>80</v>
      </c>
      <c r="H6" s="631" t="s">
        <v>81</v>
      </c>
      <c r="I6" s="631"/>
      <c r="J6" s="631"/>
      <c r="K6" s="631"/>
      <c r="L6" s="631"/>
      <c r="M6" s="61" t="s">
        <v>82</v>
      </c>
      <c r="N6" s="62"/>
    </row>
    <row r="7" spans="1:14">
      <c r="A7" s="625"/>
      <c r="B7" s="627"/>
      <c r="C7" s="629"/>
      <c r="D7" s="63" t="s">
        <v>83</v>
      </c>
      <c r="E7" s="64" t="s">
        <v>312</v>
      </c>
      <c r="F7" s="625"/>
      <c r="G7" s="627"/>
      <c r="H7" s="65" t="s">
        <v>313</v>
      </c>
      <c r="I7" s="65" t="s">
        <v>85</v>
      </c>
      <c r="J7" s="65" t="s">
        <v>86</v>
      </c>
      <c r="K7" s="65" t="s">
        <v>80</v>
      </c>
      <c r="L7" s="65" t="s">
        <v>87</v>
      </c>
      <c r="M7" s="65" t="s">
        <v>85</v>
      </c>
      <c r="N7" s="66" t="s">
        <v>88</v>
      </c>
    </row>
    <row r="8" spans="1:14">
      <c r="A8" s="67" t="s">
        <v>89</v>
      </c>
      <c r="B8" s="68">
        <v>5</v>
      </c>
      <c r="C8" s="68" t="s">
        <v>90</v>
      </c>
      <c r="D8" s="68">
        <v>25</v>
      </c>
      <c r="E8" s="69">
        <v>12072.156093750002</v>
      </c>
      <c r="F8" s="68">
        <v>0</v>
      </c>
      <c r="G8" s="68">
        <v>0</v>
      </c>
      <c r="H8" s="69">
        <f>E8</f>
        <v>12072.156093750002</v>
      </c>
      <c r="I8" s="69">
        <v>13473.717656250001</v>
      </c>
      <c r="J8" s="69">
        <f>H8*D8/100</f>
        <v>3018.0390234375004</v>
      </c>
      <c r="K8" s="69">
        <v>0</v>
      </c>
      <c r="L8" s="69">
        <f>I8+J8</f>
        <v>16491.7566796875</v>
      </c>
      <c r="M8" s="69">
        <v>12072.156093750002</v>
      </c>
      <c r="N8" s="70">
        <f>H8-J8</f>
        <v>9054.1170703125008</v>
      </c>
    </row>
    <row r="9" spans="1:14">
      <c r="A9" s="67" t="s">
        <v>89</v>
      </c>
      <c r="B9" s="68"/>
      <c r="C9" s="68" t="s">
        <v>91</v>
      </c>
      <c r="D9" s="68">
        <v>25</v>
      </c>
      <c r="E9" s="69">
        <v>6782.0881640624993</v>
      </c>
      <c r="F9" s="68">
        <v>0</v>
      </c>
      <c r="G9" s="68">
        <v>0</v>
      </c>
      <c r="H9" s="69">
        <f t="shared" ref="H9:H27" si="0">E9</f>
        <v>6782.0881640624993</v>
      </c>
      <c r="I9" s="69">
        <v>7524.1008984375003</v>
      </c>
      <c r="J9" s="69">
        <f t="shared" ref="J9:J27" si="1">H9*D9/100</f>
        <v>1695.5220410156246</v>
      </c>
      <c r="K9" s="69">
        <v>0</v>
      </c>
      <c r="L9" s="69">
        <f t="shared" ref="L9:L27" si="2">I9+J9</f>
        <v>9219.6229394531256</v>
      </c>
      <c r="M9" s="69">
        <v>6782.0881640624993</v>
      </c>
      <c r="N9" s="70">
        <f t="shared" ref="N9:N27" si="3">H9-J9</f>
        <v>5086.566123046875</v>
      </c>
    </row>
    <row r="10" spans="1:14">
      <c r="A10" s="67" t="s">
        <v>89</v>
      </c>
      <c r="B10" s="68">
        <v>23</v>
      </c>
      <c r="C10" s="68" t="s">
        <v>92</v>
      </c>
      <c r="D10" s="68">
        <v>25</v>
      </c>
      <c r="E10" s="69">
        <v>21027.15578125</v>
      </c>
      <c r="F10" s="68">
        <v>0</v>
      </c>
      <c r="G10" s="68">
        <v>0</v>
      </c>
      <c r="H10" s="69">
        <f t="shared" si="0"/>
        <v>21027.15578125</v>
      </c>
      <c r="I10" s="69">
        <v>23695.94546875</v>
      </c>
      <c r="J10" s="69">
        <f t="shared" si="1"/>
        <v>5256.7889453124999</v>
      </c>
      <c r="K10" s="69">
        <v>0</v>
      </c>
      <c r="L10" s="69">
        <f t="shared" si="2"/>
        <v>28952.734414062499</v>
      </c>
      <c r="M10" s="69">
        <v>21027.15578125</v>
      </c>
      <c r="N10" s="70">
        <f t="shared" si="3"/>
        <v>15770.366835937501</v>
      </c>
    </row>
    <row r="11" spans="1:14">
      <c r="A11" s="67" t="s">
        <v>89</v>
      </c>
      <c r="B11" s="68">
        <v>24</v>
      </c>
      <c r="C11" s="68" t="s">
        <v>93</v>
      </c>
      <c r="D11" s="68">
        <v>25</v>
      </c>
      <c r="E11" s="69">
        <v>4737.5276562500003</v>
      </c>
      <c r="F11" s="68">
        <v>0</v>
      </c>
      <c r="G11" s="68">
        <v>0</v>
      </c>
      <c r="H11" s="69">
        <f t="shared" si="0"/>
        <v>4737.5276562500003</v>
      </c>
      <c r="I11" s="69">
        <v>4737.5285937499993</v>
      </c>
      <c r="J11" s="69">
        <f t="shared" si="1"/>
        <v>1184.3819140625001</v>
      </c>
      <c r="K11" s="69">
        <v>0</v>
      </c>
      <c r="L11" s="69">
        <f t="shared" si="2"/>
        <v>5921.9105078124994</v>
      </c>
      <c r="M11" s="69">
        <v>4737.5276562500003</v>
      </c>
      <c r="N11" s="70">
        <f t="shared" si="3"/>
        <v>3553.1457421875002</v>
      </c>
    </row>
    <row r="12" spans="1:14">
      <c r="A12" s="67" t="s">
        <v>89</v>
      </c>
      <c r="B12" s="68">
        <v>25</v>
      </c>
      <c r="C12" s="68" t="s">
        <v>94</v>
      </c>
      <c r="D12" s="68">
        <v>25</v>
      </c>
      <c r="E12" s="69">
        <v>52876.904882812501</v>
      </c>
      <c r="F12" s="68">
        <v>0</v>
      </c>
      <c r="G12" s="68">
        <v>0</v>
      </c>
      <c r="H12" s="69">
        <f t="shared" si="0"/>
        <v>52876.904882812501</v>
      </c>
      <c r="I12" s="69">
        <v>59588.102929687499</v>
      </c>
      <c r="J12" s="69">
        <f t="shared" si="1"/>
        <v>13219.226220703125</v>
      </c>
      <c r="K12" s="69">
        <v>0</v>
      </c>
      <c r="L12" s="69">
        <f t="shared" si="2"/>
        <v>72807.329150390622</v>
      </c>
      <c r="M12" s="69">
        <v>52876.904882812501</v>
      </c>
      <c r="N12" s="70">
        <f t="shared" si="3"/>
        <v>39657.678662109378</v>
      </c>
    </row>
    <row r="13" spans="1:14">
      <c r="A13" s="67" t="s">
        <v>89</v>
      </c>
      <c r="B13" s="68">
        <v>26</v>
      </c>
      <c r="C13" s="68" t="s">
        <v>95</v>
      </c>
      <c r="D13" s="68">
        <v>25</v>
      </c>
      <c r="E13" s="69">
        <v>10096.38671875</v>
      </c>
      <c r="F13" s="68">
        <v>0</v>
      </c>
      <c r="G13" s="68">
        <v>0</v>
      </c>
      <c r="H13" s="69">
        <f t="shared" si="0"/>
        <v>10096.38671875</v>
      </c>
      <c r="I13" s="69">
        <v>11377.83203125</v>
      </c>
      <c r="J13" s="69">
        <f t="shared" si="1"/>
        <v>2524.0966796875</v>
      </c>
      <c r="K13" s="69">
        <v>0</v>
      </c>
      <c r="L13" s="69">
        <f t="shared" si="2"/>
        <v>13901.9287109375</v>
      </c>
      <c r="M13" s="69">
        <v>10096.38671875</v>
      </c>
      <c r="N13" s="70">
        <f t="shared" si="3"/>
        <v>7572.2900390625</v>
      </c>
    </row>
    <row r="14" spans="1:14">
      <c r="A14" s="67" t="s">
        <v>89</v>
      </c>
      <c r="B14" s="68">
        <v>27</v>
      </c>
      <c r="C14" s="68" t="s">
        <v>96</v>
      </c>
      <c r="D14" s="68">
        <v>25</v>
      </c>
      <c r="E14" s="69">
        <v>7983.5644921875</v>
      </c>
      <c r="F14" s="68">
        <v>0</v>
      </c>
      <c r="G14" s="68">
        <v>0</v>
      </c>
      <c r="H14" s="69">
        <f t="shared" si="0"/>
        <v>7983.5644921875</v>
      </c>
      <c r="I14" s="69">
        <v>8725.1426953124992</v>
      </c>
      <c r="J14" s="69">
        <f t="shared" si="1"/>
        <v>1995.891123046875</v>
      </c>
      <c r="K14" s="69">
        <v>0</v>
      </c>
      <c r="L14" s="69">
        <f t="shared" si="2"/>
        <v>10721.033818359374</v>
      </c>
      <c r="M14" s="69">
        <v>7983.5644921875</v>
      </c>
      <c r="N14" s="70">
        <f t="shared" si="3"/>
        <v>5987.6733691406253</v>
      </c>
    </row>
    <row r="15" spans="1:14">
      <c r="A15" s="67" t="s">
        <v>89</v>
      </c>
      <c r="B15" s="68">
        <v>28</v>
      </c>
      <c r="C15" s="68" t="s">
        <v>90</v>
      </c>
      <c r="D15" s="68">
        <v>25</v>
      </c>
      <c r="E15" s="69">
        <v>10096.38671875</v>
      </c>
      <c r="F15" s="68">
        <v>0</v>
      </c>
      <c r="G15" s="68">
        <v>0</v>
      </c>
      <c r="H15" s="69">
        <f t="shared" si="0"/>
        <v>10096.38671875</v>
      </c>
      <c r="I15" s="69">
        <v>11377.83203125</v>
      </c>
      <c r="J15" s="69">
        <f t="shared" si="1"/>
        <v>2524.0966796875</v>
      </c>
      <c r="K15" s="69">
        <v>0</v>
      </c>
      <c r="L15" s="69">
        <f t="shared" si="2"/>
        <v>13901.9287109375</v>
      </c>
      <c r="M15" s="69">
        <v>10096.38671875</v>
      </c>
      <c r="N15" s="70">
        <f t="shared" si="3"/>
        <v>7572.2900390625</v>
      </c>
    </row>
    <row r="16" spans="1:14">
      <c r="A16" s="67" t="s">
        <v>89</v>
      </c>
      <c r="B16" s="68">
        <v>29</v>
      </c>
      <c r="C16" s="68" t="s">
        <v>97</v>
      </c>
      <c r="D16" s="68">
        <v>25</v>
      </c>
      <c r="E16" s="69">
        <v>5245.2046874999996</v>
      </c>
      <c r="F16" s="68">
        <v>0</v>
      </c>
      <c r="G16" s="68">
        <v>0</v>
      </c>
      <c r="H16" s="69">
        <f t="shared" si="0"/>
        <v>5245.2046874999996</v>
      </c>
      <c r="I16" s="69">
        <v>5245.2028124999997</v>
      </c>
      <c r="J16" s="69">
        <f t="shared" si="1"/>
        <v>1311.3011718749999</v>
      </c>
      <c r="K16" s="69">
        <v>0</v>
      </c>
      <c r="L16" s="69">
        <f t="shared" si="2"/>
        <v>6556.5039843750001</v>
      </c>
      <c r="M16" s="69">
        <v>5245.2046874999996</v>
      </c>
      <c r="N16" s="70">
        <f t="shared" si="3"/>
        <v>3933.9035156249997</v>
      </c>
    </row>
    <row r="17" spans="1:14">
      <c r="A17" s="67" t="s">
        <v>89</v>
      </c>
      <c r="B17" s="68">
        <v>30</v>
      </c>
      <c r="C17" s="68" t="s">
        <v>98</v>
      </c>
      <c r="D17" s="68">
        <v>25</v>
      </c>
      <c r="E17" s="69">
        <v>9465.3638671874996</v>
      </c>
      <c r="F17" s="68">
        <v>0</v>
      </c>
      <c r="G17" s="68">
        <v>0</v>
      </c>
      <c r="H17" s="69">
        <f t="shared" si="0"/>
        <v>9465.3638671874996</v>
      </c>
      <c r="I17" s="69">
        <v>10666.718320312501</v>
      </c>
      <c r="J17" s="69">
        <f t="shared" si="1"/>
        <v>2366.3409667968749</v>
      </c>
      <c r="K17" s="69">
        <v>0</v>
      </c>
      <c r="L17" s="69">
        <f t="shared" si="2"/>
        <v>13033.059287109376</v>
      </c>
      <c r="M17" s="69">
        <v>9465.3638671874996</v>
      </c>
      <c r="N17" s="70">
        <f t="shared" si="3"/>
        <v>7099.0229003906243</v>
      </c>
    </row>
    <row r="18" spans="1:14">
      <c r="A18" s="67" t="s">
        <v>89</v>
      </c>
      <c r="B18" s="68">
        <v>31</v>
      </c>
      <c r="C18" s="68" t="s">
        <v>99</v>
      </c>
      <c r="D18" s="68">
        <v>25</v>
      </c>
      <c r="E18" s="69">
        <v>5226.65234375</v>
      </c>
      <c r="F18" s="68">
        <v>0</v>
      </c>
      <c r="G18" s="68">
        <v>0</v>
      </c>
      <c r="H18" s="69">
        <f t="shared" si="0"/>
        <v>5226.65234375</v>
      </c>
      <c r="I18" s="69">
        <v>5226.6514062500009</v>
      </c>
      <c r="J18" s="69">
        <f t="shared" si="1"/>
        <v>1306.6630859375</v>
      </c>
      <c r="K18" s="69">
        <v>0</v>
      </c>
      <c r="L18" s="69">
        <f t="shared" si="2"/>
        <v>6533.3144921875009</v>
      </c>
      <c r="M18" s="69">
        <v>5226.65234375</v>
      </c>
      <c r="N18" s="70">
        <f t="shared" si="3"/>
        <v>3919.9892578125</v>
      </c>
    </row>
    <row r="19" spans="1:14">
      <c r="A19" s="67" t="s">
        <v>89</v>
      </c>
      <c r="B19" s="68">
        <v>32</v>
      </c>
      <c r="C19" s="68" t="s">
        <v>100</v>
      </c>
      <c r="D19" s="68">
        <v>25</v>
      </c>
      <c r="E19" s="69">
        <v>7221.9287109375</v>
      </c>
      <c r="F19" s="68">
        <v>0</v>
      </c>
      <c r="G19" s="68">
        <v>0</v>
      </c>
      <c r="H19" s="69">
        <f t="shared" si="0"/>
        <v>7221.9287109375</v>
      </c>
      <c r="I19" s="69">
        <v>8311.1572265625</v>
      </c>
      <c r="J19" s="69">
        <f t="shared" si="1"/>
        <v>1805.482177734375</v>
      </c>
      <c r="K19" s="69">
        <v>0</v>
      </c>
      <c r="L19" s="69">
        <f t="shared" si="2"/>
        <v>10116.639404296875</v>
      </c>
      <c r="M19" s="69">
        <v>7221.9287109375</v>
      </c>
      <c r="N19" s="70">
        <f t="shared" si="3"/>
        <v>5416.446533203125</v>
      </c>
    </row>
    <row r="20" spans="1:14">
      <c r="A20" s="67" t="s">
        <v>89</v>
      </c>
      <c r="B20" s="68">
        <v>33</v>
      </c>
      <c r="C20" s="68" t="s">
        <v>101</v>
      </c>
      <c r="D20" s="68">
        <v>25</v>
      </c>
      <c r="E20" s="69">
        <v>103111.32035156251</v>
      </c>
      <c r="F20" s="68">
        <v>0</v>
      </c>
      <c r="G20" s="68">
        <v>0</v>
      </c>
      <c r="H20" s="69">
        <f t="shared" si="0"/>
        <v>103111.32035156251</v>
      </c>
      <c r="I20" s="69">
        <v>118662.8162109375</v>
      </c>
      <c r="J20" s="69">
        <f t="shared" si="1"/>
        <v>25777.830087890627</v>
      </c>
      <c r="K20" s="69">
        <v>0</v>
      </c>
      <c r="L20" s="69">
        <f t="shared" si="2"/>
        <v>144440.64629882813</v>
      </c>
      <c r="M20" s="69">
        <v>103111.32035156251</v>
      </c>
      <c r="N20" s="70">
        <f t="shared" si="3"/>
        <v>77333.490263671876</v>
      </c>
    </row>
    <row r="21" spans="1:14">
      <c r="A21" s="67" t="s">
        <v>89</v>
      </c>
      <c r="B21" s="68">
        <v>34</v>
      </c>
      <c r="C21" s="68" t="s">
        <v>102</v>
      </c>
      <c r="D21" s="68">
        <v>25</v>
      </c>
      <c r="E21" s="69">
        <v>15517.707617187498</v>
      </c>
      <c r="F21" s="68">
        <v>0</v>
      </c>
      <c r="G21" s="68">
        <v>0</v>
      </c>
      <c r="H21" s="69">
        <f t="shared" si="0"/>
        <v>15517.707617187498</v>
      </c>
      <c r="I21" s="69">
        <v>17858.124570312499</v>
      </c>
      <c r="J21" s="69">
        <f t="shared" si="1"/>
        <v>3879.4269042968745</v>
      </c>
      <c r="K21" s="69">
        <v>0</v>
      </c>
      <c r="L21" s="69">
        <f t="shared" si="2"/>
        <v>21737.551474609372</v>
      </c>
      <c r="M21" s="69">
        <v>15517.707617187498</v>
      </c>
      <c r="N21" s="70">
        <f t="shared" si="3"/>
        <v>11638.280712890624</v>
      </c>
    </row>
    <row r="22" spans="1:14">
      <c r="A22" s="67" t="s">
        <v>89</v>
      </c>
      <c r="B22" s="68">
        <v>35</v>
      </c>
      <c r="C22" s="68" t="s">
        <v>103</v>
      </c>
      <c r="D22" s="68">
        <v>25</v>
      </c>
      <c r="E22" s="69">
        <v>7965.3638671874996</v>
      </c>
      <c r="F22" s="68">
        <v>0</v>
      </c>
      <c r="G22" s="68">
        <v>0</v>
      </c>
      <c r="H22" s="69">
        <f t="shared" si="0"/>
        <v>7965.3638671874996</v>
      </c>
      <c r="I22" s="69">
        <v>9166.7183203125005</v>
      </c>
      <c r="J22" s="69">
        <f t="shared" si="1"/>
        <v>1991.3409667968749</v>
      </c>
      <c r="K22" s="69">
        <v>0</v>
      </c>
      <c r="L22" s="69">
        <f t="shared" si="2"/>
        <v>11158.059287109376</v>
      </c>
      <c r="M22" s="69">
        <v>7965.3638671874996</v>
      </c>
      <c r="N22" s="70">
        <f t="shared" si="3"/>
        <v>5974.0229003906243</v>
      </c>
    </row>
    <row r="23" spans="1:14">
      <c r="A23" s="67" t="s">
        <v>89</v>
      </c>
      <c r="B23" s="68">
        <v>36</v>
      </c>
      <c r="C23" s="68" t="s">
        <v>104</v>
      </c>
      <c r="D23" s="68">
        <v>25</v>
      </c>
      <c r="E23" s="69">
        <v>10738.496132812499</v>
      </c>
      <c r="F23" s="68">
        <v>0</v>
      </c>
      <c r="G23" s="68">
        <v>0</v>
      </c>
      <c r="H23" s="69">
        <f t="shared" si="0"/>
        <v>10738.496132812499</v>
      </c>
      <c r="I23" s="69">
        <v>12358.101679687501</v>
      </c>
      <c r="J23" s="69">
        <f t="shared" si="1"/>
        <v>2684.6240332031248</v>
      </c>
      <c r="K23" s="69">
        <v>0</v>
      </c>
      <c r="L23" s="69">
        <f t="shared" si="2"/>
        <v>15042.725712890626</v>
      </c>
      <c r="M23" s="69">
        <v>10738.496132812499</v>
      </c>
      <c r="N23" s="70">
        <f t="shared" si="3"/>
        <v>8053.8720996093743</v>
      </c>
    </row>
    <row r="24" spans="1:14">
      <c r="A24" s="67" t="s">
        <v>89</v>
      </c>
      <c r="B24" s="68">
        <v>37</v>
      </c>
      <c r="C24" s="68" t="s">
        <v>105</v>
      </c>
      <c r="D24" s="68">
        <v>25</v>
      </c>
      <c r="E24" s="69">
        <v>90807.038671874994</v>
      </c>
      <c r="F24" s="68">
        <v>0</v>
      </c>
      <c r="G24" s="68">
        <v>0</v>
      </c>
      <c r="H24" s="69">
        <f t="shared" si="0"/>
        <v>90807.038671874994</v>
      </c>
      <c r="I24" s="69">
        <v>104921.723203125</v>
      </c>
      <c r="J24" s="69">
        <f t="shared" si="1"/>
        <v>22701.759667968749</v>
      </c>
      <c r="K24" s="69">
        <v>0</v>
      </c>
      <c r="L24" s="69">
        <f t="shared" si="2"/>
        <v>127623.48287109376</v>
      </c>
      <c r="M24" s="69">
        <v>90807.038671874994</v>
      </c>
      <c r="N24" s="70">
        <f t="shared" si="3"/>
        <v>68105.279003906238</v>
      </c>
    </row>
    <row r="25" spans="1:14">
      <c r="A25" s="67" t="s">
        <v>89</v>
      </c>
      <c r="B25" s="68">
        <v>38</v>
      </c>
      <c r="C25" s="68" t="s">
        <v>106</v>
      </c>
      <c r="D25" s="68">
        <v>25</v>
      </c>
      <c r="E25" s="69">
        <v>4425.2027343749996</v>
      </c>
      <c r="F25" s="68">
        <v>0</v>
      </c>
      <c r="G25" s="68">
        <v>0</v>
      </c>
      <c r="H25" s="69">
        <f t="shared" si="0"/>
        <v>4425.2027343749996</v>
      </c>
      <c r="I25" s="69">
        <v>5092.6216406249987</v>
      </c>
      <c r="J25" s="69">
        <f t="shared" si="1"/>
        <v>1106.3006835937499</v>
      </c>
      <c r="K25" s="69">
        <v>0</v>
      </c>
      <c r="L25" s="69">
        <f t="shared" si="2"/>
        <v>6198.9223242187491</v>
      </c>
      <c r="M25" s="69">
        <v>4425.2027343749996</v>
      </c>
      <c r="N25" s="70">
        <f t="shared" si="3"/>
        <v>3318.9020507812497</v>
      </c>
    </row>
    <row r="26" spans="1:14">
      <c r="A26" s="67" t="s">
        <v>89</v>
      </c>
      <c r="B26" s="68">
        <v>39</v>
      </c>
      <c r="C26" s="68" t="s">
        <v>107</v>
      </c>
      <c r="D26" s="68">
        <v>25</v>
      </c>
      <c r="E26" s="69">
        <v>147380.91015625003</v>
      </c>
      <c r="F26" s="68">
        <v>0</v>
      </c>
      <c r="G26" s="68">
        <v>0</v>
      </c>
      <c r="H26" s="69">
        <f t="shared" si="0"/>
        <v>147380.91015625003</v>
      </c>
      <c r="I26" s="69">
        <v>223347.10609375002</v>
      </c>
      <c r="J26" s="69">
        <f t="shared" si="1"/>
        <v>36845.227539062507</v>
      </c>
      <c r="K26" s="69">
        <v>0</v>
      </c>
      <c r="L26" s="69">
        <f t="shared" si="2"/>
        <v>260192.33363281252</v>
      </c>
      <c r="M26" s="69">
        <v>147380.91015625003</v>
      </c>
      <c r="N26" s="70">
        <f t="shared" si="3"/>
        <v>110535.68261718753</v>
      </c>
    </row>
    <row r="27" spans="1:14" ht="15.75" thickBot="1">
      <c r="A27" s="249" t="s">
        <v>89</v>
      </c>
      <c r="B27" s="65">
        <v>40</v>
      </c>
      <c r="C27" s="65" t="s">
        <v>53</v>
      </c>
      <c r="D27" s="65">
        <v>25</v>
      </c>
      <c r="E27" s="250">
        <v>235705.51125000001</v>
      </c>
      <c r="F27" s="250"/>
      <c r="G27" s="65"/>
      <c r="H27" s="69">
        <f t="shared" si="0"/>
        <v>235705.51125000001</v>
      </c>
      <c r="I27" s="250">
        <v>668457.73875000002</v>
      </c>
      <c r="J27" s="69">
        <f t="shared" si="1"/>
        <v>58926.377812500003</v>
      </c>
      <c r="K27" s="250">
        <v>0</v>
      </c>
      <c r="L27" s="69">
        <f t="shared" si="2"/>
        <v>727384.11656250001</v>
      </c>
      <c r="M27" s="250">
        <v>235705.51125000001</v>
      </c>
      <c r="N27" s="70">
        <f t="shared" si="3"/>
        <v>176779.13343750002</v>
      </c>
    </row>
    <row r="28" spans="1:14" ht="15.75" thickBot="1">
      <c r="A28" s="251"/>
      <c r="B28" s="252"/>
      <c r="C28" s="252"/>
      <c r="D28" s="252"/>
      <c r="E28" s="253">
        <f>SUM(E8:E27)</f>
        <v>768482.87089843757</v>
      </c>
      <c r="F28" s="252"/>
      <c r="G28" s="252"/>
      <c r="H28" s="253">
        <f>SUM(H8:H27)</f>
        <v>768482.87089843757</v>
      </c>
      <c r="I28" s="253">
        <f>SUM(I8:I27)</f>
        <v>1329814.8825390625</v>
      </c>
      <c r="J28" s="253">
        <f>SUM(J8:J27)</f>
        <v>192120.71772460939</v>
      </c>
      <c r="K28" s="253">
        <v>0</v>
      </c>
      <c r="L28" s="253">
        <f>SUM(L8:L27)</f>
        <v>1521935.6002636719</v>
      </c>
      <c r="M28" s="253">
        <f>SUM(M8:M27)</f>
        <v>768482.87089843757</v>
      </c>
      <c r="N28" s="254">
        <f>SUM(N8:N27)</f>
        <v>576362.15317382815</v>
      </c>
    </row>
    <row r="29" spans="1:14" s="3" customFormat="1">
      <c r="A29" s="164"/>
      <c r="B29" s="165"/>
      <c r="C29" s="165"/>
      <c r="D29" s="165"/>
      <c r="E29" s="166"/>
      <c r="F29" s="165"/>
      <c r="G29" s="165"/>
      <c r="H29" s="166"/>
      <c r="I29" s="166"/>
      <c r="J29" s="166"/>
      <c r="K29" s="166"/>
      <c r="L29" s="166"/>
      <c r="M29" s="166"/>
      <c r="N29" s="166"/>
    </row>
    <row r="30" spans="1:14" s="3" customFormat="1">
      <c r="A30" s="164"/>
      <c r="B30" s="165"/>
      <c r="C30" s="165"/>
      <c r="D30" s="165"/>
      <c r="E30" s="166"/>
      <c r="F30" s="165"/>
      <c r="G30" s="165"/>
      <c r="H30" s="166"/>
      <c r="I30" s="166"/>
      <c r="J30" s="166"/>
      <c r="K30" s="166"/>
      <c r="L30" s="166"/>
      <c r="M30" s="166"/>
      <c r="N30" s="166"/>
    </row>
    <row r="31" spans="1:14" ht="15.75">
      <c r="A31" s="71"/>
      <c r="B31" s="72"/>
      <c r="C31" s="72"/>
      <c r="D31" s="72"/>
      <c r="E31" s="73"/>
      <c r="F31" s="72"/>
      <c r="G31" s="72"/>
      <c r="H31" s="73"/>
      <c r="I31" s="73"/>
      <c r="J31" s="73"/>
      <c r="K31" s="73"/>
      <c r="L31" s="73"/>
      <c r="M31" s="73"/>
      <c r="N31" s="73"/>
    </row>
    <row r="32" spans="1:14" ht="15.75">
      <c r="A32" s="74"/>
      <c r="B32" s="75"/>
      <c r="C32" s="75"/>
      <c r="D32" s="75"/>
      <c r="E32" s="75"/>
      <c r="F32" s="75"/>
      <c r="G32" s="75"/>
      <c r="H32" s="76"/>
      <c r="I32" s="74"/>
      <c r="J32" s="74"/>
      <c r="K32" s="74"/>
      <c r="L32" s="74"/>
      <c r="M32" s="74"/>
      <c r="N32" s="76"/>
    </row>
    <row r="33" spans="1:14" ht="15.75">
      <c r="A33" s="74"/>
      <c r="B33" s="603"/>
      <c r="C33" s="603"/>
      <c r="D33" s="603"/>
      <c r="E33" s="603"/>
      <c r="F33" s="603"/>
      <c r="G33" s="603"/>
      <c r="H33" s="603"/>
      <c r="I33" s="603"/>
      <c r="J33" s="603"/>
      <c r="K33" s="603"/>
      <c r="L33" s="603"/>
      <c r="M33" s="603"/>
      <c r="N33" s="603"/>
    </row>
    <row r="34" spans="1:14" ht="15.75">
      <c r="A34" s="74"/>
      <c r="B34" s="75"/>
      <c r="C34" s="602" t="s">
        <v>15</v>
      </c>
      <c r="D34" s="602"/>
      <c r="E34" s="603" t="s">
        <v>251</v>
      </c>
      <c r="F34" s="603"/>
      <c r="G34" s="603"/>
      <c r="H34" s="603"/>
      <c r="I34" s="603"/>
      <c r="J34" s="603" t="s">
        <v>17</v>
      </c>
      <c r="K34" s="603"/>
      <c r="L34" s="74"/>
      <c r="M34" s="3"/>
      <c r="N34" s="77" t="s">
        <v>18</v>
      </c>
    </row>
    <row r="35" spans="1:14">
      <c r="L35" s="53"/>
    </row>
  </sheetData>
  <mergeCells count="15">
    <mergeCell ref="H6:L6"/>
    <mergeCell ref="B33:N33"/>
    <mergeCell ref="C34:D34"/>
    <mergeCell ref="E34:I34"/>
    <mergeCell ref="J34:K34"/>
    <mergeCell ref="A1:N1"/>
    <mergeCell ref="A2:N2"/>
    <mergeCell ref="A3:N3"/>
    <mergeCell ref="A4:N4"/>
    <mergeCell ref="M5:N5"/>
    <mergeCell ref="A6:A7"/>
    <mergeCell ref="B6:B7"/>
    <mergeCell ref="C6:C7"/>
    <mergeCell ref="F6:F7"/>
    <mergeCell ref="G6:G7"/>
  </mergeCells>
  <pageMargins left="0.39370078740157483" right="0.19685039370078741" top="0.74803149606299213" bottom="0.51181102362204722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H13" sqref="F13:H17"/>
    </sheetView>
  </sheetViews>
  <sheetFormatPr defaultRowHeight="15"/>
  <cols>
    <col min="1" max="1" width="3.28515625" style="3" customWidth="1"/>
    <col min="2" max="2" width="5.5703125" customWidth="1"/>
    <col min="3" max="3" width="36.5703125" bestFit="1" customWidth="1"/>
    <col min="4" max="4" width="8" customWidth="1"/>
    <col min="5" max="5" width="21.140625" style="3" bestFit="1" customWidth="1"/>
    <col min="6" max="6" width="17.7109375" style="3" bestFit="1" customWidth="1"/>
    <col min="7" max="8" width="12.7109375" bestFit="1" customWidth="1"/>
    <col min="10" max="10" width="12.42578125" bestFit="1" customWidth="1"/>
  </cols>
  <sheetData>
    <row r="1" spans="2:10" ht="27">
      <c r="B1" s="593" t="s">
        <v>5</v>
      </c>
      <c r="C1" s="593"/>
      <c r="D1" s="593"/>
      <c r="E1" s="593"/>
      <c r="F1" s="593"/>
    </row>
    <row r="2" spans="2:10" ht="18">
      <c r="B2" s="594" t="s">
        <v>7</v>
      </c>
      <c r="C2" s="594"/>
      <c r="D2" s="594"/>
      <c r="E2" s="594"/>
      <c r="F2" s="594"/>
    </row>
    <row r="3" spans="2:10" ht="18">
      <c r="B3" s="594" t="s">
        <v>6</v>
      </c>
      <c r="C3" s="594"/>
      <c r="D3" s="594"/>
      <c r="E3" s="594"/>
      <c r="F3" s="594"/>
    </row>
    <row r="4" spans="2:10" ht="18">
      <c r="B4" s="594" t="s">
        <v>315</v>
      </c>
      <c r="C4" s="594"/>
      <c r="D4" s="594"/>
      <c r="E4" s="594"/>
      <c r="F4" s="594"/>
    </row>
    <row r="5" spans="2:10" s="3" customFormat="1" ht="18.75" thickBot="1">
      <c r="B5" s="188"/>
      <c r="C5" s="188"/>
      <c r="D5" s="188"/>
      <c r="E5" s="356"/>
      <c r="F5" s="227"/>
    </row>
    <row r="6" spans="2:10" ht="18.75" thickBot="1">
      <c r="B6" s="43"/>
      <c r="C6" s="463" t="s">
        <v>115</v>
      </c>
      <c r="D6" s="123" t="s">
        <v>12</v>
      </c>
      <c r="E6" s="43" t="s">
        <v>210</v>
      </c>
      <c r="F6" s="43" t="s">
        <v>209</v>
      </c>
    </row>
    <row r="7" spans="2:10" ht="18">
      <c r="B7" s="40"/>
      <c r="C7" s="527" t="s">
        <v>143</v>
      </c>
      <c r="D7" s="519">
        <v>9</v>
      </c>
      <c r="E7" s="450">
        <v>26262526.639999997</v>
      </c>
      <c r="F7" s="128">
        <v>26132769.109999996</v>
      </c>
      <c r="G7" s="53"/>
      <c r="H7" s="53"/>
      <c r="J7" s="53"/>
    </row>
    <row r="8" spans="2:10" ht="18">
      <c r="B8" s="25"/>
      <c r="C8" s="24" t="s">
        <v>239</v>
      </c>
      <c r="D8" s="20">
        <v>10</v>
      </c>
      <c r="E8" s="451">
        <v>5664684.6699999999</v>
      </c>
      <c r="F8" s="125">
        <v>4500000</v>
      </c>
      <c r="G8" s="53"/>
      <c r="J8" s="53"/>
    </row>
    <row r="9" spans="2:10" s="3" customFormat="1" ht="18">
      <c r="B9" s="26"/>
      <c r="C9" s="24" t="s">
        <v>380</v>
      </c>
      <c r="D9" s="20"/>
      <c r="E9" s="449">
        <v>6250000</v>
      </c>
      <c r="F9" s="126">
        <v>0</v>
      </c>
      <c r="G9" s="53"/>
      <c r="J9" s="53"/>
    </row>
    <row r="10" spans="2:10" s="3" customFormat="1" ht="18">
      <c r="B10" s="26"/>
      <c r="C10" s="24" t="s">
        <v>308</v>
      </c>
      <c r="D10" s="20">
        <v>10</v>
      </c>
      <c r="E10" s="449">
        <v>6341412.3999999985</v>
      </c>
      <c r="F10" s="126">
        <v>0</v>
      </c>
      <c r="G10" s="53"/>
      <c r="J10" s="53"/>
    </row>
    <row r="11" spans="2:10" s="3" customFormat="1" ht="18.75" thickBot="1">
      <c r="B11" s="26"/>
      <c r="C11" s="528" t="s">
        <v>144</v>
      </c>
      <c r="D11" s="520">
        <v>9</v>
      </c>
      <c r="E11" s="451">
        <v>1182678.32</v>
      </c>
      <c r="F11" s="126">
        <v>1182678.32</v>
      </c>
      <c r="G11" s="53"/>
      <c r="J11" s="53"/>
    </row>
    <row r="12" spans="2:10" ht="18.75" thickBot="1">
      <c r="B12" s="28"/>
      <c r="C12" s="466" t="s">
        <v>22</v>
      </c>
      <c r="D12" s="96"/>
      <c r="E12" s="127">
        <v>45701302.029999994</v>
      </c>
      <c r="F12" s="127">
        <v>31815447.429999996</v>
      </c>
      <c r="J12" s="53"/>
    </row>
    <row r="13" spans="2:10" ht="18.75" thickBot="1">
      <c r="B13" s="41"/>
      <c r="C13" s="144" t="s">
        <v>145</v>
      </c>
      <c r="D13" s="26"/>
      <c r="E13" s="128"/>
      <c r="F13" s="128"/>
    </row>
    <row r="14" spans="2:10" ht="18">
      <c r="B14" s="24"/>
      <c r="C14" s="307" t="s">
        <v>146</v>
      </c>
      <c r="D14" s="467">
        <v>11</v>
      </c>
      <c r="E14" s="451">
        <v>576362.15317382815</v>
      </c>
      <c r="F14" s="125">
        <v>768482.87089843757</v>
      </c>
      <c r="G14" s="53"/>
    </row>
    <row r="15" spans="2:10" ht="18.75" thickBot="1">
      <c r="B15" s="25"/>
      <c r="C15" s="96" t="s">
        <v>147</v>
      </c>
      <c r="D15" s="468">
        <v>11</v>
      </c>
      <c r="E15" s="449">
        <v>18899781.739489429</v>
      </c>
      <c r="F15" s="126">
        <v>16424159.649</v>
      </c>
      <c r="G15" s="53"/>
      <c r="J15" s="53"/>
    </row>
    <row r="16" spans="2:10" ht="18.75" thickBot="1">
      <c r="B16" s="28"/>
      <c r="C16" s="466" t="s">
        <v>22</v>
      </c>
      <c r="D16" s="96"/>
      <c r="E16" s="127">
        <v>19476143.892663255</v>
      </c>
      <c r="F16" s="127">
        <v>17192642.519898437</v>
      </c>
      <c r="G16" s="53"/>
      <c r="H16" s="53"/>
      <c r="J16" s="53"/>
    </row>
    <row r="17" spans="2:10" ht="18">
      <c r="B17" s="41"/>
      <c r="C17" s="281" t="s">
        <v>148</v>
      </c>
      <c r="D17" s="16">
        <v>12</v>
      </c>
      <c r="E17" s="515"/>
      <c r="F17" s="515"/>
    </row>
    <row r="18" spans="2:10" ht="18">
      <c r="B18" s="20"/>
      <c r="C18" s="39" t="s">
        <v>13</v>
      </c>
      <c r="D18" s="378"/>
      <c r="E18" s="125">
        <v>25136658.140000001</v>
      </c>
      <c r="F18" s="125">
        <v>14492561.91</v>
      </c>
      <c r="H18" s="53"/>
      <c r="J18" s="53"/>
    </row>
    <row r="19" spans="2:10" ht="18">
      <c r="B19" s="282"/>
      <c r="C19" s="39" t="s">
        <v>2</v>
      </c>
      <c r="D19" s="378"/>
      <c r="E19" s="125">
        <v>63500</v>
      </c>
      <c r="F19" s="125">
        <v>63500</v>
      </c>
      <c r="G19" s="53"/>
      <c r="H19" s="53"/>
    </row>
    <row r="20" spans="2:10" ht="18.75" thickBot="1">
      <c r="B20" s="282"/>
      <c r="C20" s="46" t="s">
        <v>0</v>
      </c>
      <c r="D20" s="379"/>
      <c r="E20" s="125">
        <v>1150000</v>
      </c>
      <c r="F20" s="125">
        <v>181743</v>
      </c>
      <c r="G20" s="53"/>
      <c r="H20" s="461"/>
    </row>
    <row r="21" spans="2:10" ht="18.75" thickBot="1">
      <c r="B21" s="282"/>
      <c r="C21" s="506" t="s">
        <v>149</v>
      </c>
      <c r="D21" s="512"/>
      <c r="E21" s="127">
        <v>26350158.140000001</v>
      </c>
      <c r="F21" s="127">
        <v>14737804.91</v>
      </c>
      <c r="G21" s="53"/>
      <c r="H21" s="53"/>
      <c r="J21" s="53"/>
    </row>
    <row r="22" spans="2:10" ht="18">
      <c r="B22" s="504"/>
      <c r="C22" s="509" t="s">
        <v>150</v>
      </c>
      <c r="D22" s="513">
        <v>13</v>
      </c>
      <c r="E22" s="450"/>
      <c r="F22" s="128"/>
      <c r="G22" s="53"/>
      <c r="H22" s="53"/>
    </row>
    <row r="23" spans="2:10" ht="18">
      <c r="B23" s="504"/>
      <c r="C23" s="258" t="s">
        <v>215</v>
      </c>
      <c r="D23" s="514"/>
      <c r="E23" s="451">
        <v>125000</v>
      </c>
      <c r="F23" s="125">
        <v>115000</v>
      </c>
      <c r="G23" s="53"/>
      <c r="H23" s="53"/>
    </row>
    <row r="24" spans="2:10" ht="18">
      <c r="B24" s="504"/>
      <c r="C24" s="258" t="s">
        <v>151</v>
      </c>
      <c r="D24" s="125"/>
      <c r="E24" s="451">
        <v>125000</v>
      </c>
      <c r="F24" s="125">
        <v>115000</v>
      </c>
      <c r="G24" s="53"/>
      <c r="H24" s="53"/>
      <c r="J24" s="53"/>
    </row>
    <row r="25" spans="2:10" ht="18">
      <c r="B25" s="504"/>
      <c r="C25" s="258" t="s">
        <v>152</v>
      </c>
      <c r="D25" s="125"/>
      <c r="E25" s="451">
        <v>26225158.140000001</v>
      </c>
      <c r="F25" s="125">
        <v>14622804.91</v>
      </c>
      <c r="G25" s="53"/>
      <c r="H25" s="53"/>
      <c r="J25" s="53"/>
    </row>
    <row r="26" spans="2:10" ht="15.75" thickBot="1">
      <c r="B26" s="505"/>
      <c r="C26" s="510"/>
      <c r="D26" s="508"/>
      <c r="E26" s="511"/>
      <c r="F26" s="462"/>
      <c r="G26" s="53"/>
      <c r="H26" s="53"/>
    </row>
    <row r="27" spans="2:10" ht="18.75" thickBot="1">
      <c r="B27" s="260"/>
      <c r="C27" s="507" t="s">
        <v>22</v>
      </c>
      <c r="D27" s="507"/>
      <c r="E27" s="127">
        <v>45701302.032663256</v>
      </c>
      <c r="F27" s="127">
        <v>31815447.429898437</v>
      </c>
      <c r="G27" s="53"/>
      <c r="H27" s="53"/>
    </row>
    <row r="28" spans="2:10">
      <c r="B28" s="3"/>
      <c r="C28" s="130"/>
      <c r="D28" s="3"/>
      <c r="G28" s="53"/>
      <c r="H28" s="53"/>
    </row>
    <row r="29" spans="2:10">
      <c r="B29" s="3"/>
      <c r="C29" s="3"/>
      <c r="D29" s="3"/>
      <c r="E29" s="53"/>
      <c r="F29" s="53"/>
      <c r="H29" s="53"/>
    </row>
    <row r="30" spans="2:10" s="3" customFormat="1">
      <c r="E30" s="53"/>
      <c r="F30" s="53"/>
      <c r="H30" s="53"/>
    </row>
    <row r="31" spans="2:10" s="3" customFormat="1">
      <c r="E31" s="53"/>
      <c r="F31" s="53"/>
      <c r="H31" s="53"/>
    </row>
    <row r="32" spans="2:10">
      <c r="B32" s="3"/>
      <c r="C32" s="3"/>
      <c r="D32" s="3"/>
    </row>
    <row r="33" spans="2:6">
      <c r="B33" s="3"/>
      <c r="C33" s="3"/>
      <c r="D33" s="3"/>
    </row>
    <row r="34" spans="2:6">
      <c r="B34" s="3"/>
      <c r="C34" s="3"/>
      <c r="D34" s="3"/>
    </row>
    <row r="35" spans="2:6" ht="15.75">
      <c r="B35" s="3"/>
      <c r="C35" s="97" t="s">
        <v>220</v>
      </c>
      <c r="D35" s="97"/>
      <c r="E35" s="244" t="s">
        <v>17</v>
      </c>
      <c r="F35" s="465" t="s">
        <v>18</v>
      </c>
    </row>
    <row r="36" spans="2:6" s="3" customFormat="1" ht="15.75">
      <c r="C36" s="97"/>
      <c r="D36" s="97"/>
      <c r="E36" s="97"/>
      <c r="F36" s="97"/>
    </row>
    <row r="37" spans="2:6" s="3" customFormat="1" ht="15.75">
      <c r="C37" s="97"/>
      <c r="D37" s="97"/>
      <c r="E37" s="97"/>
      <c r="F37" s="97"/>
    </row>
    <row r="38" spans="2:6" s="3" customFormat="1" ht="15.75">
      <c r="C38" s="97"/>
      <c r="D38" s="97"/>
      <c r="E38" s="97"/>
      <c r="F38" s="97"/>
    </row>
    <row r="39" spans="2:6" s="3" customFormat="1" ht="15.75">
      <c r="C39" s="97"/>
      <c r="D39" s="97"/>
      <c r="E39" s="97"/>
      <c r="F39" s="97"/>
    </row>
    <row r="40" spans="2:6" s="3" customFormat="1" ht="15.75">
      <c r="C40" s="97"/>
      <c r="D40" s="97"/>
      <c r="E40" s="97"/>
      <c r="F40" s="97"/>
    </row>
    <row r="41" spans="2:6" s="3" customFormat="1" ht="15.75">
      <c r="C41" s="97"/>
      <c r="D41" s="97"/>
      <c r="E41" s="97"/>
      <c r="F41" s="97"/>
    </row>
    <row r="42" spans="2:6" s="3" customFormat="1" ht="15.75">
      <c r="C42" s="97"/>
      <c r="D42" s="97"/>
      <c r="E42" s="97"/>
      <c r="F42" s="97"/>
    </row>
    <row r="43" spans="2:6" s="3" customFormat="1" ht="15.75">
      <c r="C43" s="97"/>
      <c r="D43" s="97"/>
      <c r="E43" s="97"/>
      <c r="F43" s="97"/>
    </row>
    <row r="44" spans="2:6" s="3" customFormat="1" ht="15.75">
      <c r="C44" s="97"/>
      <c r="D44" s="97"/>
      <c r="E44" s="97"/>
      <c r="F44" s="97"/>
    </row>
    <row r="45" spans="2:6" s="3" customFormat="1" ht="15.75">
      <c r="C45" s="97"/>
      <c r="D45" s="97"/>
      <c r="E45" s="97"/>
      <c r="F45" s="97"/>
    </row>
    <row r="46" spans="2:6" s="3" customFormat="1" ht="15.75">
      <c r="C46" s="97"/>
      <c r="D46" s="97"/>
      <c r="E46" s="97"/>
      <c r="F46" s="97"/>
    </row>
    <row r="47" spans="2:6" s="3" customFormat="1" ht="15.75">
      <c r="C47" s="97"/>
      <c r="D47" s="97"/>
      <c r="E47" s="97"/>
      <c r="F47" s="97"/>
    </row>
    <row r="48" spans="2:6" s="3" customFormat="1" ht="15.75">
      <c r="C48" s="97"/>
      <c r="D48" s="97"/>
      <c r="E48" s="97"/>
      <c r="F48" s="97"/>
    </row>
    <row r="49" spans="3:6" s="3" customFormat="1" ht="15.75">
      <c r="C49" s="97"/>
      <c r="D49" s="97"/>
      <c r="E49" s="97"/>
      <c r="F49" s="97"/>
    </row>
    <row r="50" spans="3:6" s="3" customFormat="1" ht="15.75">
      <c r="C50" s="97"/>
      <c r="D50" s="97"/>
      <c r="E50" s="97"/>
      <c r="F50" s="97"/>
    </row>
    <row r="51" spans="3:6" s="3" customFormat="1" ht="15.75">
      <c r="C51" s="97"/>
      <c r="D51" s="97"/>
      <c r="E51" s="97"/>
      <c r="F51" s="97"/>
    </row>
    <row r="52" spans="3:6" s="3" customFormat="1" ht="15.75">
      <c r="C52" s="97"/>
      <c r="D52" s="97"/>
      <c r="E52" s="97"/>
      <c r="F52" s="97"/>
    </row>
    <row r="53" spans="3:6" s="3" customFormat="1" ht="15.75">
      <c r="C53" s="97"/>
      <c r="D53" s="97"/>
      <c r="E53" s="97"/>
      <c r="F53" s="97"/>
    </row>
    <row r="54" spans="3:6" s="3" customFormat="1" ht="15.75">
      <c r="C54" s="97"/>
      <c r="D54" s="97"/>
      <c r="E54" s="97"/>
      <c r="F54" s="97"/>
    </row>
    <row r="55" spans="3:6" s="3" customFormat="1" ht="15.75">
      <c r="C55" s="97"/>
      <c r="D55" s="97"/>
      <c r="E55" s="97"/>
      <c r="F55" s="97"/>
    </row>
    <row r="56" spans="3:6" s="3" customFormat="1" ht="15.75">
      <c r="C56" s="97"/>
      <c r="D56" s="97"/>
      <c r="E56" s="97"/>
      <c r="F56" s="97"/>
    </row>
    <row r="57" spans="3:6" s="3" customFormat="1" ht="15.75">
      <c r="C57" s="97"/>
      <c r="D57" s="97"/>
      <c r="E57" s="97"/>
      <c r="F57" s="97"/>
    </row>
    <row r="58" spans="3:6" s="3" customFormat="1" ht="15.75">
      <c r="C58" s="97"/>
      <c r="D58" s="97"/>
      <c r="E58" s="97"/>
      <c r="F58" s="97"/>
    </row>
    <row r="59" spans="3:6" s="3" customFormat="1" ht="15.75">
      <c r="C59" s="97"/>
      <c r="D59" s="97"/>
      <c r="E59" s="97"/>
      <c r="F59" s="97"/>
    </row>
    <row r="61" spans="3:6">
      <c r="C61" s="1" t="s">
        <v>60</v>
      </c>
      <c r="D61" s="54">
        <v>1038</v>
      </c>
      <c r="E61" s="172"/>
      <c r="F61" s="172"/>
    </row>
    <row r="62" spans="3:6">
      <c r="C62" s="2" t="s">
        <v>61</v>
      </c>
      <c r="D62" s="54">
        <v>1038</v>
      </c>
      <c r="E62" s="172"/>
      <c r="F62" s="172"/>
    </row>
    <row r="63" spans="3:6">
      <c r="C63" s="2" t="s">
        <v>62</v>
      </c>
      <c r="D63" s="54">
        <v>6518</v>
      </c>
      <c r="E63" s="172"/>
      <c r="F63" s="172"/>
    </row>
    <row r="64" spans="3:6">
      <c r="C64" s="2" t="s">
        <v>63</v>
      </c>
      <c r="D64" s="54">
        <v>1147</v>
      </c>
      <c r="E64" s="172"/>
      <c r="F64" s="172"/>
    </row>
    <row r="65" spans="3:6">
      <c r="C65" s="2" t="s">
        <v>64</v>
      </c>
      <c r="D65" s="54">
        <v>1090</v>
      </c>
      <c r="E65" s="172"/>
      <c r="F65" s="172"/>
    </row>
    <row r="66" spans="3:6">
      <c r="C66" s="2" t="s">
        <v>65</v>
      </c>
      <c r="D66" s="54">
        <v>28880</v>
      </c>
      <c r="E66" s="172"/>
      <c r="F66" s="172"/>
    </row>
    <row r="67" spans="3:6">
      <c r="C67" s="1" t="s">
        <v>68</v>
      </c>
      <c r="D67" s="1">
        <v>100016</v>
      </c>
      <c r="E67" s="131"/>
      <c r="F67" s="131"/>
    </row>
    <row r="68" spans="3:6">
      <c r="C68" s="2" t="s">
        <v>69</v>
      </c>
      <c r="D68" s="2">
        <v>3800</v>
      </c>
      <c r="E68" s="133"/>
      <c r="F68" s="133"/>
    </row>
    <row r="69" spans="3:6">
      <c r="C69" s="2" t="s">
        <v>70</v>
      </c>
    </row>
    <row r="70" spans="3:6">
      <c r="C70" s="2" t="s">
        <v>71</v>
      </c>
    </row>
    <row r="71" spans="3:6">
      <c r="C71" s="2" t="s">
        <v>73</v>
      </c>
    </row>
    <row r="72" spans="3:6">
      <c r="C72" s="1" t="s">
        <v>72</v>
      </c>
    </row>
    <row r="73" spans="3:6">
      <c r="C73" s="145" t="s">
        <v>171</v>
      </c>
    </row>
  </sheetData>
  <mergeCells count="4">
    <mergeCell ref="B1:F1"/>
    <mergeCell ref="B2:F2"/>
    <mergeCell ref="B3:F3"/>
    <mergeCell ref="B4:F4"/>
  </mergeCells>
  <pageMargins left="0.70866141732283472" right="0.11811023622047245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sqref="A1:E39"/>
    </sheetView>
  </sheetViews>
  <sheetFormatPr defaultRowHeight="15"/>
  <cols>
    <col min="1" max="1" width="4.42578125" customWidth="1"/>
    <col min="2" max="2" width="3.42578125" customWidth="1"/>
    <col min="3" max="3" width="38.28515625" bestFit="1" customWidth="1"/>
    <col min="4" max="4" width="15.28515625" bestFit="1" customWidth="1"/>
    <col min="5" max="5" width="15.7109375" bestFit="1" customWidth="1"/>
  </cols>
  <sheetData>
    <row r="1" spans="1:5" ht="27">
      <c r="A1" s="632" t="s">
        <v>5</v>
      </c>
      <c r="B1" s="632"/>
      <c r="C1" s="632"/>
      <c r="D1" s="632"/>
      <c r="E1" s="632"/>
    </row>
    <row r="2" spans="1:5" ht="15.75">
      <c r="A2" s="633" t="s">
        <v>7</v>
      </c>
      <c r="B2" s="633"/>
      <c r="C2" s="633"/>
      <c r="D2" s="633"/>
      <c r="E2" s="633"/>
    </row>
    <row r="3" spans="1:5" ht="15.75">
      <c r="A3" s="633" t="s">
        <v>6</v>
      </c>
      <c r="B3" s="633"/>
      <c r="C3" s="633"/>
      <c r="D3" s="633"/>
      <c r="E3" s="633"/>
    </row>
    <row r="4" spans="1:5" ht="15.75">
      <c r="A4" s="633" t="s">
        <v>318</v>
      </c>
      <c r="B4" s="633"/>
      <c r="C4" s="633"/>
      <c r="D4" s="633"/>
      <c r="E4" s="633"/>
    </row>
    <row r="5" spans="1:5" ht="16.5" thickBot="1">
      <c r="A5" s="58"/>
      <c r="B5" s="58"/>
      <c r="C5" s="58"/>
      <c r="D5" s="58"/>
      <c r="E5" s="58"/>
    </row>
    <row r="6" spans="1:5" ht="16.5" thickBot="1">
      <c r="A6" s="98" t="s">
        <v>14</v>
      </c>
      <c r="B6" s="99"/>
      <c r="C6" s="100" t="s">
        <v>115</v>
      </c>
      <c r="D6" s="101" t="s">
        <v>125</v>
      </c>
      <c r="E6" s="99" t="s">
        <v>125</v>
      </c>
    </row>
    <row r="7" spans="1:5" ht="15.75">
      <c r="A7" s="102" t="s">
        <v>109</v>
      </c>
      <c r="B7" s="103" t="s">
        <v>126</v>
      </c>
      <c r="C7" s="103" t="s">
        <v>127</v>
      </c>
      <c r="D7" s="104"/>
      <c r="E7" s="105">
        <v>129757.53000000119</v>
      </c>
    </row>
    <row r="8" spans="1:5" ht="15.75">
      <c r="A8" s="102"/>
      <c r="B8" s="103"/>
      <c r="C8" s="103" t="s">
        <v>128</v>
      </c>
      <c r="D8" s="104">
        <v>129757.53000000119</v>
      </c>
      <c r="E8" s="106"/>
    </row>
    <row r="9" spans="1:5" ht="15.75">
      <c r="A9" s="102"/>
      <c r="B9" s="103"/>
      <c r="C9" s="103" t="s">
        <v>129</v>
      </c>
      <c r="D9" s="104">
        <v>0</v>
      </c>
      <c r="E9" s="106"/>
    </row>
    <row r="10" spans="1:5" ht="16.5" thickBot="1">
      <c r="A10" s="102"/>
      <c r="B10" s="103"/>
      <c r="C10" s="107"/>
      <c r="D10" s="104"/>
      <c r="E10" s="106"/>
    </row>
    <row r="11" spans="1:5" ht="16.5" thickBot="1">
      <c r="A11" s="98"/>
      <c r="B11" s="99"/>
      <c r="C11" s="99" t="s">
        <v>130</v>
      </c>
      <c r="D11" s="108"/>
      <c r="E11" s="115">
        <v>129757.53000000119</v>
      </c>
    </row>
    <row r="12" spans="1:5" ht="15.75">
      <c r="A12" s="102"/>
      <c r="B12" s="103"/>
      <c r="C12" s="107"/>
      <c r="D12" s="109"/>
      <c r="E12" s="110"/>
    </row>
    <row r="13" spans="1:5" ht="15.75">
      <c r="A13" s="102" t="s">
        <v>89</v>
      </c>
      <c r="B13" s="103">
        <v>1</v>
      </c>
      <c r="C13" s="103" t="s">
        <v>131</v>
      </c>
      <c r="D13" s="104"/>
      <c r="E13" s="105">
        <v>-3241758.37</v>
      </c>
    </row>
    <row r="14" spans="1:5" ht="15.75">
      <c r="A14" s="102"/>
      <c r="B14" s="103"/>
      <c r="C14" s="103" t="s">
        <v>127</v>
      </c>
      <c r="D14" s="104"/>
      <c r="E14" s="106"/>
    </row>
    <row r="15" spans="1:5" ht="15.75">
      <c r="A15" s="102"/>
      <c r="B15" s="103"/>
      <c r="C15" s="103" t="s">
        <v>174</v>
      </c>
      <c r="D15" s="104">
        <v>-968257</v>
      </c>
      <c r="E15" s="106"/>
    </row>
    <row r="16" spans="1:5" ht="15.75">
      <c r="A16" s="102"/>
      <c r="B16" s="103"/>
      <c r="C16" s="103" t="s">
        <v>175</v>
      </c>
      <c r="D16" s="104">
        <v>10000</v>
      </c>
      <c r="E16" s="106"/>
    </row>
    <row r="17" spans="1:5" ht="15.75">
      <c r="A17" s="111"/>
      <c r="B17" s="103"/>
      <c r="C17" s="103" t="s">
        <v>132</v>
      </c>
      <c r="D17" s="104"/>
      <c r="E17" s="105"/>
    </row>
    <row r="18" spans="1:5" ht="15.75">
      <c r="A18" s="111"/>
      <c r="B18" s="103">
        <v>2</v>
      </c>
      <c r="C18" s="103" t="s">
        <v>133</v>
      </c>
      <c r="D18" s="104"/>
      <c r="E18" s="106"/>
    </row>
    <row r="19" spans="1:5" ht="15.75">
      <c r="A19" s="111"/>
      <c r="B19" s="107"/>
      <c r="C19" s="103" t="s">
        <v>134</v>
      </c>
      <c r="D19" s="104">
        <v>-2283501.37</v>
      </c>
      <c r="E19" s="106"/>
    </row>
    <row r="20" spans="1:5" ht="16.5" thickBot="1">
      <c r="A20" s="111"/>
      <c r="B20" s="107"/>
      <c r="C20" s="103" t="s">
        <v>135</v>
      </c>
      <c r="D20" s="112">
        <v>0</v>
      </c>
      <c r="E20" s="106"/>
    </row>
    <row r="21" spans="1:5" ht="16.5" thickBot="1">
      <c r="A21" s="113"/>
      <c r="B21" s="114"/>
      <c r="C21" s="99" t="s">
        <v>136</v>
      </c>
      <c r="D21" s="108"/>
      <c r="E21" s="115">
        <v>-3241758.37</v>
      </c>
    </row>
    <row r="22" spans="1:5" ht="15.75">
      <c r="A22" s="111"/>
      <c r="B22" s="107"/>
      <c r="C22" s="116"/>
      <c r="D22" s="104"/>
      <c r="E22" s="110"/>
    </row>
    <row r="23" spans="1:5" ht="15.75">
      <c r="A23" s="111"/>
      <c r="B23" s="107"/>
      <c r="C23" s="107"/>
      <c r="D23" s="104"/>
      <c r="E23" s="106"/>
    </row>
    <row r="24" spans="1:5" ht="15.75">
      <c r="A24" s="102" t="s">
        <v>111</v>
      </c>
      <c r="B24" s="103"/>
      <c r="C24" s="103" t="s">
        <v>137</v>
      </c>
      <c r="D24" s="104"/>
      <c r="E24" s="105">
        <v>13756097</v>
      </c>
    </row>
    <row r="25" spans="1:5" ht="15.75">
      <c r="A25" s="102"/>
      <c r="B25" s="103"/>
      <c r="C25" s="103" t="s">
        <v>138</v>
      </c>
      <c r="D25" s="104">
        <v>0</v>
      </c>
      <c r="E25" s="106"/>
    </row>
    <row r="26" spans="1:5" ht="15.75">
      <c r="A26" s="102"/>
      <c r="B26" s="103"/>
      <c r="C26" s="103" t="s">
        <v>379</v>
      </c>
      <c r="D26" s="104">
        <v>6250000</v>
      </c>
      <c r="E26" s="106"/>
    </row>
    <row r="27" spans="1:5" s="3" customFormat="1" ht="15.75">
      <c r="A27" s="102"/>
      <c r="B27" s="103"/>
      <c r="C27" s="103" t="s">
        <v>247</v>
      </c>
      <c r="D27" s="104">
        <v>1164685</v>
      </c>
      <c r="E27" s="106"/>
    </row>
    <row r="28" spans="1:5" s="3" customFormat="1" ht="15.75">
      <c r="A28" s="102"/>
      <c r="B28" s="103"/>
      <c r="C28" s="103" t="s">
        <v>317</v>
      </c>
      <c r="D28" s="104">
        <v>6341412</v>
      </c>
      <c r="E28" s="106"/>
    </row>
    <row r="29" spans="1:5" s="3" customFormat="1" ht="15.75">
      <c r="A29" s="102"/>
      <c r="B29" s="103"/>
      <c r="C29" s="103"/>
      <c r="D29" s="104"/>
      <c r="E29" s="106"/>
    </row>
    <row r="30" spans="1:5" s="3" customFormat="1" ht="15.75">
      <c r="A30" s="102"/>
      <c r="B30" s="103"/>
      <c r="C30" s="103"/>
      <c r="D30" s="104"/>
      <c r="E30" s="106"/>
    </row>
    <row r="31" spans="1:5" s="3" customFormat="1" ht="16.5" thickBot="1">
      <c r="A31" s="102"/>
      <c r="B31" s="103"/>
      <c r="C31" s="103"/>
      <c r="D31" s="104"/>
      <c r="E31" s="106"/>
    </row>
    <row r="32" spans="1:5" ht="16.5" thickBot="1">
      <c r="A32" s="102"/>
      <c r="B32" s="103"/>
      <c r="C32" s="103" t="s">
        <v>139</v>
      </c>
      <c r="D32" s="108"/>
      <c r="E32" s="115">
        <v>13756097</v>
      </c>
    </row>
    <row r="33" spans="1:5" ht="15.75">
      <c r="A33" s="111"/>
      <c r="B33" s="107"/>
      <c r="C33" s="103"/>
      <c r="D33" s="104"/>
      <c r="E33" s="105"/>
    </row>
    <row r="34" spans="1:5" ht="15.75">
      <c r="A34" s="111"/>
      <c r="B34" s="107"/>
      <c r="C34" s="117" t="s">
        <v>140</v>
      </c>
      <c r="D34" s="104"/>
      <c r="E34" s="105">
        <v>10644096.16</v>
      </c>
    </row>
    <row r="35" spans="1:5" ht="16.5" thickBot="1">
      <c r="A35" s="111"/>
      <c r="B35" s="107"/>
      <c r="C35" s="103" t="s">
        <v>141</v>
      </c>
      <c r="D35" s="104"/>
      <c r="E35" s="105">
        <v>14492561.91</v>
      </c>
    </row>
    <row r="36" spans="1:5" ht="16.5" thickBot="1">
      <c r="A36" s="113"/>
      <c r="B36" s="114"/>
      <c r="C36" s="99" t="s">
        <v>142</v>
      </c>
      <c r="D36" s="108"/>
      <c r="E36" s="115">
        <v>25136658.07</v>
      </c>
    </row>
    <row r="37" spans="1:5" ht="15.75">
      <c r="A37" s="3"/>
      <c r="B37" s="3"/>
      <c r="C37" s="118"/>
      <c r="D37" s="119"/>
      <c r="E37" s="381">
        <v>25136658.140000001</v>
      </c>
    </row>
    <row r="38" spans="1:5" ht="15.75">
      <c r="A38" s="3"/>
      <c r="B38" s="3"/>
      <c r="C38" s="118"/>
      <c r="D38" s="118"/>
      <c r="E38" s="120">
        <v>-7.0000000298023224E-2</v>
      </c>
    </row>
    <row r="39" spans="1:5" ht="15.75">
      <c r="A39" s="3"/>
      <c r="B39" s="3"/>
      <c r="C39" s="118"/>
      <c r="D39" s="118"/>
      <c r="E39" s="118"/>
    </row>
    <row r="40" spans="1:5" ht="15.75">
      <c r="A40" s="3"/>
      <c r="B40" s="3"/>
      <c r="C40" s="118"/>
      <c r="D40" s="118"/>
      <c r="E40" s="118"/>
    </row>
    <row r="41" spans="1:5" ht="15.75">
      <c r="A41" s="3"/>
      <c r="B41" s="3"/>
      <c r="C41" s="118"/>
      <c r="D41" s="118"/>
      <c r="E41" s="118"/>
    </row>
    <row r="42" spans="1:5" ht="15.75">
      <c r="A42" s="3"/>
      <c r="B42" s="3"/>
      <c r="C42" s="118"/>
      <c r="D42" s="118"/>
      <c r="E42" s="118"/>
    </row>
    <row r="43" spans="1:5" ht="15.75">
      <c r="A43" s="97" t="s">
        <v>15</v>
      </c>
      <c r="B43" s="97"/>
      <c r="C43" s="97" t="s">
        <v>221</v>
      </c>
      <c r="D43" s="121" t="s">
        <v>17</v>
      </c>
      <c r="E43" s="122" t="s">
        <v>18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opLeftCell="A59" workbookViewId="0">
      <selection activeCell="B79" sqref="B79"/>
    </sheetView>
  </sheetViews>
  <sheetFormatPr defaultRowHeight="15"/>
  <cols>
    <col min="2" max="2" width="53.7109375" bestFit="1" customWidth="1"/>
    <col min="3" max="3" width="7" bestFit="1" customWidth="1"/>
    <col min="4" max="4" width="19" bestFit="1" customWidth="1"/>
    <col min="6" max="6" width="21.28515625" customWidth="1"/>
  </cols>
  <sheetData>
    <row r="1" spans="1:6" ht="27">
      <c r="A1" s="632" t="s">
        <v>5</v>
      </c>
      <c r="B1" s="632"/>
      <c r="C1" s="632"/>
      <c r="D1" s="632"/>
    </row>
    <row r="2" spans="1:6" ht="18">
      <c r="A2" s="634" t="s">
        <v>7</v>
      </c>
      <c r="B2" s="634"/>
      <c r="C2" s="634"/>
      <c r="D2" s="634"/>
    </row>
    <row r="3" spans="1:6" ht="18">
      <c r="A3" s="634" t="s">
        <v>6</v>
      </c>
      <c r="B3" s="634"/>
      <c r="C3" s="634"/>
      <c r="D3" s="634"/>
    </row>
    <row r="4" spans="1:6" ht="18">
      <c r="A4" s="635" t="s">
        <v>404</v>
      </c>
      <c r="B4" s="635"/>
      <c r="C4" s="635"/>
      <c r="D4" s="635"/>
    </row>
    <row r="5" spans="1:6" ht="18.75" thickBot="1">
      <c r="A5" s="3"/>
      <c r="B5" s="153" t="s">
        <v>402</v>
      </c>
      <c r="C5" s="143"/>
      <c r="D5" s="153" t="s">
        <v>163</v>
      </c>
    </row>
    <row r="6" spans="1:6" s="3" customFormat="1" ht="18">
      <c r="B6" s="255" t="s">
        <v>236</v>
      </c>
      <c r="C6" s="283"/>
      <c r="D6" s="284"/>
    </row>
    <row r="7" spans="1:6" s="3" customFormat="1" ht="18">
      <c r="B7" s="256" t="s">
        <v>311</v>
      </c>
      <c r="C7" s="285"/>
      <c r="D7" s="302">
        <v>26132769.109999996</v>
      </c>
    </row>
    <row r="8" spans="1:6" s="3" customFormat="1" ht="18">
      <c r="B8" s="256" t="s">
        <v>237</v>
      </c>
      <c r="C8" s="285"/>
      <c r="D8" s="302">
        <v>129757.53000000119</v>
      </c>
    </row>
    <row r="9" spans="1:6" s="3" customFormat="1" ht="18.75" thickBot="1">
      <c r="B9" s="257" t="s">
        <v>403</v>
      </c>
      <c r="C9" s="286"/>
      <c r="D9" s="299">
        <v>26262526.639999997</v>
      </c>
    </row>
    <row r="10" spans="1:6" ht="18">
      <c r="A10" s="3"/>
      <c r="B10" s="153"/>
      <c r="C10" s="153"/>
      <c r="D10" s="153" t="s">
        <v>164</v>
      </c>
    </row>
    <row r="11" spans="1:6" s="3" customFormat="1" ht="18">
      <c r="B11" s="153" t="s">
        <v>367</v>
      </c>
      <c r="C11" s="153"/>
      <c r="D11" s="153"/>
    </row>
    <row r="12" spans="1:6" s="3" customFormat="1" ht="18">
      <c r="B12" s="285" t="s">
        <v>368</v>
      </c>
      <c r="C12" s="453"/>
      <c r="D12" s="453">
        <v>4500000</v>
      </c>
    </row>
    <row r="13" spans="1:6" s="3" customFormat="1" ht="18">
      <c r="B13" s="285" t="s">
        <v>369</v>
      </c>
      <c r="C13" s="453"/>
      <c r="D13" s="453">
        <v>6700000</v>
      </c>
    </row>
    <row r="14" spans="1:6" s="3" customFormat="1" ht="18">
      <c r="B14" s="499" t="s">
        <v>22</v>
      </c>
      <c r="C14" s="453"/>
      <c r="D14" s="453">
        <v>11200000</v>
      </c>
    </row>
    <row r="15" spans="1:6" s="3" customFormat="1" ht="18">
      <c r="B15" s="285" t="s">
        <v>370</v>
      </c>
      <c r="C15" s="453"/>
      <c r="D15" s="453">
        <v>-5000000</v>
      </c>
      <c r="F15" s="293">
        <v>-5535315.4299999997</v>
      </c>
    </row>
    <row r="16" spans="1:6" s="3" customFormat="1" ht="18">
      <c r="B16" s="285" t="s">
        <v>371</v>
      </c>
      <c r="C16" s="453"/>
      <c r="D16" s="453">
        <v>-200000</v>
      </c>
    </row>
    <row r="17" spans="1:4" s="3" customFormat="1" ht="18">
      <c r="B17" s="285" t="s">
        <v>372</v>
      </c>
      <c r="C17" s="453"/>
      <c r="D17" s="453">
        <v>-335315.43</v>
      </c>
    </row>
    <row r="18" spans="1:4" s="3" customFormat="1" ht="18">
      <c r="B18" s="499" t="s">
        <v>400</v>
      </c>
      <c r="C18" s="453"/>
      <c r="D18" s="453">
        <v>5664684.5700000003</v>
      </c>
    </row>
    <row r="19" spans="1:4" s="3" customFormat="1" ht="18">
      <c r="B19" s="153"/>
      <c r="C19" s="293"/>
      <c r="D19" s="153"/>
    </row>
    <row r="20" spans="1:4" s="3" customFormat="1" ht="18">
      <c r="B20" s="153"/>
      <c r="C20" s="293"/>
      <c r="D20" s="153" t="s">
        <v>164</v>
      </c>
    </row>
    <row r="21" spans="1:4" s="3" customFormat="1" ht="18.75" thickBot="1">
      <c r="B21" s="366" t="s">
        <v>155</v>
      </c>
      <c r="C21" s="293"/>
      <c r="D21" s="153"/>
    </row>
    <row r="22" spans="1:4" s="3" customFormat="1" ht="18">
      <c r="B22" s="287" t="s">
        <v>401</v>
      </c>
      <c r="C22" s="454"/>
      <c r="D22" s="455">
        <v>6341412.3999999985</v>
      </c>
    </row>
    <row r="23" spans="1:4" s="3" customFormat="1" ht="18.75" thickBot="1">
      <c r="B23" s="295"/>
      <c r="C23" s="293"/>
      <c r="D23" s="456"/>
    </row>
    <row r="24" spans="1:4" s="3" customFormat="1" ht="18.75" thickBot="1">
      <c r="B24" s="296" t="s">
        <v>373</v>
      </c>
      <c r="C24" s="297"/>
      <c r="D24" s="298">
        <v>6341412.3999999985</v>
      </c>
    </row>
    <row r="25" spans="1:4" s="3" customFormat="1" ht="18">
      <c r="B25" s="153"/>
      <c r="C25" s="293"/>
      <c r="D25" s="153"/>
    </row>
    <row r="26" spans="1:4" s="3" customFormat="1" ht="18.75" thickBot="1">
      <c r="B26" s="153" t="s">
        <v>380</v>
      </c>
      <c r="C26" s="293"/>
      <c r="D26" s="153" t="s">
        <v>164</v>
      </c>
    </row>
    <row r="27" spans="1:4" s="3" customFormat="1" ht="18.75" thickBot="1">
      <c r="B27" s="500" t="s">
        <v>374</v>
      </c>
      <c r="C27" s="501"/>
      <c r="D27" s="455">
        <v>6250000</v>
      </c>
    </row>
    <row r="28" spans="1:4" s="3" customFormat="1" ht="18.75" thickBot="1">
      <c r="B28" s="502" t="s">
        <v>114</v>
      </c>
      <c r="C28" s="503"/>
      <c r="D28" s="298">
        <v>6250000</v>
      </c>
    </row>
    <row r="29" spans="1:4" s="3" customFormat="1" ht="18">
      <c r="B29" s="153"/>
      <c r="C29" s="153"/>
      <c r="D29" s="153"/>
    </row>
    <row r="30" spans="1:4" s="3" customFormat="1" ht="18.75" thickBot="1">
      <c r="B30" s="153"/>
      <c r="C30" s="153"/>
      <c r="D30" s="153" t="s">
        <v>166</v>
      </c>
    </row>
    <row r="31" spans="1:4" ht="18">
      <c r="A31" s="3"/>
      <c r="B31" s="287" t="s">
        <v>183</v>
      </c>
      <c r="C31" s="288"/>
      <c r="D31" s="289">
        <v>754722.2</v>
      </c>
    </row>
    <row r="32" spans="1:4" ht="18">
      <c r="A32" s="3"/>
      <c r="B32" s="290" t="s">
        <v>184</v>
      </c>
      <c r="C32" s="291"/>
      <c r="D32" s="272">
        <v>169333.08</v>
      </c>
    </row>
    <row r="33" spans="1:5" ht="18">
      <c r="A33" s="3"/>
      <c r="B33" s="292" t="s">
        <v>185</v>
      </c>
      <c r="C33" s="293"/>
      <c r="D33" s="294">
        <v>22275</v>
      </c>
    </row>
    <row r="34" spans="1:5" ht="18">
      <c r="A34" s="3"/>
      <c r="B34" s="295" t="s">
        <v>186</v>
      </c>
      <c r="C34" s="293"/>
      <c r="D34" s="294">
        <v>25000</v>
      </c>
    </row>
    <row r="35" spans="1:5" ht="18.75" thickBot="1">
      <c r="A35" s="3"/>
      <c r="B35" s="295" t="s">
        <v>187</v>
      </c>
      <c r="C35" s="293"/>
      <c r="D35" s="294">
        <v>211348.04</v>
      </c>
    </row>
    <row r="36" spans="1:5" ht="18.75" thickBot="1">
      <c r="B36" s="296" t="s">
        <v>114</v>
      </c>
      <c r="C36" s="297"/>
      <c r="D36" s="298">
        <v>1182678.3199999998</v>
      </c>
    </row>
    <row r="37" spans="1:5" s="3" customFormat="1" ht="18">
      <c r="B37" s="153"/>
      <c r="C37" s="293"/>
      <c r="D37" s="293"/>
    </row>
    <row r="38" spans="1:5" s="3" customFormat="1" ht="18">
      <c r="B38" s="153"/>
      <c r="C38" s="293"/>
      <c r="D38" s="293"/>
    </row>
    <row r="39" spans="1:5" s="3" customFormat="1" ht="18">
      <c r="B39" s="153"/>
      <c r="C39" s="293"/>
      <c r="D39" s="293"/>
    </row>
    <row r="40" spans="1:5" s="3" customFormat="1" ht="18">
      <c r="B40" s="153"/>
      <c r="C40" s="293"/>
      <c r="D40" s="293"/>
    </row>
    <row r="41" spans="1:5" s="3" customFormat="1" ht="18">
      <c r="B41" s="153"/>
      <c r="C41" s="293"/>
      <c r="D41" s="293"/>
    </row>
    <row r="42" spans="1:5" s="3" customFormat="1" ht="18">
      <c r="B42" s="301" t="s">
        <v>223</v>
      </c>
      <c r="C42" s="464" t="s">
        <v>17</v>
      </c>
      <c r="D42" s="301" t="s">
        <v>160</v>
      </c>
    </row>
    <row r="43" spans="1:5" s="3" customFormat="1" ht="18">
      <c r="B43" s="153"/>
      <c r="C43" s="293"/>
      <c r="D43" s="293"/>
    </row>
    <row r="44" spans="1:5" ht="18">
      <c r="B44" s="153" t="s">
        <v>188</v>
      </c>
      <c r="C44" s="153"/>
      <c r="D44" s="140"/>
      <c r="E44" s="53"/>
    </row>
    <row r="45" spans="1:5" ht="18.75" thickBot="1">
      <c r="B45" s="153"/>
      <c r="C45" s="153"/>
      <c r="D45" s="153" t="s">
        <v>177</v>
      </c>
    </row>
    <row r="46" spans="1:5" ht="18">
      <c r="B46" s="519" t="s">
        <v>260</v>
      </c>
      <c r="C46" s="526">
        <v>1038</v>
      </c>
      <c r="D46" s="303">
        <v>4253.6000000000931</v>
      </c>
    </row>
    <row r="47" spans="1:5" ht="18">
      <c r="B47" s="20" t="s">
        <v>261</v>
      </c>
      <c r="C47" s="517">
        <v>1038</v>
      </c>
      <c r="D47" s="304">
        <v>6345666</v>
      </c>
    </row>
    <row r="48" spans="1:5" ht="18">
      <c r="B48" s="20" t="s">
        <v>262</v>
      </c>
      <c r="C48" s="518">
        <v>6518</v>
      </c>
      <c r="D48" s="304">
        <v>3769345</v>
      </c>
    </row>
    <row r="49" spans="2:6" ht="18">
      <c r="B49" s="20" t="s">
        <v>263</v>
      </c>
      <c r="C49" s="518">
        <v>1147</v>
      </c>
      <c r="D49" s="304">
        <v>74530</v>
      </c>
    </row>
    <row r="50" spans="2:6" ht="18">
      <c r="B50" s="20" t="s">
        <v>264</v>
      </c>
      <c r="C50" s="517">
        <v>1090</v>
      </c>
      <c r="D50" s="304">
        <v>27044.009999997914</v>
      </c>
    </row>
    <row r="51" spans="2:6" ht="18">
      <c r="B51" s="20" t="s">
        <v>265</v>
      </c>
      <c r="C51" s="517">
        <v>2880</v>
      </c>
      <c r="D51" s="304">
        <v>1277445.1600000004</v>
      </c>
      <c r="F51" s="53"/>
    </row>
    <row r="52" spans="2:6" ht="18">
      <c r="B52" s="397" t="s">
        <v>292</v>
      </c>
      <c r="C52" s="521"/>
      <c r="D52" s="304">
        <v>4415359.49</v>
      </c>
    </row>
    <row r="53" spans="2:6" ht="18">
      <c r="B53" s="397" t="s">
        <v>293</v>
      </c>
      <c r="C53" s="521"/>
      <c r="D53" s="304">
        <v>420700.88</v>
      </c>
    </row>
    <row r="54" spans="2:6" ht="18">
      <c r="B54" s="524" t="s">
        <v>294</v>
      </c>
      <c r="C54" s="522"/>
      <c r="D54" s="305">
        <v>297314</v>
      </c>
    </row>
    <row r="55" spans="2:6" ht="18">
      <c r="B55" s="524" t="s">
        <v>300</v>
      </c>
      <c r="C55" s="522"/>
      <c r="D55" s="305">
        <v>1250000</v>
      </c>
    </row>
    <row r="56" spans="2:6" ht="18">
      <c r="B56" s="397" t="s">
        <v>295</v>
      </c>
      <c r="C56" s="521"/>
      <c r="D56" s="305">
        <v>1005000</v>
      </c>
    </row>
    <row r="57" spans="2:6" ht="18">
      <c r="B57" s="397" t="s">
        <v>296</v>
      </c>
      <c r="C57" s="521"/>
      <c r="D57" s="305">
        <v>3136000</v>
      </c>
    </row>
    <row r="58" spans="2:6" ht="18">
      <c r="B58" s="397" t="s">
        <v>296</v>
      </c>
      <c r="C58" s="521"/>
      <c r="D58" s="305">
        <v>3114000</v>
      </c>
    </row>
    <row r="59" spans="2:6" s="3" customFormat="1" ht="18.75" thickBot="1">
      <c r="B59" s="525" t="s">
        <v>13</v>
      </c>
      <c r="C59" s="523"/>
      <c r="D59" s="306">
        <v>25136658.140000001</v>
      </c>
      <c r="F59" s="53"/>
    </row>
    <row r="60" spans="2:6" s="3" customFormat="1" ht="15.75">
      <c r="B60" s="139"/>
      <c r="C60" s="139"/>
      <c r="D60" s="300"/>
    </row>
    <row r="61" spans="2:6" s="3" customFormat="1">
      <c r="D61" s="53"/>
    </row>
    <row r="62" spans="2:6" ht="18">
      <c r="B62" s="153" t="s">
        <v>189</v>
      </c>
      <c r="C62" s="143"/>
      <c r="D62" s="57"/>
    </row>
    <row r="63" spans="2:6" ht="18.75" thickBot="1">
      <c r="B63" s="153"/>
      <c r="C63" s="143"/>
      <c r="D63" s="134" t="s">
        <v>177</v>
      </c>
    </row>
    <row r="64" spans="2:6" ht="17.25">
      <c r="B64" s="158" t="s">
        <v>246</v>
      </c>
      <c r="C64" s="159"/>
      <c r="D64" s="156">
        <v>58000</v>
      </c>
    </row>
    <row r="65" spans="2:4" ht="17.25">
      <c r="B65" s="160" t="s">
        <v>211</v>
      </c>
      <c r="C65" s="55"/>
      <c r="D65" s="157">
        <v>5500</v>
      </c>
    </row>
    <row r="66" spans="2:4" ht="18" thickBot="1">
      <c r="B66" s="182"/>
      <c r="C66" s="183"/>
      <c r="D66" s="184"/>
    </row>
    <row r="67" spans="2:4" ht="18" thickBot="1">
      <c r="B67" s="185" t="s">
        <v>114</v>
      </c>
      <c r="C67" s="186"/>
      <c r="D67" s="187">
        <v>63500</v>
      </c>
    </row>
    <row r="69" spans="2:4" ht="17.25">
      <c r="B69" s="162" t="s">
        <v>190</v>
      </c>
    </row>
    <row r="70" spans="2:4" s="3" customFormat="1" ht="18" thickBot="1">
      <c r="B70" s="162"/>
      <c r="D70" s="134" t="s">
        <v>177</v>
      </c>
    </row>
    <row r="71" spans="2:4" ht="18">
      <c r="B71" s="9" t="s">
        <v>115</v>
      </c>
      <c r="C71" s="179"/>
      <c r="D71" s="11" t="s">
        <v>11</v>
      </c>
    </row>
    <row r="72" spans="2:4" ht="18">
      <c r="B72" s="12" t="s">
        <v>227</v>
      </c>
      <c r="C72" s="181"/>
      <c r="D72" s="180">
        <v>350000</v>
      </c>
    </row>
    <row r="73" spans="2:4" ht="18">
      <c r="B73" s="12" t="s">
        <v>228</v>
      </c>
      <c r="C73" s="19"/>
      <c r="D73" s="180">
        <v>0</v>
      </c>
    </row>
    <row r="74" spans="2:4" ht="17.25">
      <c r="B74" s="160" t="s">
        <v>375</v>
      </c>
      <c r="C74" s="175"/>
      <c r="D74" s="157">
        <v>100000</v>
      </c>
    </row>
    <row r="75" spans="2:4" s="3" customFormat="1" ht="17.25">
      <c r="B75" s="182" t="s">
        <v>376</v>
      </c>
      <c r="C75" s="457"/>
      <c r="D75" s="157">
        <v>700000</v>
      </c>
    </row>
    <row r="76" spans="2:4" ht="18" thickBot="1">
      <c r="B76" s="224"/>
      <c r="C76" s="225"/>
      <c r="D76" s="157">
        <v>1150000</v>
      </c>
    </row>
    <row r="77" spans="2:4" s="3" customFormat="1" ht="17.25">
      <c r="B77" s="57"/>
      <c r="C77" s="57"/>
      <c r="D77" s="132"/>
    </row>
    <row r="78" spans="2:4" s="3" customFormat="1" ht="17.25">
      <c r="B78" s="57"/>
      <c r="C78" s="57"/>
      <c r="D78" s="132"/>
    </row>
    <row r="79" spans="2:4" s="3" customFormat="1" ht="17.25">
      <c r="B79" s="57"/>
      <c r="C79" s="57"/>
      <c r="D79" s="132"/>
    </row>
    <row r="80" spans="2:4" s="3" customFormat="1" ht="17.25">
      <c r="B80" s="57"/>
      <c r="C80" s="57"/>
      <c r="D80" s="132"/>
    </row>
    <row r="81" spans="2:5" s="3" customFormat="1" ht="17.25">
      <c r="B81" s="57"/>
      <c r="C81" s="57"/>
      <c r="D81" s="132"/>
    </row>
    <row r="82" spans="2:5" s="3" customFormat="1" ht="18">
      <c r="B82" s="301" t="s">
        <v>223</v>
      </c>
      <c r="C82" s="243" t="s">
        <v>17</v>
      </c>
      <c r="D82" s="301" t="s">
        <v>160</v>
      </c>
      <c r="E82"/>
    </row>
    <row r="83" spans="2:5" s="3" customFormat="1" ht="18">
      <c r="B83" s="301"/>
      <c r="C83" s="532"/>
      <c r="D83" s="301"/>
    </row>
    <row r="84" spans="2:5" s="3" customFormat="1" ht="18">
      <c r="B84" s="301"/>
      <c r="C84" s="532"/>
      <c r="D84" s="301"/>
    </row>
    <row r="85" spans="2:5" s="3" customFormat="1" ht="18">
      <c r="B85" s="301"/>
      <c r="C85" s="532"/>
      <c r="D85" s="301"/>
    </row>
    <row r="86" spans="2:5" s="3" customFormat="1" ht="18">
      <c r="B86" s="301"/>
      <c r="C86" s="532"/>
      <c r="D86" s="301"/>
    </row>
    <row r="87" spans="2:5" s="3" customFormat="1" ht="17.25">
      <c r="B87" s="57"/>
      <c r="C87" s="57"/>
      <c r="D87" s="132"/>
    </row>
    <row r="88" spans="2:5" ht="17.25">
      <c r="B88" s="162" t="s">
        <v>214</v>
      </c>
      <c r="C88" s="3"/>
      <c r="D88" s="3"/>
    </row>
    <row r="89" spans="2:5" ht="17.25">
      <c r="B89" s="162"/>
      <c r="C89" s="3"/>
      <c r="D89" s="134" t="s">
        <v>219</v>
      </c>
    </row>
    <row r="90" spans="2:5" s="3" customFormat="1" ht="18" thickBot="1">
      <c r="B90" s="162"/>
      <c r="D90" s="134"/>
    </row>
    <row r="91" spans="2:5" ht="18.75" thickBot="1">
      <c r="B91" s="123" t="s">
        <v>115</v>
      </c>
      <c r="C91" s="161"/>
      <c r="D91" s="124" t="s">
        <v>11</v>
      </c>
    </row>
    <row r="92" spans="2:5" ht="18">
      <c r="B92" s="29" t="s">
        <v>377</v>
      </c>
      <c r="C92" s="179"/>
      <c r="D92" s="196">
        <v>75000</v>
      </c>
    </row>
    <row r="93" spans="2:5" s="3" customFormat="1" ht="18">
      <c r="B93" s="458" t="s">
        <v>378</v>
      </c>
      <c r="C93" s="459"/>
      <c r="D93" s="460">
        <v>10000</v>
      </c>
    </row>
    <row r="94" spans="2:5" ht="18.75" thickBot="1">
      <c r="B94" s="197" t="s">
        <v>191</v>
      </c>
      <c r="C94" s="198"/>
      <c r="D94" s="180">
        <v>40000</v>
      </c>
    </row>
    <row r="95" spans="2:5" ht="18.75" thickBot="1">
      <c r="B95" s="199" t="s">
        <v>114</v>
      </c>
      <c r="C95" s="200"/>
      <c r="D95" s="201">
        <f>SUM(D92:D94)</f>
        <v>125000</v>
      </c>
    </row>
    <row r="102" spans="2:4" ht="17.25">
      <c r="B102" s="4" t="s">
        <v>223</v>
      </c>
      <c r="C102" s="202" t="s">
        <v>17</v>
      </c>
      <c r="D102" s="4" t="s">
        <v>160</v>
      </c>
    </row>
  </sheetData>
  <mergeCells count="4">
    <mergeCell ref="A1:D1"/>
    <mergeCell ref="A2:D2"/>
    <mergeCell ref="A3:D3"/>
    <mergeCell ref="A4:D4"/>
  </mergeCells>
  <pageMargins left="0.70866141732283472" right="0.70866141732283472" top="0.15748031496062992" bottom="0.15748031496062992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SDP</vt:lpstr>
      <vt:lpstr>1090</vt:lpstr>
      <vt:lpstr>Sheet4</vt:lpstr>
      <vt:lpstr>6518</vt:lpstr>
      <vt:lpstr>dep2</vt:lpstr>
      <vt:lpstr>dep1</vt:lpstr>
      <vt:lpstr>bs</vt:lpstr>
      <vt:lpstr>cf</vt:lpstr>
      <vt:lpstr>bs Annex</vt:lpstr>
      <vt:lpstr>pl</vt:lpstr>
      <vt:lpstr>Sheet1</vt:lpstr>
      <vt:lpstr>nn 13</vt:lpstr>
      <vt:lpstr>Sheet5</vt:lpstr>
      <vt:lpstr>pl Annex</vt:lpstr>
      <vt:lpstr>Sheet3</vt:lpstr>
      <vt:lpstr>Sheet6</vt:lpstr>
      <vt:lpstr>guthi</vt:lpstr>
      <vt:lpstr>Sheet7</vt:lpstr>
      <vt:lpstr>1038</vt:lpstr>
      <vt:lpstr>sis</vt:lpstr>
      <vt:lpstr>666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lila</dc:creator>
  <cp:lastModifiedBy>SAMP COLLEGE</cp:lastModifiedBy>
  <cp:lastPrinted>2020-10-08T05:19:22Z</cp:lastPrinted>
  <dcterms:created xsi:type="dcterms:W3CDTF">2016-01-06T21:32:07Z</dcterms:created>
  <dcterms:modified xsi:type="dcterms:W3CDTF">2020-10-09T11:51:13Z</dcterms:modified>
</cp:coreProperties>
</file>