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e822a06c18ea4fa/PR/Plan/"/>
    </mc:Choice>
  </mc:AlternateContent>
  <xr:revisionPtr revIDLastSave="5132" documentId="8_{369466F8-AA55-4C39-A3C4-EC6D8A2AEB18}" xr6:coauthVersionLast="47" xr6:coauthVersionMax="47" xr10:uidLastSave="{F3198948-D772-4579-8980-B0C43B995528}"/>
  <bookViews>
    <workbookView xWindow="-120" yWindow="-120" windowWidth="38640" windowHeight="23520" xr2:uid="{00000000-000D-0000-FFFF-FFFF00000000}"/>
  </bookViews>
  <sheets>
    <sheet name="Main" sheetId="1" r:id="rId1"/>
    <sheet name="Charts" sheetId="42" r:id="rId2"/>
    <sheet name="KPI's" sheetId="38" state="hidden" r:id="rId3"/>
    <sheet name="Formulas" sheetId="35" state="hidden" r:id="rId4"/>
    <sheet name="Language CLB Calculations" sheetId="36" state="hidden" r:id="rId5"/>
    <sheet name="Canadian Experince Comparision" sheetId="34" state="hidden" r:id="rId6"/>
    <sheet name="Official Score Data" sheetId="30" state="hidden" r:id="rId7"/>
    <sheet name="Data Validation" sheetId="31" state="hidden" r:id="rId8"/>
    <sheet name="Education  Comparision" sheetId="33" state="hidden" r:id="rId9"/>
  </sheets>
  <definedNames>
    <definedName name="_xleta.IF" hidden="1" xlm="1">#NAME?</definedName>
    <definedName name="_xleta.INDEX" hidden="1" xlm="1">#NAME?</definedName>
    <definedName name="_xleta.MAX" hidden="1" xlm="1">#NAME?</definedName>
    <definedName name="_xleta.SECOND" hidden="1" xlm="1">#NAME?</definedName>
    <definedName name="_xleta.SEQUENCE" hidden="1" xlm="1">#NAME?</definedName>
    <definedName name="_xleta.SUM" hidden="1" xlm="1">#NAME?</definedName>
    <definedName name="_xleta.T" hidden="1" xlm="1">#NAME?</definedName>
    <definedName name="_xleta.TEXT" hidden="1" xlm="1">#NAME?</definedName>
    <definedName name="_xleta.TEXTBEFORE" hidden="1" xlm="1">#NAME?</definedName>
    <definedName name="_xleta.VALUE" hidden="1" xlm="1">#NAME?</definedName>
    <definedName name="_xleta.XLOOKUP" hidden="1" xlm="1">#NAME?</definedName>
    <definedName name="_xlpm.CellValue" hidden="1" xlm="1">#NAME?</definedName>
    <definedName name="_xlpm.ColIndex" hidden="1" xlm="1">#NAME?</definedName>
    <definedName name="_xlpm.CompareValue" hidden="1" xlm="1">#NAME?</definedName>
    <definedName name="_xlpm.ComparisionValue" hidden="1" xlm="1">#NAME?</definedName>
    <definedName name="_xlpm.ComparisonValue" hidden="1" xlm="1">#NAME?</definedName>
    <definedName name="_xlpm.Condition" hidden="1" xlm="1">#NAME?</definedName>
    <definedName name="_xlpm.FrenchPos" hidden="1" xlm="1">#NAME?</definedName>
    <definedName name="_xlpm.FrenchRow" hidden="1" xlm="1">#NAME?</definedName>
    <definedName name="_xlpm.FrenchTest" hidden="1" xlm="1">#NAME?</definedName>
    <definedName name="_xlpm.I" hidden="1" xlm="1">#NAME?</definedName>
    <definedName name="_xlpm.In" hidden="1" xlm="1">#NAME?</definedName>
    <definedName name="_xlpm.Ind" hidden="1" xlm="1">#NAME?</definedName>
    <definedName name="_xlpm.Inde" hidden="1" xlm="1">#NAME?</definedName>
    <definedName name="_xlpm.Index" hidden="1" xlm="1">#NAME?</definedName>
    <definedName name="_xlpm.IsRange" hidden="1" xlm="1">#NAME?</definedName>
    <definedName name="_xlpm.L" hidden="1" xlm="1">#NAME?</definedName>
    <definedName name="_xlpm.Lang1" hidden="1" xlm="1">#NAME?</definedName>
    <definedName name="_xlpm.Lang2" hidden="1" xlm="1">#NAME?</definedName>
    <definedName name="_xlpm.LangReadingValue" hidden="1" xlm="1">#NAME?</definedName>
    <definedName name="_xlpm.LanguageReadingValue" hidden="1" xlm="1">#NAME?</definedName>
    <definedName name="_xlpm.LanguageTReadingValue" hidden="1" xlm="1">#NAME?</definedName>
    <definedName name="_xlpm.LanguageType" hidden="1" xlm="1">#NAME?</definedName>
    <definedName name="_xlpm.LanguageTypeReadingValue" hidden="1" xlm="1">#NAME?</definedName>
    <definedName name="_xlpm.LanguageTypReadingValue" hidden="1" xlm="1">#NAME?</definedName>
    <definedName name="_xlpm.LanguageTyReadingValue" hidden="1" xlm="1">#NAME?</definedName>
    <definedName name="_xlpm.LanguagReadingValue" hidden="1" xlm="1">#NAME?</definedName>
    <definedName name="_xlpm.LanguaReadingValue" hidden="1" xlm="1">#NAME?</definedName>
    <definedName name="_xlpm.LanguReadingValue" hidden="1" xlm="1">#NAME?</definedName>
    <definedName name="_xlpm.lANReadingValue" hidden="1" xlm="1">#NAME?</definedName>
    <definedName name="_xlpm.lAReadingValue" hidden="1" xlm="1">#NAME?</definedName>
    <definedName name="_xlpm.ListeningValue" hidden="1" xlm="1">#NAME?</definedName>
    <definedName name="_xlpm.Lo" hidden="1" xlm="1">#NAME?</definedName>
    <definedName name="_xlpm.Loo" hidden="1" xlm="1">#NAME?</definedName>
    <definedName name="_xlpm.Look" hidden="1" xlm="1">#NAME?</definedName>
    <definedName name="_xlpm.Looku" hidden="1" xlm="1">#NAME?</definedName>
    <definedName name="_xlpm.Lookup" hidden="1" xlm="1">#NAME?</definedName>
    <definedName name="_xlpm.LookupA" hidden="1" xlm="1">#NAME?</definedName>
    <definedName name="_xlpm.LookupAr" hidden="1" xlm="1">#NAME?</definedName>
    <definedName name="_xlpm.LookupArr" hidden="1" xlm="1">#NAME?</definedName>
    <definedName name="_xlpm.LookupArra" hidden="1" xlm="1">#NAME?</definedName>
    <definedName name="_xlpm.LookupArray" hidden="1" xlm="1">#NAME?</definedName>
    <definedName name="_xlpm.LookupCol" hidden="1" xlm="1">#NAME?</definedName>
    <definedName name="_xlpm.lReadingValue" hidden="1" xlm="1">#NAME?</definedName>
    <definedName name="_xlpm.O" hidden="1" xlm="1">#NAME?</definedName>
    <definedName name="_xlpm.Ou" hidden="1" xlm="1">#NAME?</definedName>
    <definedName name="_xlpm.Out" hidden="1" xlm="1">#NAME?</definedName>
    <definedName name="_xlpm.OutA" hidden="1" xlm="1">#NAME?</definedName>
    <definedName name="_xlpm.OutAr" hidden="1" xlm="1">#NAME?</definedName>
    <definedName name="_xlpm.OutArr" hidden="1" xlm="1">#NAME?</definedName>
    <definedName name="_xlpm.OutArra" hidden="1" xlm="1">#NAME?</definedName>
    <definedName name="_xlpm.OutArray" hidden="1" xlm="1">#NAME?</definedName>
    <definedName name="_xlpm.R" hidden="1" xlm="1">#NAME?</definedName>
    <definedName name="_xlpm.Range" hidden="1" xlm="1">#NAME?</definedName>
    <definedName name="_xlpm.RangeCol" hidden="1" xlm="1">#NAME?</definedName>
    <definedName name="_xlpm.RangeList" hidden="1" xlm="1">#NAME?</definedName>
    <definedName name="_xlpm.Ranger" hidden="1" xlm="1">#NAME?</definedName>
    <definedName name="_xlpm.Rangr" hidden="1" xlm="1">#NAME?</definedName>
    <definedName name="_xlpm.Ranr" hidden="1" xlm="1">#NAME?</definedName>
    <definedName name="_xlpm.Rar" hidden="1" xlm="1">#NAME?</definedName>
    <definedName name="_xlpm.ReadingValue" hidden="1" xlm="1">#NAME?</definedName>
    <definedName name="_xlpm.ReturnCol" hidden="1" xlm="1">#NAME?</definedName>
    <definedName name="_xlpm.Rr" hidden="1" xlm="1">#NAME?</definedName>
    <definedName name="_xlpm.S" hidden="1" xlm="1">#NAME?</definedName>
    <definedName name="_xlpm.SpeakingValue" hidden="1" xlm="1">#NAME?</definedName>
    <definedName name="_xlpm.T" hidden="1" xlm="1">#NAME?</definedName>
    <definedName name="_xlpm.Ta" hidden="1" xlm="1">#NAME?</definedName>
    <definedName name="_xlpm.Tab" hidden="1" xlm="1">#NAME?</definedName>
    <definedName name="_xlpm.Tabl" hidden="1" xlm="1">#NAME?</definedName>
    <definedName name="_xlpm.Table" hidden="1" xlm="1">#NAME?</definedName>
    <definedName name="_xlpm.TestRange" hidden="1" xlm="1">#NAME?</definedName>
    <definedName name="_xlpm.Valr" hidden="1" xlm="1">#NAME?</definedName>
    <definedName name="_xlpm.vals" hidden="1" xlm="1">#NAME?</definedName>
    <definedName name="_xlpm.Value" hidden="1" xlm="1">#NAME?</definedName>
    <definedName name="_xlpm.Valuer" hidden="1" xlm="1">#NAME?</definedName>
    <definedName name="_xlpm.Valur" hidden="1" xlm="1">#NAME?</definedName>
    <definedName name="_xlpm.Var" hidden="1" xlm="1">#NAME?</definedName>
    <definedName name="_xlpm.Vr" hidden="1" xlm="1">#NAME?</definedName>
    <definedName name="_xlpm.W" hidden="1" xlm="1">#NAME?</definedName>
    <definedName name="_xlpm.WritingValue" hidden="1" xlm="1">#NAME?</definedName>
    <definedName name="Additional_Points" localSheetId="6" hidden="1">'Official Score Data'!$F$25:$G$31</definedName>
    <definedName name="Additional_Points_1" localSheetId="6" hidden="1">'Official Score Data'!$J$25:$K$32</definedName>
    <definedName name="Age" localSheetId="2" hidden="1">'KPI''s'!$G$52:$G$57</definedName>
    <definedName name="Age" localSheetId="6" hidden="1">'Official Score Data'!$B$3:$D$23</definedName>
    <definedName name="Age_Chart">Charts!$C$3:$L$40</definedName>
    <definedName name="Canadian_experince___Post_Secondary_Degree" localSheetId="2" hidden="1">'KPI''s'!#REF!</definedName>
    <definedName name="Canadian_experince___Post_Secondary_Degree" localSheetId="6" hidden="1">'Official Score Data'!$R$25:$T$30</definedName>
    <definedName name="Celpip_Table" localSheetId="6" hidden="1">'Official Score Data'!$B$38:$F$46</definedName>
    <definedName name="Certificate_of_Qualification" localSheetId="6" hidden="1">'Official Score Data'!$B$25:$D$26</definedName>
    <definedName name="ChartAdditionalPoints">Charts!$I$2:$I$4</definedName>
    <definedName name="ChartAge">Charts!$B$2:$B$4</definedName>
    <definedName name="ChartCanadianExperience">Charts!$F$2:$F$4</definedName>
    <definedName name="ChartEducation">Charts!$E$2:$E$4</definedName>
    <definedName name="ChartFirstLanguage">Charts!$C$2:$C$4</definedName>
    <definedName name="ChartOverview">Charts!$A$2:$A$4</definedName>
    <definedName name="ChartRange">CHOOSE(Charts!XFD1,Charts!XFB1048536:G1048574,Charts!I1048537:R1048552,Charts!S1048537:AC12)</definedName>
    <definedName name="ChartSecondLanguage">Charts!$D$2:$D$4</definedName>
    <definedName name="ChartSkillTransferability">Charts!$G$2:$G$4</definedName>
    <definedName name="ChartSpousePoints">Charts!$H$2:$H$4</definedName>
    <definedName name="CLB___Post_Secondary_Degree" localSheetId="2" hidden="1">'KPI''s'!#REF!</definedName>
    <definedName name="CLB___Post_Secondary_Degree" localSheetId="6" hidden="1">'Official Score Data'!$N$25:$P$30</definedName>
    <definedName name="CLB___Post_Secondary_Degree_1" localSheetId="2" hidden="1">'KPI''s'!#REF!</definedName>
    <definedName name="Core_Canadian_Experince" localSheetId="2" hidden="1">'KPI''s'!$O$56:$Q$62</definedName>
    <definedName name="Core_Canadian_Experince" localSheetId="6" hidden="1">'Official Score Data'!$F$14:$H$20</definedName>
    <definedName name="DefaultValue">'Data Validation'!$C$32</definedName>
    <definedName name="FFCLBGREATERTHAN" xml:space="preserve"> _xlfn.LAMBDA(_xlpm.ReadingValue,_xlpm.WritingValue,_xlpm.ListeningValue,_xlpm.SpeakingValue,_xlpm.ComparisionValue,_xlpm.LookupArray,_xlpm.OutArray, AND( _xlfn.XLOOKUP(_xlpm.ReadingValue,_xlpm.LookupArray,_xlpm.OutArray)&gt;= _xlpm.ComparisionValue, _xlfn.XLOOKUP(_xlpm.WritingValue,_xlpm.LookupArray,_xlpm.OutArray)&gt;= _xlpm.ComparisionValue, _xlfn.XLOOKUP(_xlpm.ListeningValue,_xlpm.LookupArray,_xlpm.OutArray)&gt;= _xlpm.ComparisionValue, _xlfn.XLOOKUP(_xlpm.SpeakingValue,_xlpm.LookupArray,_xlpm.OutArray)&gt;= _xlpm.ComparisionValue ))</definedName>
    <definedName name="FFGREATERTHANALLFORANLANGUAGE">_xlfn.LAMBDA(_xlpm.LanguageType,_xlpm.ComparisonValue, _xlfn.LET( _xlpm.FrenchPos,MATCH(_xlpm.LanguageType,_xlfn.XLOOKUP('Language CLB Calculations'!$C$8:$C$9,'Language CLB Calculations'!$M$6:$M$10,'Language CLB Calculations'!$L$6:$L$10),0), AND( _xlfn.XLOOKUP(INDEX('Language CLB Calculations'!$D$8:$D$9,_xlpm.FrenchPos),_xlfn.XLOOKUP(INDEX('Language CLB Calculations'!$A$8:$A$9,_xlpm.FrenchPos),'Language CLB Calculations'!$G$14:$H$14,'Language CLB Calculations'!$G$15:$H$22),'Language CLB Calculations'!$J$15:$J$22)&gt;=_xlpm.ComparisonValue, _xlfn.XLOOKUP(INDEX('Language CLB Calculations'!$E$8:$E$9,_xlpm.FrenchPos),_xlfn.XLOOKUP(INDEX('Language CLB Calculations'!$A$8:$A$9,_xlpm.FrenchPos),'Language CLB Calculations'!$G$14:$H$14,'Language CLB Calculations'!$G$15:$H$22),'Language CLB Calculations'!$J$15:$J$22)&gt;=_xlpm.ComparisonValue, _xlfn.XLOOKUP(INDEX('Language CLB Calculations'!$F$8:$F$9,_xlpm.FrenchPos),_xlfn.XLOOKUP(INDEX('Language CLB Calculations'!$A$8:$A$9,_xlpm.FrenchPos),'Language CLB Calculations'!$G$14:$H$14,'Language CLB Calculations'!$G$15:$H$22),'Language CLB Calculations'!$J$15:$J$22)&gt;=_xlpm.ComparisonValue, _xlfn.XLOOKUP(INDEX('Language CLB Calculations'!$G$8:$G$9,_xlpm.FrenchPos),_xlfn.XLOOKUP(INDEX('Language CLB Calculations'!$A$8:$A$9,_xlpm.FrenchPos),'Language CLB Calculations'!$G$14:$H$14,'Language CLB Calculations'!$G$15:$H$22),'Language CLB Calculations'!$J$15:$J$22)&gt;=_xlpm.ComparisonValue ) ) )</definedName>
    <definedName name="First_language_proficiency" localSheetId="6" hidden="1">'Official Score Data'!$J$3:$L$10</definedName>
    <definedName name="FirstLanguageType">Main!$C$11</definedName>
    <definedName name="Foreign_work_experience__Canadian_work_experience" localSheetId="6" hidden="1">'Official Score Data'!$N$14:$P$17</definedName>
    <definedName name="Foreign_work_Experince" localSheetId="6" hidden="1">'Official Score Data'!$J$14:$L$17</definedName>
    <definedName name="Foreign_work_Experince___CLB_1" localSheetId="6" hidden="1">'Official Score Data'!#REF!</definedName>
    <definedName name="GetCLBValue">_xlfn.LAMBDA(_xlpm.Value,_xlpm.Table,_xlpm.LookupCol,_xlpm.ReturnCol,_xlpm.IsRange, IFERROR( IF( _xlpm.IsRange, INDEX( INDEX(_xlpm.Table,,_xlpm.ReturnCol), _xlfn.XMATCH( 1, _xlfn.MAP( INDEX(_xlpm.Table,,_xlpm.LookupCol), _xlfn.LAMBDA(_xlpm.r, --AND( _xlpm.Value&gt;=VALUE(TRIM(_xlfn.TEXTBEFORE(_xlpm.r,"-"))), _xlpm.Value&lt;=VALUE(TRIM(_xlfn.TEXTAFTER(_xlpm.r,"-"))) ) ) ) ) ), _xlfn.XLOOKUP( _xlpm.Value, INDEX(_xlpm.Table,,_xlpm.LookupCol), INDEX(_xlpm.Table,,_xlpm.ReturnCol) ) ), 0 ) )</definedName>
    <definedName name="GetPointsFor">_xlfn.LAMBDA(_xlpm.CellValue,_xlpm.Table,_xlpm.Condition, _xlfn.XLOOKUP(_xlpm.CellValue,INDEX(_xlpm.Table,,1),IF(_xlpm.Condition,INDEX(_xlpm.Table,,2),INDEX(_xlpm.Table,,3))))</definedName>
    <definedName name="IELTS_Table" localSheetId="6" hidden="1">'Official Score Data'!$H$38:$L$46</definedName>
    <definedName name="InputCells">Main!$C$6:$G$9,Main!$C$11:$G$12,Main!$C$13:$H$14,Main!$C$17:$G$18,Main!$C$20:$G$20,Main!$C$22:$H$24,Main!$M$2</definedName>
    <definedName name="IsMarried?">Formulas!$B$2</definedName>
    <definedName name="Level_of_Education" localSheetId="2" hidden="1">'KPI''s'!$J$55:$L$63</definedName>
    <definedName name="Level_of_Education" localSheetId="6" hidden="1">'Official Score Data'!$F$3:$H$11</definedName>
    <definedName name="Overview_Chart">Charts!$A$2:$B$40</definedName>
    <definedName name="PTE_Table" localSheetId="6" hidden="1">'Official Score Data'!$N$38:$R$46</definedName>
    <definedName name="Second_language_proficiency" localSheetId="6" hidden="1">'Official Score Data'!$N$3:$P$7</definedName>
    <definedName name="SecondLanguageType">Main!$C$12</definedName>
    <definedName name="Spouse_Canadian_Experince" localSheetId="6" hidden="1">'Official Score Data'!$R$3:$T$9</definedName>
    <definedName name="Spouse_langauge_benchmark" localSheetId="6" hidden="1">'Official Score Data'!$V$3:$X$7</definedName>
    <definedName name="Spouse_level_of_education" localSheetId="6" hidden="1">'Official Score Data'!$R$14:$T$22</definedName>
    <definedName name="TCF_Table" localSheetId="6" hidden="1">'Official Score Data'!$B$49:$F$57</definedName>
    <definedName name="TEF_Table" localSheetId="6" hidden="1">'Official Score Data'!$H$49:$L$57</definedName>
    <definedName name="YourScoreCalculation">'Data Validation'!$K$6:$K$9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ore Factors_297b3308-88a3-4d61-8caf-b7c20b102d2c" name="Core Factors" connection="Query - Core Factors"/>
          <x15:modelTable id="Age_c94a991a-421a-46ab-b502-d373efbd0b19" name="Age" connection="Query - Age"/>
          <x15:modelTable id="Level of Education_2c371b4c-1e42-42ee-9075-e81f3c0f8c4e" name="Level of Education" connection="Query - Level of Education"/>
          <x15:modelTable id="First language proficiency_37f6f436-e93d-4e36-9317-63866b803613" name="First language proficiency" connection="Query - First language proficiency"/>
          <x15:modelTable id="Second language proficiency_c47a8d51-5198-42b9-98ce-3fb93eef0c35" name="Second language proficiency" connection="Query - Second language proficiency"/>
          <x15:modelTable id="Core Canadian Experince_7648d9be-41c5-440a-948b-3aff3cf668dc" name="Core Canadian Experince" connection="Query - Core Canadian Experince"/>
          <x15:modelTable id="Spouse Factors_09eff92c-c2b3-4afc-995b-52ffeb727c1c" name="Spouse Factors" connection="Query - Spouse Factors"/>
          <x15:modelTable id="Spouse level of education_32814032-d722-481d-b74f-014a1282ada0" name="Spouse level of education" connection="Query - Spouse level of education"/>
          <x15:modelTable id="Spouse langauge benchmark_e99e5bac-19fa-4363-a4ae-63bb6202e901" name="Spouse langauge benchmark" connection="Query - Spouse langauge benchmark"/>
          <x15:modelTable id="Spouse Canadian Experince_90cb0281-8ecb-477d-a67a-c1cf91248454" name="Spouse Canadian Experince" connection="Query - Spouse Canadian Experince"/>
          <x15:modelTable id="Table 11_a5fd249f-2608-4081-915c-31582e45fe41" name="Table 11" connection="Query - Table 11"/>
          <x15:modelTable id="Table 12_02ffcda8-f7ef-415d-bb34-b64b594a2b25" name="Table 12" connection="Query - Table 12"/>
          <x15:modelTable id="Table 13_be6743db-a6ff-4ef4-8397-fa306df625cd" name="Table 13" connection="Query - Table 13"/>
          <x15:modelTable id="CLB   Post Secondary Degree_0884f105-95f6-43bf-ae41-7aa93d7e1ba7" name="CLB   Post Secondary Degree" connection="Query - CLB + Post Secondary Degree"/>
          <x15:modelTable id="Canadian experince   Post Secondary Degree_060dc810-5f44-4d57-a54f-7c920745e527" name="Canadian experince   Post Secondary Degree" connection="Query - Canadian experince + Post Secondary Degree"/>
          <x15:modelTable id="Foreign work Experince   CLB_ef12cb64-e4bd-4ee5-a76c-29ba45469a83" name="Foreign work Experince   CLB" connection="Query - Foreign work Experince + CLB"/>
          <x15:modelTable id="Foreign work experience  Canadian work experience_b2c93505-9bc4-4691-a421-fa7a0393fca9" name="Foreign work experience  Canadian work experience" connection="Query - Foreign work experience +Canadian work experience"/>
          <x15:modelTable id="Certificate of Qualification_fb83274e-d7a8-4183-add3-5d030a8b4b99" name="Certificate of Qualification" connection="Query - Certificate of Qualification"/>
          <x15:modelTable id="Table 19_0a68ca1f-3a66-4eec-ab8c-cd58cf2f79c3" name="Table 19" connection="Query - Table 19"/>
          <x15:modelTable id="Additional Points_8053f1bc-66fa-4e12-8745-bde7e7b6a422" name="Additional Points" connection="Query - Additional Points"/>
          <x15:modelTable id="Celpip Table_6a6db1b0-6edd-4ff7-8877-1da511b5db55" name="Celpip Table" connection="Query - Celpip Table"/>
          <x15:modelTable id="IELTS Table_c0865616-9787-435e-9860-33f08857c1d9" name="IELTS Table" connection="Query - IELTS Table"/>
          <x15:modelTable id="PTE Table_5acd5d08-d437-4755-a546-347735e6360e" name="PTE Table" connection="Query - PTE Table"/>
          <x15:modelTable id="TEF Table_da95bf18-e04e-4aa7-aef6-d2b54bf2c931" name="TEF Table" connection="Query - TEF Table"/>
          <x15:modelTable id="Table 5_473f7b60-dc46-4bb8-8957-fa1038c995eb" name="Table 5" connection="Query - Table 5"/>
          <x15:modelTable id="TCF Table_8cd89cd9-372d-4324-9a99-18c8417772f7" name="TCF Table" connection="Query - TCF Tabl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7" i="38" l="1"/>
  <c r="A63" i="38" a="1"/>
  <c r="A63" i="38" s="1"/>
  <c r="J28" i="38" a="1"/>
  <c r="J28" i="38" s="1"/>
  <c r="J36" i="38" s="1"/>
  <c r="J20" i="38" a="1"/>
  <c r="J20" i="38" s="1"/>
  <c r="J11" i="38" a="1"/>
  <c r="J11" i="38" s="1"/>
  <c r="M11" i="38" s="1"/>
  <c r="N11" i="38" s="1"/>
  <c r="O49" i="38" a="1"/>
  <c r="O49" i="38" s="1"/>
  <c r="O44" i="38" a="1"/>
  <c r="O44" i="38" s="1"/>
  <c r="R46" i="38" s="1"/>
  <c r="J44" i="38" a="1"/>
  <c r="J44" i="38" s="1"/>
  <c r="J49" i="38" a="1"/>
  <c r="J49" i="38" s="1"/>
  <c r="O63" i="38"/>
  <c r="O64" i="38" s="1" a="1"/>
  <c r="O64" i="38" s="1"/>
  <c r="O65" i="38" s="1" a="1"/>
  <c r="O65" i="38" s="1"/>
  <c r="I56" i="38" a="1"/>
  <c r="I56" i="38" s="1"/>
  <c r="H38" i="1" a="1"/>
  <c r="H38" i="1" s="1"/>
  <c r="H37" i="1"/>
  <c r="D44" i="38" a="1"/>
  <c r="D44" i="38" s="1"/>
  <c r="D45" i="38" a="1"/>
  <c r="D45" i="38" s="1"/>
  <c r="D46" i="38" a="1"/>
  <c r="D46" i="38" s="1"/>
  <c r="D47" i="38" a="1"/>
  <c r="D47" i="38" s="1"/>
  <c r="D48" i="38" a="1"/>
  <c r="D48" i="38" s="1"/>
  <c r="D49" i="38" a="1"/>
  <c r="D49" i="38" s="1"/>
  <c r="D51" i="38" s="1"/>
  <c r="D50" i="38" a="1"/>
  <c r="D50" i="38" s="1"/>
  <c r="D52" i="38" s="1"/>
  <c r="D43" i="38" a="1"/>
  <c r="D43" i="38" s="1"/>
  <c r="C44" i="38" a="1"/>
  <c r="C44" i="38" s="1"/>
  <c r="C45" i="38" a="1"/>
  <c r="C45" i="38" s="1"/>
  <c r="C46" i="38" a="1"/>
  <c r="C46" i="38" s="1"/>
  <c r="C47" i="38" a="1"/>
  <c r="C47" i="38" s="1"/>
  <c r="C48" i="38" a="1"/>
  <c r="C48" i="38" s="1"/>
  <c r="C49" i="38" a="1"/>
  <c r="C49" i="38" s="1"/>
  <c r="C50" i="38" a="1"/>
  <c r="C50" i="38" s="1"/>
  <c r="C43" i="38" a="1"/>
  <c r="C43" i="38" s="1"/>
  <c r="M20" i="36" a="1"/>
  <c r="M20" i="36"/>
  <c r="B12" i="38"/>
  <c r="Q11" i="38"/>
  <c r="Q12" i="38"/>
  <c r="Q13" i="38"/>
  <c r="Q14" i="38"/>
  <c r="Q15" i="38"/>
  <c r="Q16" i="38"/>
  <c r="Q17" i="38"/>
  <c r="Q18" i="38"/>
  <c r="Q19" i="38"/>
  <c r="Q20" i="38"/>
  <c r="Q21" i="38"/>
  <c r="Q22" i="38"/>
  <c r="Q23" i="38"/>
  <c r="Q24" i="38"/>
  <c r="Q25" i="38"/>
  <c r="Q26" i="38"/>
  <c r="Q27" i="38"/>
  <c r="Q28" i="38"/>
  <c r="Q29" i="38"/>
  <c r="Q30" i="38"/>
  <c r="A28" i="38" a="1"/>
  <c r="A28" i="38" s="1"/>
  <c r="D28" i="38"/>
  <c r="D25" i="38"/>
  <c r="D24" i="38"/>
  <c r="D23" i="38"/>
  <c r="D32" i="38"/>
  <c r="D31" i="38"/>
  <c r="D30" i="38"/>
  <c r="D29" i="38"/>
  <c r="D14" i="38"/>
  <c r="D13" i="38"/>
  <c r="D18" i="38"/>
  <c r="D20" i="38"/>
  <c r="D19" i="38"/>
  <c r="D16" i="38"/>
  <c r="D17" i="38"/>
  <c r="D15" i="38"/>
  <c r="D12" i="38"/>
  <c r="L8" i="36"/>
  <c r="L9" i="36"/>
  <c r="L10" i="36"/>
  <c r="L7" i="36"/>
  <c r="L6" i="36"/>
  <c r="A36" i="36" a="1"/>
  <c r="A36" i="36" s="1"/>
  <c r="A25" i="36" a="1"/>
  <c r="A25" i="36" s="1"/>
  <c r="A15" i="36" a="1"/>
  <c r="A15" i="36" s="1"/>
  <c r="F57" i="30"/>
  <c r="E57" i="30"/>
  <c r="D57" i="30"/>
  <c r="C57" i="30"/>
  <c r="L57" i="30"/>
  <c r="K57" i="30"/>
  <c r="J57" i="30"/>
  <c r="I57" i="30"/>
  <c r="P46" i="30"/>
  <c r="Q46" i="30"/>
  <c r="R46" i="30"/>
  <c r="O46" i="30"/>
  <c r="J46" i="30"/>
  <c r="K46" i="30"/>
  <c r="L46" i="30"/>
  <c r="I46" i="30"/>
  <c r="C8" i="36"/>
  <c r="B15" i="36" s="1" a="1"/>
  <c r="C10" i="36"/>
  <c r="B36" i="36" s="1" a="1"/>
  <c r="B36" i="36" s="1"/>
  <c r="C9" i="36"/>
  <c r="A24" i="36" s="1"/>
  <c r="I6" i="31" a="1"/>
  <c r="I6" i="31" s="1"/>
  <c r="H6" i="31" a="1"/>
  <c r="H6" i="31" s="1"/>
  <c r="M46" i="38" l="1"/>
  <c r="M16" i="38"/>
  <c r="N16" i="38" s="1"/>
  <c r="M15" i="38"/>
  <c r="N15" i="38" s="1"/>
  <c r="M13" i="38"/>
  <c r="N13" i="38" s="1"/>
  <c r="J65" i="38" a="1"/>
  <c r="J65" i="38" s="1"/>
  <c r="J67" i="38" s="1" a="1"/>
  <c r="J67" i="38" s="1"/>
  <c r="C51" i="38"/>
  <c r="C52" i="38"/>
  <c r="B15" i="36"/>
  <c r="D8" i="36" s="1" a="1"/>
  <c r="D8" i="36" s="1"/>
  <c r="H30" i="1" s="1" a="1"/>
  <c r="H30" i="1" s="1"/>
  <c r="F8" i="36" a="1"/>
  <c r="F8" i="36" s="1"/>
  <c r="G8" i="36" a="1"/>
  <c r="G8" i="36" s="1"/>
  <c r="E8" i="36" a="1"/>
  <c r="E8" i="36" s="1"/>
  <c r="V25" i="38" s="1"/>
  <c r="X25" i="38" s="1"/>
  <c r="D10" i="36" a="1"/>
  <c r="D10" i="36" s="1"/>
  <c r="J25" i="38" s="1"/>
  <c r="J26" i="38" s="1"/>
  <c r="G10" i="36" a="1"/>
  <c r="G10" i="36" s="1"/>
  <c r="M25" i="38" s="1"/>
  <c r="M26" i="38" s="1"/>
  <c r="F10" i="36" a="1"/>
  <c r="F10" i="36" s="1"/>
  <c r="L25" i="38" s="1"/>
  <c r="L26" i="38" s="1"/>
  <c r="E10" i="36" a="1"/>
  <c r="E10" i="36" s="1"/>
  <c r="K25" i="38" s="1"/>
  <c r="K26" i="38" s="1"/>
  <c r="B25" i="36" a="1"/>
  <c r="B25" i="36" s="1"/>
  <c r="D9" i="36" s="1" a="1"/>
  <c r="D9" i="36" s="1"/>
  <c r="A14" i="36"/>
  <c r="A35" i="36"/>
  <c r="H39" i="1"/>
  <c r="A4" i="33" a="1"/>
  <c r="Q6" i="31" a="1"/>
  <c r="Q6" i="31" s="1"/>
  <c r="P6" i="31" a="1"/>
  <c r="P6" i="31" s="1"/>
  <c r="O6" i="31" a="1"/>
  <c r="O6" i="31" s="1"/>
  <c r="B2" i="35"/>
  <c r="A1" i="34" a="1"/>
  <c r="H29" i="1" s="1" a="1"/>
  <c r="H29" i="1" s="1"/>
  <c r="R44" i="38" s="1"/>
  <c r="M5" i="31" a="1"/>
  <c r="M5" i="31" s="1"/>
  <c r="L5" i="31" a="1"/>
  <c r="L5" i="31" s="1"/>
  <c r="K6" i="31" a="1"/>
  <c r="K6" i="31" s="1"/>
  <c r="D6" i="31" a="1"/>
  <c r="D6" i="31" s="1"/>
  <c r="C5" i="31" a="1"/>
  <c r="C5" i="31" s="1"/>
  <c r="R45" i="38" l="1"/>
  <c r="A4" i="33"/>
  <c r="R51" i="38" s="1" a="1"/>
  <c r="R51" i="38" s="1"/>
  <c r="K65" i="38" a="1"/>
  <c r="K65" i="38" s="1"/>
  <c r="H28" i="1" a="1"/>
  <c r="H28" i="1" s="1"/>
  <c r="H33" i="1" a="1"/>
  <c r="H33" i="1" s="1"/>
  <c r="H18" i="1" a="1"/>
  <c r="H18" i="1" s="1"/>
  <c r="H7" i="1" a="1"/>
  <c r="H7" i="1" s="1"/>
  <c r="H9" i="1" a="1"/>
  <c r="H9" i="1" s="1"/>
  <c r="H8" i="1" a="1"/>
  <c r="H8" i="1" s="1"/>
  <c r="H17" i="1" a="1"/>
  <c r="H17" i="1" s="1"/>
  <c r="W25" i="38" a="1"/>
  <c r="W25" i="38" s="1"/>
  <c r="Y22" i="38"/>
  <c r="E54" i="38"/>
  <c r="B56" i="38"/>
  <c r="D56" i="38" s="1"/>
  <c r="C56" i="38" a="1"/>
  <c r="C56" i="38" s="1"/>
  <c r="V24" i="38"/>
  <c r="X24" i="38" s="1"/>
  <c r="W24" i="38" a="1"/>
  <c r="W24" i="38" s="1"/>
  <c r="W27" i="38" a="1"/>
  <c r="W27" i="38" s="1"/>
  <c r="V27" i="38"/>
  <c r="X27" i="38" s="1"/>
  <c r="W26" i="38" a="1"/>
  <c r="W26" i="38" s="1"/>
  <c r="V26" i="38"/>
  <c r="X26" i="38" s="1"/>
  <c r="C17" i="38"/>
  <c r="F17" i="38" s="1"/>
  <c r="C32" i="38"/>
  <c r="F32" i="38" s="1"/>
  <c r="H8" i="36"/>
  <c r="A1" i="34"/>
  <c r="H10" i="36"/>
  <c r="H20" i="1" s="1"/>
  <c r="G9" i="36" a="1"/>
  <c r="G9" i="36" s="1"/>
  <c r="E9" i="36" a="1"/>
  <c r="E9" i="36" s="1"/>
  <c r="F9" i="36" a="1"/>
  <c r="F9" i="36" s="1"/>
  <c r="B3" i="35"/>
  <c r="B4" i="35"/>
  <c r="K17" i="38" l="1"/>
  <c r="M12" i="38"/>
  <c r="N12" i="38" s="1"/>
  <c r="H34" i="1" a="1"/>
  <c r="H34" i="1" s="1"/>
  <c r="R50" i="38" s="1" a="1"/>
  <c r="R50" i="38" s="1"/>
  <c r="M44" i="38"/>
  <c r="M45" i="38"/>
  <c r="C23" i="38"/>
  <c r="F23" i="38" s="1"/>
  <c r="K36" i="38"/>
  <c r="C24" i="38"/>
  <c r="F24" i="38" s="1"/>
  <c r="C25" i="38"/>
  <c r="F25" i="38" s="1"/>
  <c r="M51" i="38" a="1"/>
  <c r="M51" i="38" s="1"/>
  <c r="R52" i="38" a="1"/>
  <c r="R52" i="38" s="1"/>
  <c r="M53" i="38" a="1"/>
  <c r="M53" i="38" s="1"/>
  <c r="M52" i="38" a="1"/>
  <c r="M52" i="38" s="1"/>
  <c r="R53" i="38" a="1"/>
  <c r="R53" i="38" s="1"/>
  <c r="M49" i="38" a="1"/>
  <c r="M49" i="38" s="1"/>
  <c r="M50" i="38" a="1"/>
  <c r="M50" i="38" s="1"/>
  <c r="C15" i="38"/>
  <c r="F15" i="38" s="1"/>
  <c r="P63" i="38"/>
  <c r="R49" i="38" a="1"/>
  <c r="R49" i="38" s="1"/>
  <c r="C19" i="38"/>
  <c r="F19" i="38" s="1"/>
  <c r="C16" i="38"/>
  <c r="F16" i="38" s="1"/>
  <c r="H11" i="1"/>
  <c r="C13" i="38" s="1"/>
  <c r="F13" i="38" s="1"/>
  <c r="E57" i="38"/>
  <c r="E58" i="38"/>
  <c r="E59" i="38"/>
  <c r="E56" i="38"/>
  <c r="F56" i="38" s="1"/>
  <c r="Y27" i="38"/>
  <c r="Z27" i="38" s="1"/>
  <c r="Y26" i="38"/>
  <c r="Z26" i="38" s="1"/>
  <c r="Y25" i="38"/>
  <c r="Z25" i="38" s="1"/>
  <c r="Y24" i="38"/>
  <c r="Z24" i="38" s="1"/>
  <c r="B59" i="38"/>
  <c r="D59" i="38" s="1"/>
  <c r="C59" i="38" a="1"/>
  <c r="C59" i="38" s="1"/>
  <c r="C58" i="38" a="1"/>
  <c r="C58" i="38" s="1"/>
  <c r="B58" i="38"/>
  <c r="D58" i="38" s="1"/>
  <c r="C57" i="38" a="1"/>
  <c r="C57" i="38" s="1"/>
  <c r="B57" i="38"/>
  <c r="D57" i="38" s="1"/>
  <c r="W28" i="38"/>
  <c r="C18" i="38"/>
  <c r="F18" i="38" s="1"/>
  <c r="C12" i="38"/>
  <c r="H9" i="36"/>
  <c r="H12" i="1" s="1"/>
  <c r="C14" i="38" s="1"/>
  <c r="F14" i="38" s="1"/>
  <c r="H11" i="36" a="1"/>
  <c r="H11" i="36" s="1"/>
  <c r="C20" i="38" l="1"/>
  <c r="F20" i="38" s="1"/>
  <c r="F59" i="38"/>
  <c r="F58" i="38"/>
  <c r="Y28" i="38"/>
  <c r="F57" i="38"/>
  <c r="N16" i="36"/>
  <c r="H40" i="1"/>
  <c r="C28" i="38" s="1" a="1"/>
  <c r="E60" i="38"/>
  <c r="C60" i="38"/>
  <c r="F12" i="38"/>
  <c r="I2" i="1" l="1"/>
  <c r="C28" i="38"/>
  <c r="F28" i="38" s="1"/>
  <c r="F29" i="38"/>
  <c r="F30" i="38"/>
  <c r="F3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D8A7D4-4805-4869-A61D-4023B9CCAEB3}" keepAlive="1" name="ModelConnection_Additional Points" description="Data Model" type="5" refreshedVersion="8" minRefreshableVersion="5" saveData="1">
    <dbPr connection="Data Model Connection" command="Additional Point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E0240503-FC67-4F2B-B04B-4BE83AC5D27D}" keepAlive="1" name="ModelConnection_Additional_Points_1" description="Data Model" type="5" refreshedVersion="8" minRefreshableVersion="5" saveData="1">
    <dbPr connection="Data Model Connection" command="Additional Points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7DADE0F4-474E-4637-A690-703C9C517D56}" keepAlive="1" name="ModelConnection_Age" description="Data Model" type="5" refreshedVersion="8" minRefreshableVersion="5" saveData="1">
    <dbPr connection="Data Model Connection" command="Age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B7F5AF70-0562-4614-9453-C9B339EFF5E6}" keepAlive="1" name="ModelConnection_Age1" description="Data Model" type="5" refreshedVersion="8" minRefreshableVersion="5" saveData="1">
    <dbPr connection="Data Model Connection" command="Age" commandType="3"/>
    <extLst>
      <ext xmlns:x15="http://schemas.microsoft.com/office/spreadsheetml/2010/11/main" uri="{DE250136-89BD-433C-8126-D09CA5730AF9}">
        <x15:connection id="" model="1"/>
      </ext>
    </extLst>
  </connection>
  <connection id="5" xr16:uid="{71FFA20F-B302-4582-87AB-F45A46D75E09}" keepAlive="1" name="ModelConnection_Canadian experince   Post Secondary Degree" description="Data Model" type="5" refreshedVersion="8" minRefreshableVersion="5" saveData="1">
    <dbPr connection="Data Model Connection" command="Canadian experince   Post Secondary Degree" commandType="3"/>
    <extLst>
      <ext xmlns:x15="http://schemas.microsoft.com/office/spreadsheetml/2010/11/main" uri="{DE250136-89BD-433C-8126-D09CA5730AF9}">
        <x15:connection id="" model="1"/>
      </ext>
    </extLst>
  </connection>
  <connection id="6" xr16:uid="{45A8032B-A6D7-4FE9-AB05-C4D608FC0446}" keepAlive="1" name="ModelConnection_Celpip Table" description="Data Model" type="5" refreshedVersion="8" minRefreshableVersion="5" saveData="1">
    <dbPr connection="Data Model Connection" command="Celpip Table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1FD4F647-88BE-46D5-B0A6-A70E5B523895}" keepAlive="1" name="ModelConnection_Certificate of Qualification" description="Data Model" type="5" refreshedVersion="8" minRefreshableVersion="5" saveData="1">
    <dbPr connection="Data Model Connection" command="Certificate of Qualification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CB4FF26C-3F63-498E-8F67-EDA8B2D66E5B}" keepAlive="1" name="ModelConnection_CLB   Post Secondary Degree" description="Data Model" type="5" refreshedVersion="8" minRefreshableVersion="5" saveData="1">
    <dbPr connection="Data Model Connection" command="CLB   Post Secondary Degre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7319A913-6A6D-486C-8156-926C44392B60}" keepAlive="1" name="ModelConnection_Core Canadian Experince" description="Data Model" type="5" refreshedVersion="8" minRefreshableVersion="5" saveData="1">
    <dbPr connection="Data Model Connection" command="Core Canadian Experince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5AA4F9BE-3DD3-46A6-97E4-DFC941FC4BF7}" keepAlive="1" name="ModelConnection_Core Canadian Experince1" description="Data Model" type="5" refreshedVersion="8" minRefreshableVersion="5" saveData="1">
    <dbPr connection="Data Model Connection" command="Core Canadian Experince" commandType="3"/>
    <extLst>
      <ext xmlns:x15="http://schemas.microsoft.com/office/spreadsheetml/2010/11/main" uri="{DE250136-89BD-433C-8126-D09CA5730AF9}">
        <x15:connection id="" model="1"/>
      </ext>
    </extLst>
  </connection>
  <connection id="11" xr16:uid="{3B4FB14C-2ED4-47C6-A439-FCE4FC3D39E6}" keepAlive="1" name="ModelConnection_First language proficiency" description="Data Model" type="5" refreshedVersion="8" minRefreshableVersion="5" saveData="1">
    <dbPr connection="Data Model Connection" command="First language proficiency" commandType="3"/>
    <extLst>
      <ext xmlns:x15="http://schemas.microsoft.com/office/spreadsheetml/2010/11/main" uri="{DE250136-89BD-433C-8126-D09CA5730AF9}">
        <x15:connection id="" model="1"/>
      </ext>
    </extLst>
  </connection>
  <connection id="12" xr16:uid="{1BF0D0BB-F873-46F5-A045-372E5BDF1F2B}" keepAlive="1" name="ModelConnection_Foreign work experience  Canadian work experience" description="Data Model" type="5" refreshedVersion="8" minRefreshableVersion="5" saveData="1">
    <dbPr connection="Data Model Connection" command="Foreign work experience  Canadian work experience" commandType="3"/>
    <extLst>
      <ext xmlns:x15="http://schemas.microsoft.com/office/spreadsheetml/2010/11/main" uri="{DE250136-89BD-433C-8126-D09CA5730AF9}">
        <x15:connection id="" model="1"/>
      </ext>
    </extLst>
  </connection>
  <connection id="13" xr16:uid="{41447F58-449A-48E5-BCE1-E83C44E9D6C8}" keepAlive="1" name="ModelConnection_Foreign work Experince" description="Data Model" type="5" refreshedVersion="8" minRefreshableVersion="5" saveData="1">
    <dbPr connection="Data Model Connection" command="Foreign work Experince   CLB" commandType="3"/>
    <extLst>
      <ext xmlns:x15="http://schemas.microsoft.com/office/spreadsheetml/2010/11/main" uri="{DE250136-89BD-433C-8126-D09CA5730AF9}">
        <x15:connection id="" model="1"/>
      </ext>
    </extLst>
  </connection>
  <connection id="14" xr16:uid="{DAC61720-0711-499B-B45F-D04B26413A77}" keepAlive="1" name="ModelConnection_IELTS Table" description="Data Model" type="5" refreshedVersion="8" minRefreshableVersion="5" saveData="1">
    <dbPr connection="Data Model Connection" command="IELTS Table" commandType="3"/>
    <extLst>
      <ext xmlns:x15="http://schemas.microsoft.com/office/spreadsheetml/2010/11/main" uri="{DE250136-89BD-433C-8126-D09CA5730AF9}">
        <x15:connection id="" model="1"/>
      </ext>
    </extLst>
  </connection>
  <connection id="15" xr16:uid="{5AFEFF15-AACA-457E-8A26-248A5F3FFB60}" keepAlive="1" name="ModelConnection_Level of Education" description="Data Model" type="5" refreshedVersion="8" minRefreshableVersion="5" saveData="1">
    <dbPr connection="Data Model Connection" command="Level of Education" commandType="3"/>
    <extLst>
      <ext xmlns:x15="http://schemas.microsoft.com/office/spreadsheetml/2010/11/main" uri="{DE250136-89BD-433C-8126-D09CA5730AF9}">
        <x15:connection id="" model="1"/>
      </ext>
    </extLst>
  </connection>
  <connection id="16" xr16:uid="{4D3DF972-A66F-41D9-AA9C-353E7DC5F4C7}" keepAlive="1" name="ModelConnection_Level of Education1" description="Data Model" type="5" refreshedVersion="8" minRefreshableVersion="5" saveData="1">
    <dbPr connection="Data Model Connection" command="Level of Education" commandType="3"/>
    <extLst>
      <ext xmlns:x15="http://schemas.microsoft.com/office/spreadsheetml/2010/11/main" uri="{DE250136-89BD-433C-8126-D09CA5730AF9}">
        <x15:connection id="" model="1"/>
      </ext>
    </extLst>
  </connection>
  <connection id="17" xr16:uid="{2C53442B-FB0A-4F6B-8735-856C14E6A032}" keepAlive="1" name="ModelConnection_PTE Table" description="Data Model" type="5" refreshedVersion="8" minRefreshableVersion="5" saveData="1">
    <dbPr connection="Data Model Connection" command="PTE Table" commandType="3"/>
    <extLst>
      <ext xmlns:x15="http://schemas.microsoft.com/office/spreadsheetml/2010/11/main" uri="{DE250136-89BD-433C-8126-D09CA5730AF9}">
        <x15:connection id="" model="1"/>
      </ext>
    </extLst>
  </connection>
  <connection id="18" xr16:uid="{A588EAD6-F2E2-46FB-A2C0-6021773C9327}" keepAlive="1" name="ModelConnection_Second language proficiency" description="Data Model" type="5" refreshedVersion="8" minRefreshableVersion="5" saveData="1">
    <dbPr connection="Data Model Connection" command="Second language proficiency" commandType="3"/>
    <extLst>
      <ext xmlns:x15="http://schemas.microsoft.com/office/spreadsheetml/2010/11/main" uri="{DE250136-89BD-433C-8126-D09CA5730AF9}">
        <x15:connection id="" model="1"/>
      </ext>
    </extLst>
  </connection>
  <connection id="19" xr16:uid="{6A61538A-9F05-40E1-8EF8-B649ECB5D763}" keepAlive="1" name="ModelConnection_Spouse Canadian Experince" description="Data Model" type="5" refreshedVersion="8" minRefreshableVersion="5" saveData="1">
    <dbPr connection="Data Model Connection" command="Spouse Canadian Experince" commandType="3"/>
    <extLst>
      <ext xmlns:x15="http://schemas.microsoft.com/office/spreadsheetml/2010/11/main" uri="{DE250136-89BD-433C-8126-D09CA5730AF9}">
        <x15:connection id="" model="1"/>
      </ext>
    </extLst>
  </connection>
  <connection id="20" xr16:uid="{4C0032B1-2621-4B07-A665-91BC3C6E948F}" keepAlive="1" name="ModelConnection_Spouse langauge benchmark" description="Data Model" type="5" refreshedVersion="8" minRefreshableVersion="5" saveData="1">
    <dbPr connection="Data Model Connection" command="Spouse langauge benchmark" commandType="3"/>
    <extLst>
      <ext xmlns:x15="http://schemas.microsoft.com/office/spreadsheetml/2010/11/main" uri="{DE250136-89BD-433C-8126-D09CA5730AF9}">
        <x15:connection id="" model="1"/>
      </ext>
    </extLst>
  </connection>
  <connection id="21" xr16:uid="{30D0AB63-9299-4FB1-BF7C-4E67243EF80C}" keepAlive="1" name="ModelConnection_Spouse level of education" description="Data Model" type="5" refreshedVersion="8" minRefreshableVersion="5" saveData="1">
    <dbPr connection="Data Model Connection" command="Spouse level of education" commandType="3"/>
    <extLst>
      <ext xmlns:x15="http://schemas.microsoft.com/office/spreadsheetml/2010/11/main" uri="{DE250136-89BD-433C-8126-D09CA5730AF9}">
        <x15:connection id="" model="1"/>
      </ext>
    </extLst>
  </connection>
  <connection id="22" xr16:uid="{8CC0E168-F1B8-446B-A894-0706B77DCB67}" keepAlive="1" name="ModelConnection_TCF Table" description="Data Model" type="5" refreshedVersion="8" minRefreshableVersion="5" saveData="1">
    <dbPr connection="Data Model Connection" command="TCF Table" commandType="3"/>
    <extLst>
      <ext xmlns:x15="http://schemas.microsoft.com/office/spreadsheetml/2010/11/main" uri="{DE250136-89BD-433C-8126-D09CA5730AF9}">
        <x15:connection id="" model="1"/>
      </ext>
    </extLst>
  </connection>
  <connection id="23" xr16:uid="{0AF90152-37E4-48A9-B78C-B1A80F05AAB4}" keepAlive="1" name="ModelConnection_TEF Table" description="Data Model" type="5" refreshedVersion="8" minRefreshableVersion="5" saveData="1">
    <dbPr connection="Data Model Connection" command="TEF Table" commandType="3"/>
    <extLst>
      <ext xmlns:x15="http://schemas.microsoft.com/office/spreadsheetml/2010/11/main" uri="{DE250136-89BD-433C-8126-D09CA5730AF9}">
        <x15:connection id="" model="1"/>
      </ext>
    </extLst>
  </connection>
  <connection id="24" xr16:uid="{ADA16050-DA09-4B04-970B-56F337D890CF}" name="Query - Additional Points" description="Connection to the 'Additional Points' query in the workbook." type="100" refreshedVersion="8" minRefreshableVersion="5">
    <extLst>
      <ext xmlns:x15="http://schemas.microsoft.com/office/spreadsheetml/2010/11/main" uri="{DE250136-89BD-433C-8126-D09CA5730AF9}">
        <x15:connection id="1483d884-030a-4d08-9587-2e5e9ca88bf0"/>
      </ext>
    </extLst>
  </connection>
  <connection id="25" xr16:uid="{6B83930F-364F-41DD-AC46-B1DD37903BCD}" name="Query - Age" description="Connection to the 'Age' query in the workbook." type="100" refreshedVersion="8" minRefreshableVersion="5">
    <extLst>
      <ext xmlns:x15="http://schemas.microsoft.com/office/spreadsheetml/2010/11/main" uri="{DE250136-89BD-433C-8126-D09CA5730AF9}">
        <x15:connection id="f3034e0b-898e-48ee-ab32-5bf83b27b750"/>
      </ext>
    </extLst>
  </connection>
  <connection id="26" xr16:uid="{39F09AD2-1F28-4CE9-95EA-BCC74B88FE0F}" keepAlive="1" name="Query - Answers" description="Connection to the 'Answers' query in the workbook." type="5" refreshedVersion="0" background="1">
    <dbPr connection="Provider=Microsoft.Mashup.OleDb.1;Data Source=$Workbook$;Location=Answers;Extended Properties=&quot;&quot;" command="SELECT * FROM [Answers]"/>
  </connection>
  <connection id="27" xr16:uid="{5A989CF8-9443-431D-B1B4-A2CAB225A05B}" name="Query - Canadian experince + Post Secondary Degree" description="Connection to the 'Canadian experince + Post Secondary Degree' query in the workbook." type="100" refreshedVersion="8" minRefreshableVersion="5">
    <extLst>
      <ext xmlns:x15="http://schemas.microsoft.com/office/spreadsheetml/2010/11/main" uri="{DE250136-89BD-433C-8126-D09CA5730AF9}">
        <x15:connection id="31f84fc4-4aa6-4dbb-a328-92561a19a861"/>
      </ext>
    </extLst>
  </connection>
  <connection id="28" xr16:uid="{AEA3122A-E392-43A8-A253-3A3B1D429214}" name="Query - Celpip Table" description="Connection to the 'Celpip Table' query in the workbook." type="100" refreshedVersion="8" minRefreshableVersion="5">
    <extLst>
      <ext xmlns:x15="http://schemas.microsoft.com/office/spreadsheetml/2010/11/main" uri="{DE250136-89BD-433C-8126-D09CA5730AF9}">
        <x15:connection id="39765d9a-85d0-4fc1-a8f6-e9d316062605"/>
      </ext>
    </extLst>
  </connection>
  <connection id="29" xr16:uid="{25960D32-524B-431A-A030-1E59630A509C}" name="Query - Certificate of Qualification" description="Connection to the 'Certificate of Qualification' query in the workbook." type="100" refreshedVersion="8" minRefreshableVersion="5">
    <extLst>
      <ext xmlns:x15="http://schemas.microsoft.com/office/spreadsheetml/2010/11/main" uri="{DE250136-89BD-433C-8126-D09CA5730AF9}">
        <x15:connection id="74879279-cb45-438c-9e4d-7951337f9f96"/>
      </ext>
    </extLst>
  </connection>
  <connection id="30" xr16:uid="{D72240C3-9476-426F-9AC1-B035A470CEF5}" name="Query - CLB + Post Secondary Degree" description="Connection to the 'CLB + Post Secondary Degree' query in the workbook." type="100" refreshedVersion="8" minRefreshableVersion="5">
    <extLst>
      <ext xmlns:x15="http://schemas.microsoft.com/office/spreadsheetml/2010/11/main" uri="{DE250136-89BD-433C-8126-D09CA5730AF9}">
        <x15:connection id="f90d47af-8195-4d83-bb5a-6d993b421144"/>
      </ext>
    </extLst>
  </connection>
  <connection id="31" xr16:uid="{6E9056A1-33AC-4517-9B34-C23491A2E440}" name="Query - Core Canadian Experince" description="Connection to the 'Core Canadian Experince' query in the workbook." type="100" refreshedVersion="8" minRefreshableVersion="5">
    <extLst>
      <ext xmlns:x15="http://schemas.microsoft.com/office/spreadsheetml/2010/11/main" uri="{DE250136-89BD-433C-8126-D09CA5730AF9}">
        <x15:connection id="b62156b6-165f-454a-8b26-14379716dfb4"/>
      </ext>
    </extLst>
  </connection>
  <connection id="32" xr16:uid="{8137F9E4-2C5B-4B46-80A5-E60F60D916F5}" name="Query - Core Factors" description="Connection to the 'Core Factors' query in the workbook." type="100" refreshedVersion="8" minRefreshableVersion="5">
    <extLst>
      <ext xmlns:x15="http://schemas.microsoft.com/office/spreadsheetml/2010/11/main" uri="{DE250136-89BD-433C-8126-D09CA5730AF9}">
        <x15:connection id="f8a20641-418e-4b20-ab11-6a1bd9056880"/>
      </ext>
    </extLst>
  </connection>
  <connection id="33" xr16:uid="{46C79558-7001-42EB-A9C6-DB9731001516}" keepAlive="1" name="Query - Displayed Text" description="Connection to the 'Displayed Text' query in the workbook." type="5" refreshedVersion="0" background="1" saveData="1">
    <dbPr connection="Provider=Microsoft.Mashup.OleDb.1;Data Source=$Workbook$;Location=&quot;Displayed Text&quot;;Extended Properties=&quot;&quot;" command="SELECT * FROM [Displayed Text]"/>
  </connection>
  <connection id="34" xr16:uid="{1825E3C9-C101-4721-9EF0-FDAF1BD75C61}" name="Query - First language proficiency" description="Connection to the 'First language proficiency' query in the workbook." type="100" refreshedVersion="8" minRefreshableVersion="5">
    <extLst>
      <ext xmlns:x15="http://schemas.microsoft.com/office/spreadsheetml/2010/11/main" uri="{DE250136-89BD-433C-8126-D09CA5730AF9}">
        <x15:connection id="93080d2a-1aa2-4828-957b-bbd1a07d089d"/>
      </ext>
    </extLst>
  </connection>
  <connection id="35" xr16:uid="{02092545-42EB-41FC-90E4-7F12D6C0BBE0}" name="Query - Foreign work experience +Canadian work experience" description="Connection to the 'Foreign work experience +Canadian work experience' query in the workbook." type="100" refreshedVersion="8" minRefreshableVersion="5">
    <extLst>
      <ext xmlns:x15="http://schemas.microsoft.com/office/spreadsheetml/2010/11/main" uri="{DE250136-89BD-433C-8126-D09CA5730AF9}">
        <x15:connection id="749a1eda-82f8-41f1-9721-4ff68f81f051"/>
      </ext>
    </extLst>
  </connection>
  <connection id="36" xr16:uid="{160D75D2-114E-419F-8EFC-F47632BDD672}" name="Query - Foreign work Experince + CLB" description="Connection to the 'Foreign work Experince + CLB' query in the workbook." type="100" refreshedVersion="8" minRefreshableVersion="5">
    <extLst>
      <ext xmlns:x15="http://schemas.microsoft.com/office/spreadsheetml/2010/11/main" uri="{DE250136-89BD-433C-8126-D09CA5730AF9}">
        <x15:connection id="3d31c479-3487-43d7-9337-3a1ca07c327b"/>
      </ext>
    </extLst>
  </connection>
  <connection id="37" xr16:uid="{C2B7C842-933E-4275-9FD3-04DDCD97BED6}" name="Query - IELTS Table" description="Connection to the 'IELTS Table' query in the workbook." type="100" refreshedVersion="8" minRefreshableVersion="5">
    <extLst>
      <ext xmlns:x15="http://schemas.microsoft.com/office/spreadsheetml/2010/11/main" uri="{DE250136-89BD-433C-8126-D09CA5730AF9}">
        <x15:connection id="5dbc51e1-f0a4-40b8-9d65-1baec07483c5"/>
      </ext>
    </extLst>
  </connection>
  <connection id="38" xr16:uid="{9426C581-3E62-4B42-88F8-8AD13F086C43}" name="Query - Level of Education" description="Connection to the 'Level of Education' query in the workbook." type="100" refreshedVersion="8" minRefreshableVersion="5">
    <extLst>
      <ext xmlns:x15="http://schemas.microsoft.com/office/spreadsheetml/2010/11/main" uri="{DE250136-89BD-433C-8126-D09CA5730AF9}">
        <x15:connection id="e80b696e-d01b-4166-8b01-f918dbf373e9"/>
      </ext>
    </extLst>
  </connection>
  <connection id="39" xr16:uid="{E52F99E2-57D2-4563-8A4A-9DD8A6594A44}" name="Query - PTE Table" description="Connection to the 'PTE Table' query in the workbook." type="100" refreshedVersion="8" minRefreshableVersion="5">
    <extLst>
      <ext xmlns:x15="http://schemas.microsoft.com/office/spreadsheetml/2010/11/main" uri="{DE250136-89BD-433C-8126-D09CA5730AF9}">
        <x15:connection id="7bd84cc5-9e17-427e-845f-c22b88e91ee6"/>
      </ext>
    </extLst>
  </connection>
  <connection id="40" xr16:uid="{6A532EA4-02E8-4299-A567-C1220AC9583B}" keepAlive="1" name="Query - Questions" description="Connection to the 'Questions' query in the workbook." type="5" refreshedVersion="0" background="1">
    <dbPr connection="Provider=Microsoft.Mashup.OleDb.1;Data Source=$Workbook$;Location=Questions;Extended Properties=&quot;&quot;" command="SELECT * FROM [Questions]"/>
  </connection>
  <connection id="41" xr16:uid="{8D4E0201-8335-464B-9C9D-86AEA12E7B8A}" name="Query - Second language proficiency" description="Connection to the 'Second language proficiency' query in the workbook." type="100" refreshedVersion="8" minRefreshableVersion="5">
    <extLst>
      <ext xmlns:x15="http://schemas.microsoft.com/office/spreadsheetml/2010/11/main" uri="{DE250136-89BD-433C-8126-D09CA5730AF9}">
        <x15:connection id="2540a3c8-2c2a-41d2-adf5-6d3234c10636"/>
      </ext>
    </extLst>
  </connection>
  <connection id="42" xr16:uid="{717A564B-9DC3-4ABB-B613-BB608A643DE0}" name="Query - Spouse Canadian Experince" description="Connection to the 'Spouse Canadian Experince' query in the workbook." type="100" refreshedVersion="8" minRefreshableVersion="5">
    <extLst>
      <ext xmlns:x15="http://schemas.microsoft.com/office/spreadsheetml/2010/11/main" uri="{DE250136-89BD-433C-8126-D09CA5730AF9}">
        <x15:connection id="808ade79-aa09-4d2c-9146-bee2cd2d9561"/>
      </ext>
    </extLst>
  </connection>
  <connection id="43" xr16:uid="{0A26C75C-4AD7-43D7-B4E2-A44C1F6DED59}" name="Query - Spouse Factors" description="Connection to the 'Spouse Factors' query in the workbook." type="100" refreshedVersion="8" minRefreshableVersion="5">
    <extLst>
      <ext xmlns:x15="http://schemas.microsoft.com/office/spreadsheetml/2010/11/main" uri="{DE250136-89BD-433C-8126-D09CA5730AF9}">
        <x15:connection id="5d9fdbb6-0245-46c7-b3a8-5be7f819dc3c"/>
      </ext>
    </extLst>
  </connection>
  <connection id="44" xr16:uid="{D8DF4A8C-D098-4C6C-B8D1-B86E480E607A}" name="Query - Spouse langauge benchmark" description="Connection to the 'Spouse langauge benchmark' query in the workbook." type="100" refreshedVersion="8" minRefreshableVersion="5">
    <extLst>
      <ext xmlns:x15="http://schemas.microsoft.com/office/spreadsheetml/2010/11/main" uri="{DE250136-89BD-433C-8126-D09CA5730AF9}">
        <x15:connection id="0999c64e-feee-4311-a2eb-c6a9792e0168"/>
      </ext>
    </extLst>
  </connection>
  <connection id="45" xr16:uid="{183FE5CB-5610-47C8-9E2F-B26754A13D2A}" name="Query - Spouse level of education" description="Connection to the 'Spouse level of education' query in the workbook." type="100" refreshedVersion="8" minRefreshableVersion="5">
    <extLst>
      <ext xmlns:x15="http://schemas.microsoft.com/office/spreadsheetml/2010/11/main" uri="{DE250136-89BD-433C-8126-D09CA5730AF9}">
        <x15:connection id="eee2a56e-2630-4192-8a5a-e785a338764a"/>
      </ext>
    </extLst>
  </connection>
  <connection id="46" xr16:uid="{0AF02D17-2938-46CD-8D4A-9F198A31048C}" name="Query - Table 11" description="Connection to the 'Table 11' query in the workbook." type="100" refreshedVersion="8" minRefreshableVersion="5">
    <extLst>
      <ext xmlns:x15="http://schemas.microsoft.com/office/spreadsheetml/2010/11/main" uri="{DE250136-89BD-433C-8126-D09CA5730AF9}">
        <x15:connection id="e4e66443-5985-4233-93b2-a97c8f3bfd14"/>
      </ext>
    </extLst>
  </connection>
  <connection id="47" xr16:uid="{62743FF0-40FB-4F2E-AAA1-46703B1FF90B}" name="Query - Table 12" description="Connection to the 'Table 12' query in the workbook." type="100" refreshedVersion="8" minRefreshableVersion="5">
    <extLst>
      <ext xmlns:x15="http://schemas.microsoft.com/office/spreadsheetml/2010/11/main" uri="{DE250136-89BD-433C-8126-D09CA5730AF9}">
        <x15:connection id="0d476900-33a9-4ccc-81ab-8dbaf02ace07"/>
      </ext>
    </extLst>
  </connection>
  <connection id="48" xr16:uid="{6DE2F33F-E9B5-4EF9-8D0C-13CEA427DF04}" name="Query - Table 13" description="Connection to the 'Table 13' query in the workbook." type="100" refreshedVersion="8" minRefreshableVersion="5">
    <extLst>
      <ext xmlns:x15="http://schemas.microsoft.com/office/spreadsheetml/2010/11/main" uri="{DE250136-89BD-433C-8126-D09CA5730AF9}">
        <x15:connection id="d62996d3-c332-4b17-bb8b-88263a53e045"/>
      </ext>
    </extLst>
  </connection>
  <connection id="49" xr16:uid="{9F466C3F-E915-4C0C-AA6B-B47E85909690}" name="Query - Table 19" description="Connection to the 'Table 19' query in the workbook." type="100" refreshedVersion="8" minRefreshableVersion="5">
    <extLst>
      <ext xmlns:x15="http://schemas.microsoft.com/office/spreadsheetml/2010/11/main" uri="{DE250136-89BD-433C-8126-D09CA5730AF9}">
        <x15:connection id="0529728f-f14f-4fac-a614-a710b38931f2"/>
      </ext>
    </extLst>
  </connection>
  <connection id="50" xr16:uid="{6683B413-A539-4708-99F8-F850F9EBBADF}" name="Query - Table 5" description="Connection to the 'Table 5' query in the workbook." type="100" refreshedVersion="8" minRefreshableVersion="5">
    <extLst>
      <ext xmlns:x15="http://schemas.microsoft.com/office/spreadsheetml/2010/11/main" uri="{DE250136-89BD-433C-8126-D09CA5730AF9}">
        <x15:connection id="69e56905-1504-4813-966b-9f05f69f218f">
          <x15:oledbPr connection="Provider=Microsoft.Mashup.OleDb.1;Data Source=$Workbook$;Location=&quot;Table 5&quot;;Extended Properties=&quot;&quot;">
            <x15:dbTables>
              <x15:dbTable name="Table 5"/>
            </x15:dbTables>
          </x15:oledbPr>
        </x15:connection>
      </ext>
    </extLst>
  </connection>
  <connection id="51" xr16:uid="{565EF8E2-E94C-4CDD-8719-E40B71E4D30D}" name="Query - TCF Table" description="Connection to the 'TCF Table' query in the workbook." type="100" refreshedVersion="8" minRefreshableVersion="5">
    <extLst>
      <ext xmlns:x15="http://schemas.microsoft.com/office/spreadsheetml/2010/11/main" uri="{DE250136-89BD-433C-8126-D09CA5730AF9}">
        <x15:connection id="db0a49d2-90ca-4dfe-92c3-71c26275e6d7"/>
      </ext>
    </extLst>
  </connection>
  <connection id="52" xr16:uid="{43BEF2AF-F5DC-48B9-AC44-89923B790AE7}" name="Query - TEF Table" description="Connection to the 'TEF Table' query in the workbook." type="100" refreshedVersion="8" minRefreshableVersion="5">
    <extLst>
      <ext xmlns:x15="http://schemas.microsoft.com/office/spreadsheetml/2010/11/main" uri="{DE250136-89BD-433C-8126-D09CA5730AF9}">
        <x15:connection id="50d2f37a-2ae3-497a-9e0f-640f69fccf0d"/>
      </ext>
    </extLst>
  </connection>
  <connection id="53" xr16:uid="{C39C9E05-F3CF-4B94-A352-38607423729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<sst xmlns="http://schemas.openxmlformats.org/spreadsheetml/2006/main" count="641" uniqueCount="340">
  <si>
    <t>CRS:</t>
  </si>
  <si>
    <t>Age</t>
  </si>
  <si>
    <t>Less than secondary school (high school)</t>
  </si>
  <si>
    <t>Bachelor's degree OR  a three or more year program at a university, college, trade or technical school, or other institute</t>
  </si>
  <si>
    <t>Two or more certificates, diplomas, or degrees. One must be for a program of three or more years</t>
  </si>
  <si>
    <t>With a spouse or common-law partner(Maximum 100 points)</t>
  </si>
  <si>
    <t>Without a spouse or common-law partner(Maximum 110 points)</t>
  </si>
  <si>
    <t>17 years of age or less</t>
  </si>
  <si>
    <t>18 years of age</t>
  </si>
  <si>
    <t>19 years of age</t>
  </si>
  <si>
    <t>20 to 29 years of age</t>
  </si>
  <si>
    <t>30 years of age</t>
  </si>
  <si>
    <t>31 years of age</t>
  </si>
  <si>
    <t>32 years of age</t>
  </si>
  <si>
    <t>33 years of age</t>
  </si>
  <si>
    <t>34 years of age</t>
  </si>
  <si>
    <t>35 years of age</t>
  </si>
  <si>
    <t>36 years of age</t>
  </si>
  <si>
    <t>37 years of age</t>
  </si>
  <si>
    <t>38 years of age</t>
  </si>
  <si>
    <t>39 years of age</t>
  </si>
  <si>
    <t>40 years of age</t>
  </si>
  <si>
    <t>41 years of age</t>
  </si>
  <si>
    <t>42 years of age</t>
  </si>
  <si>
    <t>43 years of age</t>
  </si>
  <si>
    <t>44 years of age</t>
  </si>
  <si>
    <t>45 years of age or more</t>
  </si>
  <si>
    <t>CLB 4 or less</t>
  </si>
  <si>
    <t>CLB 5 or 6</t>
  </si>
  <si>
    <t>CLB 7 or 8</t>
  </si>
  <si>
    <t>CLB 9 or more</t>
  </si>
  <si>
    <t>None or less than a year</t>
  </si>
  <si>
    <t>1 year</t>
  </si>
  <si>
    <t>2 years</t>
  </si>
  <si>
    <t>3 years</t>
  </si>
  <si>
    <t>4 years</t>
  </si>
  <si>
    <t>5 years or more</t>
  </si>
  <si>
    <t>With Canadian work experience and a post-secondary degree</t>
  </si>
  <si>
    <t>Canadian work experience</t>
  </si>
  <si>
    <t>With a spouse or common-law partner (Maximum 70 points)</t>
  </si>
  <si>
    <t>Without a spouse or common-law partner (Maximum 80 points)</t>
  </si>
  <si>
    <t>Points for CLB 9 or more on all four first official language abilities(Maximum 50 points)</t>
  </si>
  <si>
    <t>Secondary school (high school) credential or less</t>
  </si>
  <si>
    <t>Post-secondary program credential of one year or longer</t>
  </si>
  <si>
    <t>Two or more post-secondary program credentials AND at least one of these credentials was issued on completion of a post-secondary program of three years or longer</t>
  </si>
  <si>
    <t>A university-level credential at the master’s level or at the level of an entry-to-practice professional degree for an occupation listed in the National Occupational Classification matrix at Skill Level A for which licensing by a provincial regulatory body is required</t>
  </si>
  <si>
    <t>A university-level credential at the doctoral level</t>
  </si>
  <si>
    <t>Points for education + 1 year of Canadian work experience(Maximum 25 points)</t>
  </si>
  <si>
    <t>Points for education + 2 years or more of Canadian work experience(Maximum 50 points)</t>
  </si>
  <si>
    <t>Years of experience</t>
  </si>
  <si>
    <t>No foreign work experience</t>
  </si>
  <si>
    <t>1 or 2 years of foreign work experience</t>
  </si>
  <si>
    <t>3 years or more of foreign work experience</t>
  </si>
  <si>
    <t>Points for foreign work experience + 1 year of Canadian work experience(Maximum 25 points)</t>
  </si>
  <si>
    <t>Points for foreign work experience + 2 years or more of Canadian work experience(Maximum 50 points)</t>
  </si>
  <si>
    <t>Provincial or territorial nomination</t>
  </si>
  <si>
    <t>Additional points</t>
  </si>
  <si>
    <t>Maximum 600 points</t>
  </si>
  <si>
    <t>Brother or sister living in Canada who is a citizen or permanent resident of Canada</t>
  </si>
  <si>
    <t>Scored NCLC 7 or higher on all four French language skills and scored CLB 4 or lower in English (or didn’t take an English test)</t>
  </si>
  <si>
    <t>Scored NCLC 7 or higher on all four French language skills and scored CLB 5 or higher on all four English skills</t>
  </si>
  <si>
    <t>Post-secondary education in Canada - credential of one or two years</t>
  </si>
  <si>
    <t>Post-secondary education in Canada - credential three years or longer</t>
  </si>
  <si>
    <t>With a spouse or common-law partner(Maximum 128 points)</t>
  </si>
  <si>
    <t>Without a spouse or common-law partner(Maximum 136 points)</t>
  </si>
  <si>
    <t>Less than CLB 4</t>
  </si>
  <si>
    <t>CLB 6</t>
  </si>
  <si>
    <t>CLB 7</t>
  </si>
  <si>
    <t>CLB 8</t>
  </si>
  <si>
    <t>CLB 9</t>
  </si>
  <si>
    <t>CLB 10 or more</t>
  </si>
  <si>
    <t>With a spouse or common-law partner (Maximum 22 points)</t>
  </si>
  <si>
    <t>Without a spouse or common-law partner (Maximum 24 points)</t>
  </si>
  <si>
    <t>Level of Education</t>
  </si>
  <si>
    <t>With a spouse or common-law partner(Maximum 140 points)</t>
  </si>
  <si>
    <t>Without a spouse or common-law partner(Maximum 150 points)</t>
  </si>
  <si>
    <t>Secondary diploma (high school graduation)</t>
  </si>
  <si>
    <t>One-year degree, diploma or certificate from  a university, college, trade or technical school, or other institute</t>
  </si>
  <si>
    <t>Two-year program at a university, college, trade or technical school, or other institute</t>
  </si>
  <si>
    <t>Master's degree, OR professional degree needed to practice in a licensed profession (For “professional degree,” the degree program must have been in: medicine, veterinary medicine, dentistry, optometry, law, chiropractic medicine, or pharmacy.)</t>
  </si>
  <si>
    <t>Doctoral level university degree (Ph.D.)</t>
  </si>
  <si>
    <t>Age?</t>
  </si>
  <si>
    <t>Question</t>
  </si>
  <si>
    <t>Answers</t>
  </si>
  <si>
    <t>Points</t>
  </si>
  <si>
    <t>Married?</t>
  </si>
  <si>
    <t>Yes</t>
  </si>
  <si>
    <t>No</t>
  </si>
  <si>
    <t>Study In Canada</t>
  </si>
  <si>
    <t>Highest level of education?</t>
  </si>
  <si>
    <t>L</t>
  </si>
  <si>
    <t>S</t>
  </si>
  <si>
    <t>R</t>
  </si>
  <si>
    <t>W</t>
  </si>
  <si>
    <t>language Tests</t>
  </si>
  <si>
    <t>CELPIP -G</t>
  </si>
  <si>
    <t>IELTS</t>
  </si>
  <si>
    <t>PTE Core</t>
  </si>
  <si>
    <t>TEF Canada</t>
  </si>
  <si>
    <t>TCF Canada</t>
  </si>
  <si>
    <t>First language proficiency</t>
  </si>
  <si>
    <t>Second language proficiency</t>
  </si>
  <si>
    <t>First Language CLB?</t>
  </si>
  <si>
    <t>Second Launguage CLB?</t>
  </si>
  <si>
    <t>CLB Scores First Language</t>
  </si>
  <si>
    <t>CLB Scores Second Language</t>
  </si>
  <si>
    <t>None</t>
  </si>
  <si>
    <t>Points for foreign work experience + CLB 7 or more on all first official language abilities, one or</t>
  </si>
  <si>
    <t>Points for foreign work experience + CLB 9 or more on all four first official language abilities(Max</t>
  </si>
  <si>
    <t>With good official language proficiency (Canadian Language Benchmark Level [CLB] 7 or higher) and a</t>
  </si>
  <si>
    <t>Points for CLB 7 or more on all first official language abilities, with one or more under CLB 9(Maxi</t>
  </si>
  <si>
    <t>Degree + CLB</t>
  </si>
  <si>
    <t>Education Comparison</t>
  </si>
  <si>
    <t>Comparision</t>
  </si>
  <si>
    <t>Name</t>
  </si>
  <si>
    <t>CADEXP&gt;=2</t>
  </si>
  <si>
    <t>CADEXP&gt;=1</t>
  </si>
  <si>
    <t>Core Factors</t>
  </si>
  <si>
    <t>Degree + CadExp</t>
  </si>
  <si>
    <t>Abilities</t>
  </si>
  <si>
    <t>Foreign Work Experience?</t>
  </si>
  <si>
    <t>Canadian Work Experince?</t>
  </si>
  <si>
    <t xml:space="preserve">Skill Transferability </t>
  </si>
  <si>
    <t>Foreign Experience + CLB</t>
  </si>
  <si>
    <t>Foreign Experience + CadExp</t>
  </si>
  <si>
    <t>Spouse Factors</t>
  </si>
  <si>
    <t>Spouse's Canadian work experience</t>
  </si>
  <si>
    <t>Maximum 10 points</t>
  </si>
  <si>
    <t>Without spouse or common-law partner              (Does not apply)</t>
  </si>
  <si>
    <t>Canadian Language Benchmark (CLB) level per ability (reading, writing, speaking and listening)</t>
  </si>
  <si>
    <t>Maximum 20 points for section             Maximum 5 points per ability</t>
  </si>
  <si>
    <t>Spouse’s or common-law partner’s level of education</t>
  </si>
  <si>
    <t>With spouse or common-law partner(Maximum 10 points)</t>
  </si>
  <si>
    <t>Without spouse or common-law partner(Does not apply)</t>
  </si>
  <si>
    <t>Secondary school (high school graduation)</t>
  </si>
  <si>
    <t>One-year program at a university, college, trade or technical school, or other institute</t>
  </si>
  <si>
    <t>Two-year program at a university, college, trade or technical in school, or other institute</t>
  </si>
  <si>
    <t>Master's degree, or professional degree needed to practice in a licensed profession (For “professional degree”, the degree program must have been in: medicine, veterinary medicine, dentistry, optometry, law, chiropractic medicine, or pharmacy.)</t>
  </si>
  <si>
    <t>Doctoral level university degree (PhD)</t>
  </si>
  <si>
    <t>IsMarried?</t>
  </si>
  <si>
    <t>Married</t>
  </si>
  <si>
    <t>Spouse CLB</t>
  </si>
  <si>
    <t>Spouse Education</t>
  </si>
  <si>
    <t>Spouse Experince</t>
  </si>
  <si>
    <t>PNP?</t>
  </si>
  <si>
    <t>Sibling In Canada?</t>
  </si>
  <si>
    <t>Study in Canada?</t>
  </si>
  <si>
    <t>Additional Points</t>
  </si>
  <si>
    <t>Provincial Nomination</t>
  </si>
  <si>
    <t>Study in Canada</t>
  </si>
  <si>
    <t>Sibling in Canada</t>
  </si>
  <si>
    <t>French Language Skills</t>
  </si>
  <si>
    <t>Certificate of qualification (trade occupations) – With good official language proficiency (Canadian</t>
  </si>
  <si>
    <t>Points for certificate of qualification + CLB 5 or more on all first official language abilities, on</t>
  </si>
  <si>
    <t>Points for certificate of qualification + CLB 7 or more on all four first official language abilitie</t>
  </si>
  <si>
    <t>With a certificate of qualification</t>
  </si>
  <si>
    <t>Certificate of Qualification</t>
  </si>
  <si>
    <t>Certificate Of Qualification</t>
  </si>
  <si>
    <t>Formula Test</t>
  </si>
  <si>
    <t>CLB 4</t>
  </si>
  <si>
    <t>CLB 5</t>
  </si>
  <si>
    <t>Second Language List</t>
  </si>
  <si>
    <t>English Language Exams</t>
  </si>
  <si>
    <t>French Language Exams</t>
  </si>
  <si>
    <t>All Language</t>
  </si>
  <si>
    <t>Language Test</t>
  </si>
  <si>
    <t>CLB 4 or 5</t>
  </si>
  <si>
    <t>CLB level</t>
  </si>
  <si>
    <t>Reading</t>
  </si>
  <si>
    <t>Writing</t>
  </si>
  <si>
    <t>Listening</t>
  </si>
  <si>
    <t>Speaking</t>
  </si>
  <si>
    <t>Celpip</t>
  </si>
  <si>
    <t>PTE</t>
  </si>
  <si>
    <t>88-90</t>
  </si>
  <si>
    <t>90</t>
  </si>
  <si>
    <t>89-90</t>
  </si>
  <si>
    <t>78-87</t>
  </si>
  <si>
    <t>88-89</t>
  </si>
  <si>
    <t>82-88</t>
  </si>
  <si>
    <t>84-88</t>
  </si>
  <si>
    <t>69-77</t>
  </si>
  <si>
    <t>79-87</t>
  </si>
  <si>
    <t>71-81</t>
  </si>
  <si>
    <t>76-83</t>
  </si>
  <si>
    <t>60-68</t>
  </si>
  <si>
    <t>69-78</t>
  </si>
  <si>
    <t>60-70</t>
  </si>
  <si>
    <t>68-75</t>
  </si>
  <si>
    <t>51-59</t>
  </si>
  <si>
    <t>50-59</t>
  </si>
  <si>
    <t>59-67</t>
  </si>
  <si>
    <t>42-50</t>
  </si>
  <si>
    <t>39-49</t>
  </si>
  <si>
    <t>51-58</t>
  </si>
  <si>
    <t>33-41</t>
  </si>
  <si>
    <t>41-50</t>
  </si>
  <si>
    <t>28-38</t>
  </si>
  <si>
    <t>TEF</t>
  </si>
  <si>
    <t>NCLC level</t>
  </si>
  <si>
    <t>546-699</t>
  </si>
  <si>
    <t>558-699</t>
  </si>
  <si>
    <t>556-699</t>
  </si>
  <si>
    <t>503-545</t>
  </si>
  <si>
    <t>512-557</t>
  </si>
  <si>
    <t>518-555</t>
  </si>
  <si>
    <t>462-502</t>
  </si>
  <si>
    <t>472-511</t>
  </si>
  <si>
    <t>494-517</t>
  </si>
  <si>
    <t>434-461</t>
  </si>
  <si>
    <t>428-471</t>
  </si>
  <si>
    <t>456-493</t>
  </si>
  <si>
    <t>393-433</t>
  </si>
  <si>
    <t>379-427</t>
  </si>
  <si>
    <t>422-455</t>
  </si>
  <si>
    <t>352-392</t>
  </si>
  <si>
    <t>330-378</t>
  </si>
  <si>
    <t>387-421</t>
  </si>
  <si>
    <t>306-351</t>
  </si>
  <si>
    <t>268-329</t>
  </si>
  <si>
    <t>328-386</t>
  </si>
  <si>
    <t>549-699</t>
  </si>
  <si>
    <t>16-20</t>
  </si>
  <si>
    <t>524-548</t>
  </si>
  <si>
    <t>14-15</t>
  </si>
  <si>
    <t>523-548</t>
  </si>
  <si>
    <t>499-523</t>
  </si>
  <si>
    <t>12-13</t>
  </si>
  <si>
    <t>503-522</t>
  </si>
  <si>
    <t>453-498</t>
  </si>
  <si>
    <t>10-11</t>
  </si>
  <si>
    <t>458-502</t>
  </si>
  <si>
    <t>406-452</t>
  </si>
  <si>
    <t>7-9</t>
  </si>
  <si>
    <t>398-457</t>
  </si>
  <si>
    <t>375-405</t>
  </si>
  <si>
    <t>6</t>
  </si>
  <si>
    <t>369-397</t>
  </si>
  <si>
    <t>342-374</t>
  </si>
  <si>
    <t>4-5</t>
  </si>
  <si>
    <t>331-368</t>
  </si>
  <si>
    <t>TCF</t>
  </si>
  <si>
    <t>Data Validation Tables</t>
  </si>
  <si>
    <t>First Language</t>
  </si>
  <si>
    <t>Second Language</t>
  </si>
  <si>
    <t>Spouse First Language</t>
  </si>
  <si>
    <t>Current CLB Equivalent From Selection</t>
  </si>
  <si>
    <t>0-3</t>
  </si>
  <si>
    <t>10-12</t>
  </si>
  <si>
    <t>Current Values</t>
  </si>
  <si>
    <t>Test Names</t>
  </si>
  <si>
    <t>CLB Values Based On Points</t>
  </si>
  <si>
    <t>Values for Combined Comparision</t>
  </si>
  <si>
    <t>English</t>
  </si>
  <si>
    <t>French</t>
  </si>
  <si>
    <t>CRS Language types</t>
  </si>
  <si>
    <t>French Additional Points</t>
  </si>
  <si>
    <t>Language Exam</t>
  </si>
  <si>
    <t>Second Exam</t>
  </si>
  <si>
    <t>Canadian Exp</t>
  </si>
  <si>
    <t>Current Value</t>
  </si>
  <si>
    <t>Overview</t>
  </si>
  <si>
    <t>Foreign Experince + CLB</t>
  </si>
  <si>
    <t>Foreign Experince + Canadian Experince</t>
  </si>
  <si>
    <t>Degree + Canadian experince</t>
  </si>
  <si>
    <t>Current Points</t>
  </si>
  <si>
    <t>Maximum Points</t>
  </si>
  <si>
    <t>Highest Level Of Education</t>
  </si>
  <si>
    <t>Additional Points : Max Cap(600)</t>
  </si>
  <si>
    <t>Foreign Work Experince : Max Cap(50)</t>
  </si>
  <si>
    <t>Education : Max Cap(50)</t>
  </si>
  <si>
    <t>Core Metrics</t>
  </si>
  <si>
    <t>Spouse Metrics</t>
  </si>
  <si>
    <t>Cad Experince</t>
  </si>
  <si>
    <t>Difference</t>
  </si>
  <si>
    <t>Max Value</t>
  </si>
  <si>
    <t>CRS CALCULATOR</t>
  </si>
  <si>
    <t>AGE Table</t>
  </si>
  <si>
    <t>Value</t>
  </si>
  <si>
    <t>With a common-law partner</t>
  </si>
  <si>
    <t>Without  common-law partner</t>
  </si>
  <si>
    <t>Get points formuls</t>
  </si>
  <si>
    <t>Only Used for Combined Calulations like CLB + Degree and French Points</t>
  </si>
  <si>
    <t>Current points</t>
  </si>
  <si>
    <t>Improved Points</t>
  </si>
  <si>
    <t>CLB</t>
  </si>
  <si>
    <t>Can be Improved?</t>
  </si>
  <si>
    <t>Score Difference</t>
  </si>
  <si>
    <t xml:space="preserve">Current </t>
  </si>
  <si>
    <t xml:space="preserve">Max </t>
  </si>
  <si>
    <t>Second language</t>
  </si>
  <si>
    <t>Program credential of one year or longer</t>
  </si>
  <si>
    <t>CLB 7 Or More In All Four Ability</t>
  </si>
  <si>
    <t>CLB 9 Or More In All Four Ability</t>
  </si>
  <si>
    <t>Master Degree</t>
  </si>
  <si>
    <t>A Credential at the doctoral level</t>
  </si>
  <si>
    <t>High school or less</t>
  </si>
  <si>
    <t>Two or more  program credentials</t>
  </si>
  <si>
    <t>1 or 2 years</t>
  </si>
  <si>
    <t>3 years or more</t>
  </si>
  <si>
    <t>One-year degree, diploma or certificate</t>
  </si>
  <si>
    <t>Two or more certificates, diplomas, or degrees</t>
  </si>
  <si>
    <t>Bachelor's degree OR  a three or more year program</t>
  </si>
  <si>
    <t>Two-year program at a university, college</t>
  </si>
  <si>
    <t>Master's degree</t>
  </si>
  <si>
    <t>Education</t>
  </si>
  <si>
    <t>Improvements</t>
  </si>
  <si>
    <t>Markers For Chart</t>
  </si>
  <si>
    <t>Original Description</t>
  </si>
  <si>
    <t>Cad WKEXP</t>
  </si>
  <si>
    <t>Current Experince</t>
  </si>
  <si>
    <t>Index For Chart</t>
  </si>
  <si>
    <t>Canadian Experience</t>
  </si>
  <si>
    <t>Your Points</t>
  </si>
  <si>
    <t>Your Points for Education Level</t>
  </si>
  <si>
    <t>Original</t>
  </si>
  <si>
    <t>Skill Transferability</t>
  </si>
  <si>
    <t>For Chart</t>
  </si>
  <si>
    <t> 1 year of Canadian work experience</t>
  </si>
  <si>
    <t> 2 years or more of Canadian work experience</t>
  </si>
  <si>
    <t>Chart Switcher:</t>
  </si>
  <si>
    <t>Secondary School Or less</t>
  </si>
  <si>
    <t xml:space="preserve"> 7.5-9</t>
  </si>
  <si>
    <t>8.5-9</t>
  </si>
  <si>
    <t>8.0-9</t>
  </si>
  <si>
    <t>Level Of Education</t>
  </si>
  <si>
    <t>Select</t>
  </si>
  <si>
    <t>Spouse Points</t>
  </si>
  <si>
    <t xml:space="preserve"> </t>
  </si>
  <si>
    <t>Original Data From Connection</t>
  </si>
  <si>
    <t>Data From Data Validation</t>
  </si>
  <si>
    <t>Chart Selector Data</t>
  </si>
  <si>
    <t>Default Value</t>
  </si>
  <si>
    <t>Data Validation Drop Down's</t>
  </si>
  <si>
    <t>Official Score Tables</t>
  </si>
  <si>
    <t>More Formulas in the Name Manager</t>
  </si>
  <si>
    <t xml:space="preserve">Overview </t>
  </si>
  <si>
    <t>KPI's and Chart Data</t>
  </si>
  <si>
    <t>Index</t>
  </si>
  <si>
    <t>First language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</si>
</sst>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2" tint="-0.89999084444715716"/>
      <name val="Calibri"/>
      <family val="2"/>
      <scheme val="minor"/>
    </font>
    <font>
      <b/>
      <sz val="11"/>
      <color theme="2" tint="-0.89999084444715716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rgb="FFFFFFFF"/>
      <name val="Bierstadt Display"/>
      <family val="2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2" borderId="20" xfId="0" applyFill="1" applyBorder="1"/>
    <xf numFmtId="0" fontId="0" fillId="0" borderId="20" xfId="0" applyBorder="1" applyAlignment="1">
      <alignment horizontal="left"/>
    </xf>
    <xf numFmtId="0" fontId="0" fillId="2" borderId="20" xfId="0" applyFill="1" applyBorder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/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7" xfId="0" applyBorder="1"/>
    <xf numFmtId="0" fontId="0" fillId="0" borderId="1" xfId="0" applyBorder="1"/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6" fillId="0" borderId="0" xfId="0" applyFont="1"/>
    <xf numFmtId="0" fontId="0" fillId="0" borderId="8" xfId="0" applyBorder="1"/>
    <xf numFmtId="0" fontId="0" fillId="0" borderId="7" xfId="0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0" xfId="0" applyFont="1" applyAlignment="1">
      <alignment horizontal="center"/>
    </xf>
    <xf numFmtId="0" fontId="0" fillId="0" borderId="6" xfId="0" applyBorder="1"/>
    <xf numFmtId="0" fontId="0" fillId="0" borderId="9" xfId="0" applyBorder="1"/>
    <xf numFmtId="0" fontId="0" fillId="0" borderId="29" xfId="0" applyBorder="1" applyAlignment="1">
      <alignment horizontal="center"/>
    </xf>
    <xf numFmtId="0" fontId="7" fillId="0" borderId="0" xfId="0" applyFont="1" applyAlignment="1">
      <alignment horizontal="right" vertical="center"/>
    </xf>
    <xf numFmtId="0" fontId="7" fillId="0" borderId="0" xfId="0" applyFont="1" applyAlignment="1">
      <alignment horizontal="left" vertical="center"/>
    </xf>
    <xf numFmtId="0" fontId="4" fillId="0" borderId="0" xfId="0" applyFont="1" applyAlignment="1">
      <alignment horizontal="right"/>
    </xf>
    <xf numFmtId="0" fontId="5" fillId="0" borderId="4" xfId="0" applyFont="1" applyBorder="1" applyAlignment="1">
      <alignment horizontal="center"/>
    </xf>
    <xf numFmtId="0" fontId="0" fillId="3" borderId="5" xfId="0" applyFill="1" applyBorder="1"/>
    <xf numFmtId="0" fontId="0" fillId="3" borderId="6" xfId="0" applyFill="1" applyBorder="1" applyAlignment="1">
      <alignment horizontal="right"/>
    </xf>
    <xf numFmtId="0" fontId="0" fillId="3" borderId="5" xfId="0" applyFill="1" applyBorder="1" applyAlignment="1">
      <alignment horizontal="left"/>
    </xf>
    <xf numFmtId="0" fontId="0" fillId="3" borderId="7" xfId="0" applyFill="1" applyBorder="1"/>
    <xf numFmtId="0" fontId="0" fillId="3" borderId="9" xfId="0" applyFill="1" applyBorder="1" applyAlignment="1">
      <alignment horizontal="right"/>
    </xf>
    <xf numFmtId="0" fontId="0" fillId="3" borderId="1" xfId="0" applyFill="1" applyBorder="1"/>
    <xf numFmtId="0" fontId="0" fillId="3" borderId="2" xfId="0" applyFill="1" applyBorder="1"/>
    <xf numFmtId="0" fontId="10" fillId="0" borderId="1" xfId="0" applyFont="1" applyBorder="1"/>
    <xf numFmtId="0" fontId="10" fillId="0" borderId="1" xfId="0" applyFont="1" applyBorder="1" applyAlignment="1">
      <alignment horizontal="center"/>
    </xf>
    <xf numFmtId="0" fontId="11" fillId="0" borderId="1" xfId="0" applyFont="1" applyBorder="1"/>
    <xf numFmtId="0" fontId="10" fillId="0" borderId="5" xfId="0" applyFont="1" applyBorder="1"/>
    <xf numFmtId="0" fontId="10" fillId="0" borderId="6" xfId="0" applyFont="1" applyBorder="1"/>
    <xf numFmtId="0" fontId="10" fillId="0" borderId="7" xfId="0" applyFont="1" applyBorder="1"/>
    <xf numFmtId="0" fontId="10" fillId="0" borderId="8" xfId="0" applyFont="1" applyBorder="1"/>
    <xf numFmtId="0" fontId="10" fillId="0" borderId="9" xfId="0" applyFont="1" applyBorder="1"/>
    <xf numFmtId="0" fontId="11" fillId="4" borderId="6" xfId="0" applyFont="1" applyFill="1" applyBorder="1"/>
    <xf numFmtId="0" fontId="10" fillId="0" borderId="0" xfId="0" applyFont="1"/>
    <xf numFmtId="0" fontId="11" fillId="4" borderId="1" xfId="0" applyFont="1" applyFill="1" applyBorder="1"/>
    <xf numFmtId="0" fontId="10" fillId="0" borderId="6" xfId="0" applyFont="1" applyBorder="1" applyAlignment="1">
      <alignment horizontal="center"/>
    </xf>
    <xf numFmtId="0" fontId="0" fillId="0" borderId="2" xfId="0" applyBorder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8" xfId="0" applyFill="1" applyBorder="1" applyAlignment="1" applyProtection="1">
      <alignment horizontal="center"/>
      <protection locked="0"/>
    </xf>
    <xf numFmtId="0" fontId="13" fillId="4" borderId="26" xfId="0" applyFont="1" applyFill="1" applyBorder="1" applyAlignment="1" applyProtection="1">
      <alignment horizontal="center"/>
      <protection locked="0"/>
    </xf>
    <xf numFmtId="0" fontId="7" fillId="0" borderId="0" xfId="0" applyFont="1" applyAlignment="1">
      <alignment vertical="center"/>
    </xf>
    <xf numFmtId="0" fontId="13" fillId="4" borderId="0" xfId="0" applyFont="1" applyFill="1" applyAlignment="1">
      <alignment horizontal="right"/>
    </xf>
    <xf numFmtId="0" fontId="13" fillId="4" borderId="0" xfId="0" applyFont="1" applyFill="1" applyAlignment="1" applyProtection="1">
      <alignment horizontal="center"/>
      <protection locked="0"/>
    </xf>
    <xf numFmtId="0" fontId="2" fillId="3" borderId="7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4" borderId="25" xfId="0" applyFont="1" applyFill="1" applyBorder="1" applyAlignment="1">
      <alignment vertical="center"/>
    </xf>
    <xf numFmtId="0" fontId="7" fillId="4" borderId="24" xfId="0" applyFont="1" applyFill="1" applyBorder="1" applyAlignment="1">
      <alignment horizontal="right" vertical="center"/>
    </xf>
    <xf numFmtId="0" fontId="7" fillId="4" borderId="26" xfId="0" applyFont="1" applyFill="1" applyBorder="1" applyAlignment="1">
      <alignment horizontal="right" vertical="center"/>
    </xf>
    <xf numFmtId="0" fontId="5" fillId="0" borderId="0" xfId="0" applyFont="1"/>
    <xf numFmtId="0" fontId="2" fillId="3" borderId="8" xfId="0" applyFont="1" applyFill="1" applyBorder="1" applyAlignment="1">
      <alignment horizontal="center" vertical="center"/>
    </xf>
    <xf numFmtId="0" fontId="0" fillId="3" borderId="13" xfId="0" applyFill="1" applyBorder="1" applyAlignment="1" applyProtection="1">
      <alignment horizontal="center"/>
      <protection locked="0"/>
    </xf>
    <xf numFmtId="0" fontId="0" fillId="3" borderId="14" xfId="0" applyFill="1" applyBorder="1" applyAlignment="1" applyProtection="1">
      <alignment horizontal="center"/>
      <protection locked="0"/>
    </xf>
    <xf numFmtId="0" fontId="0" fillId="3" borderId="15" xfId="0" applyFill="1" applyBorder="1" applyAlignment="1" applyProtection="1">
      <alignment horizontal="center"/>
      <protection locked="0"/>
    </xf>
    <xf numFmtId="0" fontId="7" fillId="0" borderId="0" xfId="0" applyFont="1" applyAlignment="1">
      <alignment horizontal="center" vertical="center"/>
    </xf>
    <xf numFmtId="0" fontId="13" fillId="4" borderId="24" xfId="0" applyFont="1" applyFill="1" applyBorder="1" applyAlignment="1">
      <alignment horizontal="right"/>
    </xf>
    <xf numFmtId="0" fontId="13" fillId="4" borderId="25" xfId="0" applyFont="1" applyFill="1" applyBorder="1" applyAlignment="1">
      <alignment horizontal="right"/>
    </xf>
    <xf numFmtId="0" fontId="0" fillId="4" borderId="42" xfId="0" applyFill="1" applyBorder="1" applyAlignment="1">
      <alignment horizontal="center"/>
    </xf>
    <xf numFmtId="0" fontId="0" fillId="4" borderId="25" xfId="0" applyFill="1" applyBorder="1" applyAlignment="1">
      <alignment horizontal="center"/>
    </xf>
    <xf numFmtId="0" fontId="0" fillId="4" borderId="24" xfId="0" applyFill="1" applyBorder="1" applyAlignment="1">
      <alignment horizontal="center"/>
    </xf>
    <xf numFmtId="0" fontId="0" fillId="4" borderId="43" xfId="0" applyFill="1" applyBorder="1" applyAlignment="1">
      <alignment horizontal="center"/>
    </xf>
    <xf numFmtId="0" fontId="5" fillId="0" borderId="44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3" fillId="3" borderId="19" xfId="0" applyFont="1" applyFill="1" applyBorder="1" applyAlignment="1">
      <alignment horizontal="center"/>
    </xf>
    <xf numFmtId="0" fontId="3" fillId="3" borderId="14" xfId="0" applyFont="1" applyFill="1" applyBorder="1" applyAlignment="1">
      <alignment horizontal="center"/>
    </xf>
    <xf numFmtId="0" fontId="3" fillId="3" borderId="30" xfId="0" applyFont="1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8" xfId="0" applyFill="1" applyBorder="1" applyAlignment="1" applyProtection="1">
      <alignment horizontal="center"/>
      <protection locked="0"/>
    </xf>
    <xf numFmtId="0" fontId="3" fillId="3" borderId="10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2" fillId="3" borderId="19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3" fillId="3" borderId="41" xfId="0" applyFont="1" applyFill="1" applyBorder="1" applyAlignment="1">
      <alignment horizontal="center"/>
    </xf>
    <xf numFmtId="0" fontId="3" fillId="3" borderId="39" xfId="0" applyFont="1" applyFill="1" applyBorder="1" applyAlignment="1">
      <alignment horizontal="center"/>
    </xf>
    <xf numFmtId="0" fontId="3" fillId="3" borderId="40" xfId="0" applyFont="1" applyFill="1" applyBorder="1" applyAlignment="1">
      <alignment horizontal="center"/>
    </xf>
    <xf numFmtId="0" fontId="0" fillId="3" borderId="21" xfId="0" applyFill="1" applyBorder="1" applyAlignment="1" applyProtection="1">
      <alignment horizontal="center"/>
      <protection locked="0"/>
    </xf>
    <xf numFmtId="0" fontId="0" fillId="3" borderId="11" xfId="0" applyFill="1" applyBorder="1" applyAlignment="1" applyProtection="1">
      <alignment horizontal="center"/>
      <protection locked="0"/>
    </xf>
    <xf numFmtId="0" fontId="0" fillId="3" borderId="12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8" fillId="0" borderId="0" xfId="0" applyFont="1" applyAlignment="1">
      <alignment horizontal="center"/>
    </xf>
    <xf numFmtId="0" fontId="8" fillId="0" borderId="36" xfId="0" applyFont="1" applyBorder="1" applyAlignment="1">
      <alignment horizontal="center" textRotation="90"/>
    </xf>
    <xf numFmtId="0" fontId="8" fillId="0" borderId="37" xfId="0" applyFont="1" applyBorder="1" applyAlignment="1">
      <alignment horizontal="center" textRotation="90"/>
    </xf>
    <xf numFmtId="0" fontId="8" fillId="0" borderId="38" xfId="0" applyFont="1" applyBorder="1" applyAlignment="1">
      <alignment horizontal="center" textRotation="90"/>
    </xf>
    <xf numFmtId="0" fontId="10" fillId="0" borderId="1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2" xfId="0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0" fontId="10" fillId="0" borderId="33" xfId="0" applyFont="1" applyBorder="1" applyAlignment="1">
      <alignment horizontal="center"/>
    </xf>
    <xf numFmtId="0" fontId="10" fillId="0" borderId="34" xfId="0" applyFont="1" applyBorder="1" applyAlignment="1">
      <alignment horizontal="center"/>
    </xf>
    <xf numFmtId="0" fontId="10" fillId="0" borderId="35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1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" xfId="0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4" xfId="0" applyBorder="1"/>
    <xf numFmtId="0" fontId="0" fillId="0" borderId="41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left"/>
    </xf>
    <xf numFmtId="0" fontId="15" fillId="0" borderId="0" xfId="0" applyFont="1" applyFill="1" applyAlignment="1">
      <alignment horizontal="center"/>
    </xf>
    <xf numFmtId="0" fontId="0" fillId="0" borderId="1" xfId="0" applyFill="1" applyBorder="1"/>
    <xf numFmtId="0" fontId="0" fillId="0" borderId="1" xfId="0" applyFill="1" applyBorder="1" applyAlignment="1">
      <alignment horizontal="left"/>
    </xf>
    <xf numFmtId="0" fontId="0" fillId="0" borderId="13" xfId="0" applyFill="1" applyBorder="1"/>
    <xf numFmtId="0" fontId="0" fillId="0" borderId="45" xfId="0" applyFill="1" applyBorder="1"/>
    <xf numFmtId="0" fontId="0" fillId="0" borderId="46" xfId="0" applyFill="1" applyBorder="1"/>
    <xf numFmtId="0" fontId="0" fillId="0" borderId="46" xfId="0" applyFill="1" applyBorder="1" applyAlignment="1">
      <alignment horizontal="left"/>
    </xf>
    <xf numFmtId="0" fontId="0" fillId="0" borderId="47" xfId="0" applyFill="1" applyBorder="1"/>
    <xf numFmtId="0" fontId="12" fillId="0" borderId="1" xfId="0" applyFont="1" applyFill="1" applyBorder="1"/>
    <xf numFmtId="0" fontId="0" fillId="0" borderId="3" xfId="0" applyBorder="1"/>
    <xf numFmtId="0" fontId="0" fillId="0" borderId="8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1" xfId="0" applyBorder="1"/>
    <xf numFmtId="0" fontId="0" fillId="0" borderId="48" xfId="0" applyBorder="1"/>
    <xf numFmtId="0" fontId="16" fillId="0" borderId="49" xfId="0" applyFont="1" applyBorder="1" applyAlignment="1">
      <alignment horizontal="center"/>
    </xf>
    <xf numFmtId="0" fontId="16" fillId="0" borderId="31" xfId="0" applyFont="1" applyBorder="1" applyAlignment="1">
      <alignment horizontal="center"/>
    </xf>
    <xf numFmtId="0" fontId="16" fillId="0" borderId="48" xfId="0" applyFont="1" applyBorder="1" applyAlignment="1">
      <alignment horizontal="center"/>
    </xf>
    <xf numFmtId="0" fontId="16" fillId="0" borderId="50" xfId="0" applyFont="1" applyBorder="1" applyAlignment="1">
      <alignment horizontal="center"/>
    </xf>
    <xf numFmtId="0" fontId="16" fillId="0" borderId="44" xfId="0" applyFont="1" applyBorder="1" applyAlignment="1">
      <alignment horizontal="center"/>
    </xf>
    <xf numFmtId="0" fontId="16" fillId="0" borderId="51" xfId="0" applyFont="1" applyBorder="1" applyAlignment="1">
      <alignment horizontal="center"/>
    </xf>
    <xf numFmtId="0" fontId="0" fillId="0" borderId="0" xfId="0" applyFill="1" applyBorder="1"/>
    <xf numFmtId="0" fontId="9" fillId="0" borderId="1" xfId="0" applyFont="1" applyBorder="1"/>
    <xf numFmtId="0" fontId="0" fillId="0" borderId="1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5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0" xfId="0" applyFill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9" fillId="0" borderId="1" xfId="0" applyFont="1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21" xfId="0" applyFill="1" applyBorder="1"/>
    <xf numFmtId="0" fontId="0" fillId="0" borderId="34" xfId="0" applyFill="1" applyBorder="1"/>
  </cellXfs>
  <cellStyles count="1">
    <cellStyle name="Normal" xfId="0" builtinId="0"/>
  </cellStyles>
  <dxfs count="55"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9" tint="0.39997558519241921"/>
        </left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</dxfs>
  <tableStyles count="0" defaultTableStyle="TableStyleMedium2" defaultPivotStyle="PivotStyleLight16"/>
  <colors>
    <mruColors>
      <color rgb="FF1C1C1C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Core Metrics</a:t>
            </a:r>
            <a:r>
              <a:rPr lang="en-US" baseline="0"/>
              <a:t> : </a:t>
            </a:r>
            <a:r>
              <a:rPr lang="en-US"/>
              <a:t>Current Vs Max Points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'KPI''s'!$C$10</c:f>
              <c:strCache>
                <c:ptCount val="1"/>
                <c:pt idx="0">
                  <c:v>Current Points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'KPI''s'!$A$12:$A$20</c:f>
              <c:strCache>
                <c:ptCount val="9"/>
                <c:pt idx="0">
                  <c:v>Age</c:v>
                </c:pt>
                <c:pt idx="1">
                  <c:v>Language Exam</c:v>
                </c:pt>
                <c:pt idx="2">
                  <c:v>Second Exam</c:v>
                </c:pt>
                <c:pt idx="3">
                  <c:v>Canadian Exp</c:v>
                </c:pt>
                <c:pt idx="4">
                  <c:v>Foreign Experince + CLB</c:v>
                </c:pt>
                <c:pt idx="5">
                  <c:v>Foreign Experince + Canadian Experince</c:v>
                </c:pt>
                <c:pt idx="6">
                  <c:v>Highest Level Of Education</c:v>
                </c:pt>
                <c:pt idx="7">
                  <c:v>Degree + CLB</c:v>
                </c:pt>
                <c:pt idx="8">
                  <c:v>Degree + Canadian experince</c:v>
                </c:pt>
              </c:strCache>
            </c:strRef>
          </c:cat>
          <c:val>
            <c:numRef>
              <c:f>'KPI''s'!$C$12:$C$20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41-44BC-A9B9-6DFA30B4A360}"/>
            </c:ext>
          </c:extLst>
        </c:ser>
        <c:ser>
          <c:idx val="1"/>
          <c:order val="1"/>
          <c:tx>
            <c:strRef>
              <c:f>'KPI''s'!$F$10</c:f>
              <c:strCache>
                <c:ptCount val="1"/>
                <c:pt idx="0">
                  <c:v>Maximum Points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'KPI''s'!$A$12:$A$20</c:f>
              <c:strCache>
                <c:ptCount val="9"/>
                <c:pt idx="0">
                  <c:v>Age</c:v>
                </c:pt>
                <c:pt idx="1">
                  <c:v>Language Exam</c:v>
                </c:pt>
                <c:pt idx="2">
                  <c:v>Second Exam</c:v>
                </c:pt>
                <c:pt idx="3">
                  <c:v>Canadian Exp</c:v>
                </c:pt>
                <c:pt idx="4">
                  <c:v>Foreign Experince + CLB</c:v>
                </c:pt>
                <c:pt idx="5">
                  <c:v>Foreign Experince + Canadian Experince</c:v>
                </c:pt>
                <c:pt idx="6">
                  <c:v>Highest Level Of Education</c:v>
                </c:pt>
                <c:pt idx="7">
                  <c:v>Degree + CLB</c:v>
                </c:pt>
                <c:pt idx="8">
                  <c:v>Degree + Canadian experince</c:v>
                </c:pt>
              </c:strCache>
            </c:strRef>
          </c:cat>
          <c:val>
            <c:numRef>
              <c:f>'KPI''s'!$D$12:$D$20</c:f>
              <c:numCache>
                <c:formatCode>General</c:formatCode>
                <c:ptCount val="9"/>
                <c:pt idx="0">
                  <c:v>110</c:v>
                </c:pt>
                <c:pt idx="1">
                  <c:v>136</c:v>
                </c:pt>
                <c:pt idx="2">
                  <c:v>24</c:v>
                </c:pt>
                <c:pt idx="3">
                  <c:v>80</c:v>
                </c:pt>
                <c:pt idx="4">
                  <c:v>50</c:v>
                </c:pt>
                <c:pt idx="5">
                  <c:v>50</c:v>
                </c:pt>
                <c:pt idx="6">
                  <c:v>150</c:v>
                </c:pt>
                <c:pt idx="7">
                  <c:v>50</c:v>
                </c:pt>
                <c:pt idx="8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41-44BC-A9B9-6DFA30B4A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871680"/>
        <c:axId val="500872640"/>
      </c:barChart>
      <c:catAx>
        <c:axId val="50087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872640"/>
        <c:crosses val="autoZero"/>
        <c:auto val="1"/>
        <c:lblAlgn val="ctr"/>
        <c:lblOffset val="100"/>
        <c:noMultiLvlLbl val="0"/>
      </c:catAx>
      <c:valAx>
        <c:axId val="500872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87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Additional : </a:t>
            </a:r>
            <a:r>
              <a:rPr lang="en-US" sz="14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Current Vs Max Points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5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Ref>
              <c:f>'KPI''s'!$A$29:$A$32</c:f>
              <c:strCache>
                <c:ptCount val="4"/>
                <c:pt idx="0">
                  <c:v>Study in Canada</c:v>
                </c:pt>
                <c:pt idx="1">
                  <c:v>Sibling in Canada</c:v>
                </c:pt>
                <c:pt idx="2">
                  <c:v>French Language Skills</c:v>
                </c:pt>
                <c:pt idx="3">
                  <c:v>Certificate of Qualification</c:v>
                </c:pt>
              </c:strCache>
            </c:strRef>
          </c:cat>
          <c:val>
            <c:numRef>
              <c:f>'KPI''s'!$C$29:$C$32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37-4CE9-BA89-057FF94507B4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5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Ref>
              <c:f>'KPI''s'!$A$29:$A$32</c:f>
              <c:strCache>
                <c:ptCount val="4"/>
                <c:pt idx="0">
                  <c:v>Study in Canada</c:v>
                </c:pt>
                <c:pt idx="1">
                  <c:v>Sibling in Canada</c:v>
                </c:pt>
                <c:pt idx="2">
                  <c:v>French Language Skills</c:v>
                </c:pt>
                <c:pt idx="3">
                  <c:v>Certificate of Qualification</c:v>
                </c:pt>
              </c:strCache>
            </c:strRef>
          </c:cat>
          <c:val>
            <c:numRef>
              <c:f>'KPI''s'!$D$29:$D$32</c:f>
              <c:numCache>
                <c:formatCode>General</c:formatCode>
                <c:ptCount val="4"/>
                <c:pt idx="0">
                  <c:v>30</c:v>
                </c:pt>
                <c:pt idx="1">
                  <c:v>15</c:v>
                </c:pt>
                <c:pt idx="2">
                  <c:v>50</c:v>
                </c:pt>
                <c:pt idx="3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37-4CE9-BA89-057FF94507B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871680"/>
        <c:axId val="500872640"/>
      </c:barChart>
      <c:catAx>
        <c:axId val="50087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872640"/>
        <c:crosses val="autoZero"/>
        <c:auto val="1"/>
        <c:lblAlgn val="ctr"/>
        <c:lblOffset val="100"/>
        <c:noMultiLvlLbl val="0"/>
      </c:catAx>
      <c:valAx>
        <c:axId val="500872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87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Spouse :</a:t>
            </a:r>
            <a:r>
              <a:rPr lang="en-US" sz="14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Current Vs Max Points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5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'KPI''s'!$A$23:$A$25</c:f>
              <c:strCache>
                <c:ptCount val="3"/>
                <c:pt idx="0">
                  <c:v>Highest Level Of Education</c:v>
                </c:pt>
                <c:pt idx="1">
                  <c:v>Language Exam</c:v>
                </c:pt>
                <c:pt idx="2">
                  <c:v>Cad Experince</c:v>
                </c:pt>
              </c:strCache>
            </c:strRef>
          </c:cat>
          <c:val>
            <c:numRef>
              <c:f>'KPI''s'!$C$23:$C$25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B0-46EB-8978-DC29864821D6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5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'KPI''s'!$A$23:$A$25</c:f>
              <c:strCache>
                <c:ptCount val="3"/>
                <c:pt idx="0">
                  <c:v>Highest Level Of Education</c:v>
                </c:pt>
                <c:pt idx="1">
                  <c:v>Language Exam</c:v>
                </c:pt>
                <c:pt idx="2">
                  <c:v>Cad Experince</c:v>
                </c:pt>
              </c:strCache>
            </c:strRef>
          </c:cat>
          <c:val>
            <c:numRef>
              <c:f>'KPI''s'!$D$23:$D$25</c:f>
              <c:numCache>
                <c:formatCode>General</c:formatCode>
                <c:ptCount val="3"/>
                <c:pt idx="0">
                  <c:v>10</c:v>
                </c:pt>
                <c:pt idx="1">
                  <c:v>5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B0-46EB-8978-DC2986482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871680"/>
        <c:axId val="500872640"/>
      </c:barChart>
      <c:catAx>
        <c:axId val="50087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872640"/>
        <c:crosses val="autoZero"/>
        <c:auto val="1"/>
        <c:lblAlgn val="ctr"/>
        <c:lblOffset val="100"/>
        <c:noMultiLvlLbl val="0"/>
      </c:catAx>
      <c:valAx>
        <c:axId val="500872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87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Age Points Trend And</a:t>
            </a:r>
            <a:r>
              <a:rPr lang="en-US" baseline="0"/>
              <a:t> Your Age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Current Age </c:v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6"/>
              </a:solidFill>
              <a:ln w="12700" cap="rnd">
                <a:solidFill>
                  <a:schemeClr val="tx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'KPI''s'!$B$12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'KPI''s'!$C$12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D3-406D-8B60-5053FE5667BC}"/>
            </c:ext>
          </c:extLst>
        </c:ser>
        <c:ser>
          <c:idx val="0"/>
          <c:order val="1"/>
          <c:tx>
            <c:strRef>
              <c:f>'KPI''s'!$R$10</c:f>
              <c:strCache>
                <c:ptCount val="1"/>
                <c:pt idx="0">
                  <c:v>With a common-law partner</c:v>
                </c:pt>
              </c:strCache>
            </c:strRef>
          </c:tx>
          <c:spPr>
            <a:ln w="38100" cap="rnd">
              <a:solidFill>
                <a:schemeClr val="accent5">
                  <a:tint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tint val="6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4"/>
            <c:marker>
              <c:symbol val="circle"/>
              <c:size val="6"/>
              <c:spPr>
                <a:gradFill rotWithShape="1">
                  <a:gsLst>
                    <a:gs pos="0">
                      <a:schemeClr val="accent5">
                        <a:tint val="65000"/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5">
                        <a:tint val="65000"/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5">
                        <a:tint val="65000"/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0" cap="rnd">
                  <a:solidFill>
                    <a:schemeClr val="accent5">
                      <a:tint val="65000"/>
                    </a:schemeClr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79D3-406D-8B60-5053FE5667BC}"/>
              </c:ext>
            </c:extLst>
          </c:dPt>
          <c:xVal>
            <c:numRef>
              <c:f>'KPI''s'!$Q$11:$Q$30</c:f>
              <c:numCache>
                <c:formatCode>General</c:formatCode>
                <c:ptCount val="20"/>
                <c:pt idx="0">
                  <c:v>17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</c:numCache>
            </c:numRef>
          </c:xVal>
          <c:yVal>
            <c:numRef>
              <c:f>'KPI''s'!$R$11:$R$30</c:f>
              <c:numCache>
                <c:formatCode>General</c:formatCode>
                <c:ptCount val="20"/>
                <c:pt idx="0">
                  <c:v>0</c:v>
                </c:pt>
                <c:pt idx="1">
                  <c:v>90</c:v>
                </c:pt>
                <c:pt idx="2">
                  <c:v>95</c:v>
                </c:pt>
                <c:pt idx="3">
                  <c:v>100</c:v>
                </c:pt>
                <c:pt idx="4">
                  <c:v>95</c:v>
                </c:pt>
                <c:pt idx="5">
                  <c:v>90</c:v>
                </c:pt>
                <c:pt idx="6">
                  <c:v>85</c:v>
                </c:pt>
                <c:pt idx="7">
                  <c:v>80</c:v>
                </c:pt>
                <c:pt idx="8">
                  <c:v>75</c:v>
                </c:pt>
                <c:pt idx="9">
                  <c:v>70</c:v>
                </c:pt>
                <c:pt idx="10">
                  <c:v>65</c:v>
                </c:pt>
                <c:pt idx="11">
                  <c:v>60</c:v>
                </c:pt>
                <c:pt idx="12">
                  <c:v>55</c:v>
                </c:pt>
                <c:pt idx="13">
                  <c:v>50</c:v>
                </c:pt>
                <c:pt idx="14">
                  <c:v>45</c:v>
                </c:pt>
                <c:pt idx="15">
                  <c:v>35</c:v>
                </c:pt>
                <c:pt idx="16">
                  <c:v>25</c:v>
                </c:pt>
                <c:pt idx="17">
                  <c:v>15</c:v>
                </c:pt>
                <c:pt idx="18">
                  <c:v>5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D3-406D-8B60-5053FE5667BC}"/>
            </c:ext>
          </c:extLst>
        </c:ser>
        <c:ser>
          <c:idx val="1"/>
          <c:order val="2"/>
          <c:tx>
            <c:strRef>
              <c:f>'KPI''s'!$S$10</c:f>
              <c:strCache>
                <c:ptCount val="1"/>
                <c:pt idx="0">
                  <c:v>Without  common-law partner</c:v>
                </c:pt>
              </c:strCache>
            </c:strRef>
          </c:tx>
          <c:spPr>
            <a:ln w="38100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'KPI''s'!$Q$11:$Q$30</c:f>
              <c:numCache>
                <c:formatCode>General</c:formatCode>
                <c:ptCount val="20"/>
                <c:pt idx="0">
                  <c:v>17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</c:numCache>
            </c:numRef>
          </c:xVal>
          <c:yVal>
            <c:numRef>
              <c:f>'KPI''s'!$S$11:$S$30</c:f>
              <c:numCache>
                <c:formatCode>General</c:formatCode>
                <c:ptCount val="20"/>
                <c:pt idx="0">
                  <c:v>0</c:v>
                </c:pt>
                <c:pt idx="1">
                  <c:v>99</c:v>
                </c:pt>
                <c:pt idx="2">
                  <c:v>105</c:v>
                </c:pt>
                <c:pt idx="3">
                  <c:v>110</c:v>
                </c:pt>
                <c:pt idx="4">
                  <c:v>105</c:v>
                </c:pt>
                <c:pt idx="5">
                  <c:v>99</c:v>
                </c:pt>
                <c:pt idx="6">
                  <c:v>94</c:v>
                </c:pt>
                <c:pt idx="7">
                  <c:v>88</c:v>
                </c:pt>
                <c:pt idx="8">
                  <c:v>83</c:v>
                </c:pt>
                <c:pt idx="9">
                  <c:v>77</c:v>
                </c:pt>
                <c:pt idx="10">
                  <c:v>72</c:v>
                </c:pt>
                <c:pt idx="11">
                  <c:v>66</c:v>
                </c:pt>
                <c:pt idx="12">
                  <c:v>61</c:v>
                </c:pt>
                <c:pt idx="13">
                  <c:v>55</c:v>
                </c:pt>
                <c:pt idx="14">
                  <c:v>50</c:v>
                </c:pt>
                <c:pt idx="15">
                  <c:v>39</c:v>
                </c:pt>
                <c:pt idx="16">
                  <c:v>28</c:v>
                </c:pt>
                <c:pt idx="17">
                  <c:v>17</c:v>
                </c:pt>
                <c:pt idx="18">
                  <c:v>6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D3-406D-8B60-5053FE566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235007"/>
        <c:axId val="1544236447"/>
      </c:scatterChart>
      <c:valAx>
        <c:axId val="1544235007"/>
        <c:scaling>
          <c:orientation val="minMax"/>
          <c:min val="1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236447"/>
        <c:crosses val="autoZero"/>
        <c:crossBetween val="midCat"/>
      </c:valAx>
      <c:valAx>
        <c:axId val="1544236447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points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2350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First Language Points Trend And Your</a:t>
            </a:r>
            <a:r>
              <a:rPr lang="en-US" baseline="0"/>
              <a:t> Points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'KPI''s'!$W$10</c:f>
              <c:strCache>
                <c:ptCount val="1"/>
                <c:pt idx="0">
                  <c:v>With a common-law partner</c:v>
                </c:pt>
              </c:strCache>
            </c:strRef>
          </c:tx>
          <c:spPr>
            <a:ln w="38100" cap="rnd">
              <a:solidFill>
                <a:schemeClr val="accent5">
                  <a:tint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tint val="6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'KPI''s'!$V$11:$V$20</c:f>
              <c:numCache>
                <c:formatCode>General</c:formatCode>
                <c:ptCount val="10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</c:numCache>
            </c:numRef>
          </c:xVal>
          <c:yVal>
            <c:numRef>
              <c:f>'KPI''s'!$W$11:$W$20</c:f>
              <c:numCache>
                <c:formatCode>General</c:formatCode>
                <c:ptCount val="10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8</c:v>
                </c:pt>
                <c:pt idx="4">
                  <c:v>16</c:v>
                </c:pt>
                <c:pt idx="5">
                  <c:v>22</c:v>
                </c:pt>
                <c:pt idx="6">
                  <c:v>29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19-47FB-AC0A-CC2046EAA558}"/>
            </c:ext>
          </c:extLst>
        </c:ser>
        <c:ser>
          <c:idx val="1"/>
          <c:order val="1"/>
          <c:tx>
            <c:strRef>
              <c:f>'KPI''s'!$X$10</c:f>
              <c:strCache>
                <c:ptCount val="1"/>
                <c:pt idx="0">
                  <c:v>Without  common-law partner</c:v>
                </c:pt>
              </c:strCache>
            </c:strRef>
          </c:tx>
          <c:spPr>
            <a:ln w="38100" cap="rnd">
              <a:solidFill>
                <a:schemeClr val="accent5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'KPI''s'!$V$11:$V$20</c:f>
              <c:numCache>
                <c:formatCode>General</c:formatCode>
                <c:ptCount val="10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</c:numCache>
            </c:numRef>
          </c:xVal>
          <c:yVal>
            <c:numRef>
              <c:f>'KPI''s'!$X$11:$X$20</c:f>
              <c:numCache>
                <c:formatCode>General</c:formatCode>
                <c:ptCount val="10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9</c:v>
                </c:pt>
                <c:pt idx="4">
                  <c:v>17</c:v>
                </c:pt>
                <c:pt idx="5">
                  <c:v>23</c:v>
                </c:pt>
                <c:pt idx="6">
                  <c:v>31</c:v>
                </c:pt>
                <c:pt idx="7">
                  <c:v>34</c:v>
                </c:pt>
                <c:pt idx="8">
                  <c:v>34</c:v>
                </c:pt>
                <c:pt idx="9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19-47FB-AC0A-CC2046EAA558}"/>
            </c:ext>
          </c:extLst>
        </c:ser>
        <c:ser>
          <c:idx val="5"/>
          <c:order val="2"/>
          <c:tx>
            <c:strRef>
              <c:f>'KPI''s'!$U$27</c:f>
              <c:strCache>
                <c:ptCount val="1"/>
                <c:pt idx="0">
                  <c:v>Speaking</c:v>
                </c:pt>
              </c:strCache>
            </c:strRef>
          </c:tx>
          <c:spPr>
            <a:ln w="25400" cap="rnd">
              <a:solidFill>
                <a:schemeClr val="tx1">
                  <a:alpha val="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6"/>
              </a:solidFill>
              <a:ln w="9525" cap="rnd">
                <a:solidFill>
                  <a:schemeClr val="accent5">
                    <a:shade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'KPI''s'!$V$27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'KPI''s'!$W$27:$X$27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F19-47FB-AC0A-CC2046EAA558}"/>
            </c:ext>
          </c:extLst>
        </c:ser>
        <c:ser>
          <c:idx val="3"/>
          <c:order val="3"/>
          <c:tx>
            <c:strRef>
              <c:f>'KPI''s'!$U$25</c:f>
              <c:strCache>
                <c:ptCount val="1"/>
                <c:pt idx="0">
                  <c:v>Writing</c:v>
                </c:pt>
              </c:strCache>
            </c:strRef>
          </c:tx>
          <c:spPr>
            <a:ln w="9525" cap="rnd">
              <a:solidFill>
                <a:schemeClr val="tx1">
                  <a:alpha val="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CC3300"/>
              </a:solidFill>
              <a:ln w="9525" cap="rnd">
                <a:solidFill>
                  <a:schemeClr val="accent5">
                    <a:shade val="9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'KPI''s'!$V$25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'KPI''s'!$W$25:$X$25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F19-47FB-AC0A-CC2046EAA558}"/>
            </c:ext>
          </c:extLst>
        </c:ser>
        <c:ser>
          <c:idx val="2"/>
          <c:order val="4"/>
          <c:tx>
            <c:strRef>
              <c:f>'KPI''s'!$U$24</c:f>
              <c:strCache>
                <c:ptCount val="1"/>
                <c:pt idx="0">
                  <c:v>Reading</c:v>
                </c:pt>
              </c:strCache>
            </c:strRef>
          </c:tx>
          <c:spPr>
            <a:ln w="9525" cap="rnd">
              <a:solidFill>
                <a:schemeClr val="tx1">
                  <a:alpha val="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9525" cap="rnd">
                <a:solidFill>
                  <a:schemeClr val="accent5">
                    <a:shade val="6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'KPI''s'!$V$24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'KPI''s'!$W$24:$X$24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19-47FB-AC0A-CC2046EAA558}"/>
            </c:ext>
          </c:extLst>
        </c:ser>
        <c:ser>
          <c:idx val="4"/>
          <c:order val="5"/>
          <c:tx>
            <c:strRef>
              <c:f>'KPI''s'!$U$26</c:f>
              <c:strCache>
                <c:ptCount val="1"/>
                <c:pt idx="0">
                  <c:v>Listening</c:v>
                </c:pt>
              </c:strCache>
            </c:strRef>
          </c:tx>
          <c:spPr>
            <a:ln w="9525" cap="rnd">
              <a:solidFill>
                <a:schemeClr val="tx1">
                  <a:alpha val="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4"/>
              </a:solidFill>
              <a:ln w="9525" cap="rnd">
                <a:solidFill>
                  <a:schemeClr val="accent5">
                    <a:shade val="7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'KPI''s'!$V$26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'KPI''s'!$W$26:$X$26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F19-47FB-AC0A-CC2046EAA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235007"/>
        <c:axId val="1544236447"/>
      </c:scatterChart>
      <c:valAx>
        <c:axId val="1544235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236447"/>
        <c:crosses val="autoZero"/>
        <c:crossBetween val="midCat"/>
      </c:valAx>
      <c:valAx>
        <c:axId val="154423644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Points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2350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Current Vs Max Points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'KPI''s'!$W$23</c:f>
              <c:strCache>
                <c:ptCount val="1"/>
                <c:pt idx="0">
                  <c:v>Current 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'KPI''s'!$U$24:$U$27</c:f>
              <c:strCache>
                <c:ptCount val="4"/>
                <c:pt idx="0">
                  <c:v>Reading</c:v>
                </c:pt>
                <c:pt idx="1">
                  <c:v>Writing</c:v>
                </c:pt>
                <c:pt idx="2">
                  <c:v>Listening</c:v>
                </c:pt>
                <c:pt idx="3">
                  <c:v>Speaking</c:v>
                </c:pt>
              </c:strCache>
            </c:strRef>
          </c:cat>
          <c:val>
            <c:numRef>
              <c:f>'KPI''s'!$W$24:$W$27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FB-4E95-B211-4C556E4391FA}"/>
            </c:ext>
          </c:extLst>
        </c:ser>
        <c:ser>
          <c:idx val="1"/>
          <c:order val="1"/>
          <c:tx>
            <c:strRef>
              <c:f>'KPI''s'!$Y$23</c:f>
              <c:strCache>
                <c:ptCount val="1"/>
                <c:pt idx="0">
                  <c:v>Max 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'KPI''s'!$U$24:$U$27</c:f>
              <c:strCache>
                <c:ptCount val="4"/>
                <c:pt idx="0">
                  <c:v>Reading</c:v>
                </c:pt>
                <c:pt idx="1">
                  <c:v>Writing</c:v>
                </c:pt>
                <c:pt idx="2">
                  <c:v>Listening</c:v>
                </c:pt>
                <c:pt idx="3">
                  <c:v>Speaking</c:v>
                </c:pt>
              </c:strCache>
            </c:strRef>
          </c:cat>
          <c:val>
            <c:numRef>
              <c:f>'KPI''s'!$Y$24:$Y$27</c:f>
              <c:numCache>
                <c:formatCode>General</c:formatCode>
                <c:ptCount val="4"/>
                <c:pt idx="0">
                  <c:v>34</c:v>
                </c:pt>
                <c:pt idx="1">
                  <c:v>34</c:v>
                </c:pt>
                <c:pt idx="2">
                  <c:v>34</c:v>
                </c:pt>
                <c:pt idx="3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FB-4E95-B211-4C556E439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9"/>
        <c:axId val="1582811743"/>
        <c:axId val="1582810303"/>
      </c:barChart>
      <c:catAx>
        <c:axId val="1582811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2810303"/>
        <c:crosses val="autoZero"/>
        <c:auto val="1"/>
        <c:lblAlgn val="ctr"/>
        <c:lblOffset val="100"/>
        <c:noMultiLvlLbl val="0"/>
      </c:catAx>
      <c:valAx>
        <c:axId val="15828103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Points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2811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Current Vs Max</a:t>
            </a:r>
            <a:r>
              <a:rPr lang="en-US" baseline="0"/>
              <a:t> </a:t>
            </a:r>
            <a:r>
              <a:rPr lang="en-US"/>
              <a:t>Score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'KPI''s'!$W$23</c:f>
              <c:strCache>
                <c:ptCount val="1"/>
                <c:pt idx="0">
                  <c:v>Current 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'KPI''s'!$U$28</c:f>
              <c:strCache>
                <c:ptCount val="1"/>
                <c:pt idx="0">
                  <c:v>Score Difference</c:v>
                </c:pt>
              </c:strCache>
            </c:strRef>
          </c:cat>
          <c:val>
            <c:numRef>
              <c:f>'KPI''s'!$W$28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93-4098-92EF-DF1E79F2C12C}"/>
            </c:ext>
          </c:extLst>
        </c:ser>
        <c:ser>
          <c:idx val="1"/>
          <c:order val="1"/>
          <c:tx>
            <c:strRef>
              <c:f>'KPI''s'!$Y$23</c:f>
              <c:strCache>
                <c:ptCount val="1"/>
                <c:pt idx="0">
                  <c:v>Max 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'KPI''s'!$U$28</c:f>
              <c:strCache>
                <c:ptCount val="1"/>
                <c:pt idx="0">
                  <c:v>Score Difference</c:v>
                </c:pt>
              </c:strCache>
            </c:strRef>
          </c:cat>
          <c:val>
            <c:numRef>
              <c:f>'KPI''s'!$Y$28</c:f>
              <c:numCache>
                <c:formatCode>General</c:formatCode>
                <c:ptCount val="1"/>
                <c:pt idx="0">
                  <c:v>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93-4098-92EF-DF1E79F2C12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51"/>
        <c:overlap val="-100"/>
        <c:axId val="1582811743"/>
        <c:axId val="1582810303"/>
      </c:barChart>
      <c:catAx>
        <c:axId val="1582811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2810303"/>
        <c:crosses val="autoZero"/>
        <c:auto val="1"/>
        <c:lblAlgn val="ctr"/>
        <c:lblOffset val="100"/>
        <c:noMultiLvlLbl val="0"/>
      </c:catAx>
      <c:valAx>
        <c:axId val="15828103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2811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Second Language Points Trend And Your Points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'KPI''s'!$C$42</c:f>
              <c:strCache>
                <c:ptCount val="1"/>
                <c:pt idx="0">
                  <c:v>With a common-law partner</c:v>
                </c:pt>
              </c:strCache>
            </c:strRef>
          </c:tx>
          <c:spPr>
            <a:ln w="38100" cap="rnd">
              <a:solidFill>
                <a:schemeClr val="accent5">
                  <a:tint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tint val="6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'KPI''s'!$B$43:$B$52</c:f>
              <c:numCache>
                <c:formatCode>General</c:formatCode>
                <c:ptCount val="10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</c:numCache>
            </c:numRef>
          </c:xVal>
          <c:yVal>
            <c:numRef>
              <c:f>'KPI''s'!$C$43:$C$52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B5-4743-A925-84448ADB4C48}"/>
            </c:ext>
          </c:extLst>
        </c:ser>
        <c:ser>
          <c:idx val="1"/>
          <c:order val="1"/>
          <c:tx>
            <c:strRef>
              <c:f>'KPI''s'!$D$42</c:f>
              <c:strCache>
                <c:ptCount val="1"/>
                <c:pt idx="0">
                  <c:v>Without  common-law partner</c:v>
                </c:pt>
              </c:strCache>
            </c:strRef>
          </c:tx>
          <c:spPr>
            <a:ln w="38100" cap="rnd">
              <a:solidFill>
                <a:schemeClr val="accent5">
                  <a:tint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'KPI''s'!$B$43:$B$52</c:f>
              <c:numCache>
                <c:formatCode>General</c:formatCode>
                <c:ptCount val="10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</c:numCache>
            </c:numRef>
          </c:xVal>
          <c:yVal>
            <c:numRef>
              <c:f>'KPI''s'!$D$43:$D$52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B5-4743-A925-84448ADB4C48}"/>
            </c:ext>
          </c:extLst>
        </c:ser>
        <c:ser>
          <c:idx val="5"/>
          <c:order val="2"/>
          <c:tx>
            <c:strRef>
              <c:f>'KPI''s'!$A$59</c:f>
              <c:strCache>
                <c:ptCount val="1"/>
                <c:pt idx="0">
                  <c:v>Speaking</c:v>
                </c:pt>
              </c:strCache>
            </c:strRef>
          </c:tx>
          <c:spPr>
            <a:ln w="9525" cap="rnd">
              <a:solidFill>
                <a:schemeClr val="accent5">
                  <a:shade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6"/>
              </a:solidFill>
              <a:ln w="9525" cap="rnd">
                <a:solidFill>
                  <a:schemeClr val="accent5">
                    <a:shade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'KPI''s'!$B$59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'KPI''s'!$C$59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B5-4743-A925-84448ADB4C48}"/>
            </c:ext>
          </c:extLst>
        </c:ser>
        <c:ser>
          <c:idx val="3"/>
          <c:order val="3"/>
          <c:tx>
            <c:strRef>
              <c:f>'KPI''s'!$A$57</c:f>
              <c:strCache>
                <c:ptCount val="1"/>
                <c:pt idx="0">
                  <c:v>Writing</c:v>
                </c:pt>
              </c:strCache>
            </c:strRef>
          </c:tx>
          <c:spPr>
            <a:ln w="9525" cap="rnd">
              <a:solidFill>
                <a:schemeClr val="accent5">
                  <a:shade val="9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CC3300"/>
              </a:solidFill>
              <a:ln w="9525" cap="rnd">
                <a:solidFill>
                  <a:schemeClr val="accent5">
                    <a:shade val="9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'KPI''s'!$B$57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'KPI''s'!$C$57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AB5-4743-A925-84448ADB4C48}"/>
            </c:ext>
          </c:extLst>
        </c:ser>
        <c:ser>
          <c:idx val="2"/>
          <c:order val="4"/>
          <c:tx>
            <c:strRef>
              <c:f>'KPI''s'!$A$56</c:f>
              <c:strCache>
                <c:ptCount val="1"/>
                <c:pt idx="0">
                  <c:v>Reading</c:v>
                </c:pt>
              </c:strCache>
            </c:strRef>
          </c:tx>
          <c:spPr>
            <a:ln w="9525" cap="rnd">
              <a:solidFill>
                <a:schemeClr val="accent5">
                  <a:tint val="9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9525" cap="rnd">
                <a:solidFill>
                  <a:schemeClr val="accent5">
                    <a:shade val="6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'KPI''s'!$B$56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'KPI''s'!$C$56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AB5-4743-A925-84448ADB4C48}"/>
            </c:ext>
          </c:extLst>
        </c:ser>
        <c:ser>
          <c:idx val="4"/>
          <c:order val="5"/>
          <c:tx>
            <c:strRef>
              <c:f>'KPI''s'!$A$58</c:f>
              <c:strCache>
                <c:ptCount val="1"/>
                <c:pt idx="0">
                  <c:v>Listening</c:v>
                </c:pt>
              </c:strCache>
            </c:strRef>
          </c:tx>
          <c:spPr>
            <a:ln w="9525" cap="rnd">
              <a:solidFill>
                <a:schemeClr val="accent5">
                  <a:shade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4"/>
              </a:solidFill>
              <a:ln w="9525" cap="rnd">
                <a:solidFill>
                  <a:schemeClr val="accent5">
                    <a:shade val="7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'KPI''s'!$B$58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'KPI''s'!$C$58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AB5-4743-A925-84448ADB4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235007"/>
        <c:axId val="1544236447"/>
      </c:scatterChart>
      <c:valAx>
        <c:axId val="1544235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236447"/>
        <c:crosses val="autoZero"/>
        <c:crossBetween val="midCat"/>
      </c:valAx>
      <c:valAx>
        <c:axId val="154423644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Points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2350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Current Vs Max Points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'KPI''s'!$C$55</c:f>
              <c:strCache>
                <c:ptCount val="1"/>
                <c:pt idx="0">
                  <c:v>Current 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'KPI''s'!$U$24:$U$27</c:f>
              <c:strCache>
                <c:ptCount val="4"/>
                <c:pt idx="0">
                  <c:v>Reading</c:v>
                </c:pt>
                <c:pt idx="1">
                  <c:v>Writing</c:v>
                </c:pt>
                <c:pt idx="2">
                  <c:v>Listening</c:v>
                </c:pt>
                <c:pt idx="3">
                  <c:v>Speaking</c:v>
                </c:pt>
              </c:strCache>
            </c:strRef>
          </c:cat>
          <c:val>
            <c:numRef>
              <c:f>'KPI''s'!$C$56:$C$59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76-455A-9055-B2220BA155DA}"/>
            </c:ext>
          </c:extLst>
        </c:ser>
        <c:ser>
          <c:idx val="1"/>
          <c:order val="1"/>
          <c:tx>
            <c:strRef>
              <c:f>'KPI''s'!$E$55</c:f>
              <c:strCache>
                <c:ptCount val="1"/>
                <c:pt idx="0">
                  <c:v>Max 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'KPI''s'!$U$24:$U$27</c:f>
              <c:strCache>
                <c:ptCount val="4"/>
                <c:pt idx="0">
                  <c:v>Reading</c:v>
                </c:pt>
                <c:pt idx="1">
                  <c:v>Writing</c:v>
                </c:pt>
                <c:pt idx="2">
                  <c:v>Listening</c:v>
                </c:pt>
                <c:pt idx="3">
                  <c:v>Speaking</c:v>
                </c:pt>
              </c:strCache>
            </c:strRef>
          </c:cat>
          <c:val>
            <c:numRef>
              <c:f>'KPI''s'!$E$56:$E$59</c:f>
              <c:numCache>
                <c:formatCode>General</c:formatCode>
                <c:ptCount val="4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76-455A-9055-B2220BA155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69"/>
        <c:overlap val="-11"/>
        <c:axId val="1582811743"/>
        <c:axId val="1582810303"/>
      </c:barChart>
      <c:catAx>
        <c:axId val="1582811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2810303"/>
        <c:crosses val="autoZero"/>
        <c:auto val="1"/>
        <c:lblAlgn val="ctr"/>
        <c:lblOffset val="100"/>
        <c:noMultiLvlLbl val="0"/>
      </c:catAx>
      <c:valAx>
        <c:axId val="15828103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Points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2811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Current Vs Max</a:t>
            </a:r>
            <a:r>
              <a:rPr lang="en-US" baseline="0"/>
              <a:t> </a:t>
            </a:r>
            <a:r>
              <a:rPr lang="en-US"/>
              <a:t>Score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'KPI''s'!$C$55</c:f>
              <c:strCache>
                <c:ptCount val="1"/>
                <c:pt idx="0">
                  <c:v>Current 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'KPI''s'!$U$28</c:f>
              <c:strCache>
                <c:ptCount val="1"/>
                <c:pt idx="0">
                  <c:v>Score Difference</c:v>
                </c:pt>
              </c:strCache>
            </c:strRef>
          </c:cat>
          <c:val>
            <c:numRef>
              <c:f>'KPI''s'!$C$60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07-4F61-B89A-974A97BC5546}"/>
            </c:ext>
          </c:extLst>
        </c:ser>
        <c:ser>
          <c:idx val="1"/>
          <c:order val="1"/>
          <c:tx>
            <c:strRef>
              <c:f>'KPI''s'!$E$55</c:f>
              <c:strCache>
                <c:ptCount val="1"/>
                <c:pt idx="0">
                  <c:v>Max 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'KPI''s'!$U$28</c:f>
              <c:strCache>
                <c:ptCount val="1"/>
                <c:pt idx="0">
                  <c:v>Score Difference</c:v>
                </c:pt>
              </c:strCache>
            </c:strRef>
          </c:cat>
          <c:val>
            <c:numRef>
              <c:f>'KPI''s'!$E$60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07-4F61-B89A-974A97BC554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51"/>
        <c:overlap val="-100"/>
        <c:axId val="1582811743"/>
        <c:axId val="1582810303"/>
      </c:barChart>
      <c:catAx>
        <c:axId val="1582811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2810303"/>
        <c:crosses val="autoZero"/>
        <c:auto val="1"/>
        <c:lblAlgn val="ctr"/>
        <c:lblOffset val="100"/>
        <c:noMultiLvlLbl val="0"/>
      </c:catAx>
      <c:valAx>
        <c:axId val="15828103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2811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Max Points</a:t>
            </a:r>
            <a:r>
              <a:rPr lang="en-US" baseline="0"/>
              <a:t> When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'KPI''s'!$P$14</c:f>
              <c:strCache>
                <c:ptCount val="1"/>
                <c:pt idx="0">
                  <c:v>20 to 29 years of age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'KPI''s'!$R$10:$S$10</c:f>
              <c:strCache>
                <c:ptCount val="2"/>
                <c:pt idx="0">
                  <c:v>With a common-law partner</c:v>
                </c:pt>
                <c:pt idx="1">
                  <c:v>Without  common-law partner</c:v>
                </c:pt>
              </c:strCache>
            </c:strRef>
          </c:cat>
          <c:val>
            <c:numRef>
              <c:f>'KPI''s'!$R$14:$S$14</c:f>
              <c:numCache>
                <c:formatCode>General</c:formatCode>
                <c:ptCount val="2"/>
                <c:pt idx="0">
                  <c:v>100</c:v>
                </c:pt>
                <c:pt idx="1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11-4D47-8074-4B1825E416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76"/>
        <c:overlap val="84"/>
        <c:axId val="1242846831"/>
        <c:axId val="1242855951"/>
      </c:barChart>
      <c:catAx>
        <c:axId val="124284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855951"/>
        <c:crosses val="autoZero"/>
        <c:auto val="1"/>
        <c:lblAlgn val="ctr"/>
        <c:lblOffset val="100"/>
        <c:noMultiLvlLbl val="0"/>
      </c:catAx>
      <c:valAx>
        <c:axId val="124285595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Points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84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kumimoji="0" lang="en-US" sz="1600" b="1" i="0" u="none" strike="noStrike" kern="1200" cap="none" spc="100" normalizeH="0" baseline="0" noProof="0">
                <a:ln>
                  <a:noFill/>
                </a:ln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uLnTx/>
                <a:uFillTx/>
                <a:latin typeface="Calibri" panose="020F0502020204030204"/>
              </a:rPr>
              <a:t>Highest Education Level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899844836357955E-2"/>
          <c:y val="0.11057166916610292"/>
          <c:w val="0.93663886881411118"/>
          <c:h val="0.65976591822503505"/>
        </c:manualLayout>
      </c:layout>
      <c:lineChart>
        <c:grouping val="standard"/>
        <c:varyColors val="0"/>
        <c:ser>
          <c:idx val="0"/>
          <c:order val="0"/>
          <c:tx>
            <c:strRef>
              <c:f>'KPI''s'!$K$55</c:f>
              <c:strCache>
                <c:ptCount val="1"/>
                <c:pt idx="0">
                  <c:v>With a common-law partner</c:v>
                </c:pt>
              </c:strCache>
            </c:strRef>
          </c:tx>
          <c:spPr>
            <a:ln w="34925" cap="rnd">
              <a:solidFill>
                <a:schemeClr val="accent5">
                  <a:tint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'KPI''s'!$J$56:$J$63</c:f>
              <c:strCache>
                <c:ptCount val="8"/>
                <c:pt idx="0">
                  <c:v>Less than secondary school (high school)</c:v>
                </c:pt>
                <c:pt idx="1">
                  <c:v>Secondary diploma (high school graduation)</c:v>
                </c:pt>
                <c:pt idx="2">
                  <c:v>One-year degree, diploma or certificate</c:v>
                </c:pt>
                <c:pt idx="3">
                  <c:v>Two-year program at a university, college</c:v>
                </c:pt>
                <c:pt idx="4">
                  <c:v>Bachelor's degree OR  a three or more year program</c:v>
                </c:pt>
                <c:pt idx="5">
                  <c:v>Two or more certificates, diplomas, or degrees</c:v>
                </c:pt>
                <c:pt idx="6">
                  <c:v>Master's degree</c:v>
                </c:pt>
                <c:pt idx="7">
                  <c:v>Doctoral level university degree (Ph.D.)</c:v>
                </c:pt>
              </c:strCache>
            </c:strRef>
          </c:cat>
          <c:val>
            <c:numRef>
              <c:f>'KPI''s'!$K$56:$K$63</c:f>
              <c:numCache>
                <c:formatCode>General</c:formatCode>
                <c:ptCount val="8"/>
                <c:pt idx="0">
                  <c:v>0</c:v>
                </c:pt>
                <c:pt idx="1">
                  <c:v>28</c:v>
                </c:pt>
                <c:pt idx="2">
                  <c:v>84</c:v>
                </c:pt>
                <c:pt idx="3">
                  <c:v>91</c:v>
                </c:pt>
                <c:pt idx="4">
                  <c:v>112</c:v>
                </c:pt>
                <c:pt idx="5">
                  <c:v>119</c:v>
                </c:pt>
                <c:pt idx="6">
                  <c:v>126</c:v>
                </c:pt>
                <c:pt idx="7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DE-412B-A241-A9E5457571A3}"/>
            </c:ext>
          </c:extLst>
        </c:ser>
        <c:ser>
          <c:idx val="1"/>
          <c:order val="1"/>
          <c:tx>
            <c:strRef>
              <c:f>'KPI''s'!$L$55</c:f>
              <c:strCache>
                <c:ptCount val="1"/>
                <c:pt idx="0">
                  <c:v>Without  common-law partner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'KPI''s'!$J$56:$J$63</c:f>
              <c:strCache>
                <c:ptCount val="8"/>
                <c:pt idx="0">
                  <c:v>Less than secondary school (high school)</c:v>
                </c:pt>
                <c:pt idx="1">
                  <c:v>Secondary diploma (high school graduation)</c:v>
                </c:pt>
                <c:pt idx="2">
                  <c:v>One-year degree, diploma or certificate</c:v>
                </c:pt>
                <c:pt idx="3">
                  <c:v>Two-year program at a university, college</c:v>
                </c:pt>
                <c:pt idx="4">
                  <c:v>Bachelor's degree OR  a three or more year program</c:v>
                </c:pt>
                <c:pt idx="5">
                  <c:v>Two or more certificates, diplomas, or degrees</c:v>
                </c:pt>
                <c:pt idx="6">
                  <c:v>Master's degree</c:v>
                </c:pt>
                <c:pt idx="7">
                  <c:v>Doctoral level university degree (Ph.D.)</c:v>
                </c:pt>
              </c:strCache>
            </c:strRef>
          </c:cat>
          <c:val>
            <c:numRef>
              <c:f>'KPI''s'!$L$56:$L$63</c:f>
              <c:numCache>
                <c:formatCode>General</c:formatCode>
                <c:ptCount val="8"/>
                <c:pt idx="0">
                  <c:v>0</c:v>
                </c:pt>
                <c:pt idx="1">
                  <c:v>30</c:v>
                </c:pt>
                <c:pt idx="2">
                  <c:v>90</c:v>
                </c:pt>
                <c:pt idx="3">
                  <c:v>98</c:v>
                </c:pt>
                <c:pt idx="4">
                  <c:v>120</c:v>
                </c:pt>
                <c:pt idx="5">
                  <c:v>128</c:v>
                </c:pt>
                <c:pt idx="6">
                  <c:v>135</c:v>
                </c:pt>
                <c:pt idx="7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DE-412B-A241-A9E545757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4944255"/>
        <c:axId val="1134945215"/>
      </c:lineChart>
      <c:scatterChart>
        <c:scatterStyle val="lineMarker"/>
        <c:varyColors val="0"/>
        <c:ser>
          <c:idx val="2"/>
          <c:order val="2"/>
          <c:tx>
            <c:strRef>
              <c:f>'KPI''s'!$I$65</c:f>
              <c:strCache>
                <c:ptCount val="1"/>
                <c:pt idx="0">
                  <c:v>Your Points for Education Level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92D050"/>
              </a:solidFill>
              <a:ln w="12700">
                <a:solidFill>
                  <a:schemeClr val="tx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'KPI''s'!$J$65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'KPI''s'!$K$65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DE-412B-A241-A9E545757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4944255"/>
        <c:axId val="1134945215"/>
      </c:scatterChart>
      <c:catAx>
        <c:axId val="11349442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945215"/>
        <c:crosses val="autoZero"/>
        <c:auto val="1"/>
        <c:lblAlgn val="ctr"/>
        <c:lblOffset val="100"/>
        <c:noMultiLvlLbl val="0"/>
      </c:catAx>
      <c:valAx>
        <c:axId val="113494521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944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Additional : </a:t>
            </a:r>
            <a:r>
              <a:rPr lang="en-US" sz="14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Provincial Nomination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5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Ref>
              <c:f>'KPI''s'!$A$28</c:f>
              <c:strCache>
                <c:ptCount val="1"/>
                <c:pt idx="0">
                  <c:v>Provincial Nomination</c:v>
                </c:pt>
              </c:strCache>
            </c:strRef>
          </c:cat>
          <c:val>
            <c:numRef>
              <c:f>'KPI''s'!$C$28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CC-4D57-84C1-EAD8B0129A36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5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'KPI''s'!$A$28</c:f>
              <c:strCache>
                <c:ptCount val="1"/>
                <c:pt idx="0">
                  <c:v>Provincial Nomination</c:v>
                </c:pt>
              </c:strCache>
            </c:strRef>
          </c:cat>
          <c:val>
            <c:numRef>
              <c:f>'KPI''s'!$D$28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5D-4D1E-AB50-5EB1F5EDC2B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871680"/>
        <c:axId val="500872640"/>
      </c:barChart>
      <c:catAx>
        <c:axId val="50087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872640"/>
        <c:crosses val="autoZero"/>
        <c:auto val="1"/>
        <c:lblAlgn val="ctr"/>
        <c:lblOffset val="100"/>
        <c:noMultiLvlLbl val="0"/>
      </c:catAx>
      <c:valAx>
        <c:axId val="500872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87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kumimoji="0" lang="en-US" sz="1600" b="1" i="0" u="none" strike="noStrike" kern="1200" cap="none" spc="100" normalizeH="0" baseline="0" noProof="0">
                <a:ln>
                  <a:noFill/>
                </a:ln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uLnTx/>
                <a:uFillTx/>
                <a:latin typeface="Calibri" panose="020F0502020204030204"/>
              </a:rPr>
              <a:t>Current Vs Max Points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899844836357955E-2"/>
          <c:y val="0.11057166916610292"/>
          <c:w val="0.93663886881411118"/>
          <c:h val="0.65976591822503505"/>
        </c:manualLayout>
      </c:layout>
      <c:lineChart>
        <c:grouping val="standard"/>
        <c:varyColors val="0"/>
        <c:ser>
          <c:idx val="0"/>
          <c:order val="0"/>
          <c:tx>
            <c:strRef>
              <c:f>'KPI''s'!$K$66</c:f>
              <c:strCache>
                <c:ptCount val="1"/>
                <c:pt idx="0">
                  <c:v>With a common-law partner</c:v>
                </c:pt>
              </c:strCache>
            </c:strRef>
          </c:tx>
          <c:spPr>
            <a:ln w="34925" cap="rnd">
              <a:solidFill>
                <a:schemeClr val="accent5">
                  <a:tint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'KPI''s'!$J$67:$J$70</c:f>
              <c:numCache>
                <c:formatCode>General</c:formatCode>
                <c:ptCount val="4"/>
                <c:pt idx="0">
                  <c:v>#N/A</c:v>
                </c:pt>
              </c:numCache>
            </c:numRef>
          </c:cat>
          <c:val>
            <c:numRef>
              <c:f>'KPI''s'!$K$67:$K$70</c:f>
              <c:numCache>
                <c:formatCode>General</c:formatCode>
                <c:ptCount val="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71-47E8-BB3B-9895EF8E8378}"/>
            </c:ext>
          </c:extLst>
        </c:ser>
        <c:ser>
          <c:idx val="1"/>
          <c:order val="1"/>
          <c:tx>
            <c:strRef>
              <c:f>'KPI''s'!$L$66</c:f>
              <c:strCache>
                <c:ptCount val="1"/>
                <c:pt idx="0">
                  <c:v>Without  common-law partner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'KPI''s'!$J$67:$J$70</c:f>
              <c:numCache>
                <c:formatCode>General</c:formatCode>
                <c:ptCount val="4"/>
                <c:pt idx="0">
                  <c:v>#N/A</c:v>
                </c:pt>
              </c:numCache>
            </c:numRef>
          </c:cat>
          <c:val>
            <c:numRef>
              <c:f>'KPI''s'!$L$67:$L$70</c:f>
              <c:numCache>
                <c:formatCode>General</c:formatCode>
                <c:ptCount val="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71-47E8-BB3B-9895EF8E83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34944255"/>
        <c:axId val="1134945215"/>
      </c:lineChart>
      <c:scatterChart>
        <c:scatterStyle val="lineMarker"/>
        <c:varyColors val="0"/>
        <c:ser>
          <c:idx val="2"/>
          <c:order val="2"/>
          <c:tx>
            <c:strRef>
              <c:f>'KPI''s'!$I$65</c:f>
              <c:strCache>
                <c:ptCount val="1"/>
                <c:pt idx="0">
                  <c:v>Your Points for Education Level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92D050"/>
              </a:solidFill>
              <a:ln w="12700">
                <a:solidFill>
                  <a:schemeClr val="tx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'KPI''s'!$J$67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'KPI''s'!$K$65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71-47E8-BB3B-9895EF8E83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134944255"/>
        <c:axId val="1134945215"/>
      </c:scatterChart>
      <c:catAx>
        <c:axId val="11349442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945215"/>
        <c:crosses val="autoZero"/>
        <c:auto val="1"/>
        <c:lblAlgn val="ctr"/>
        <c:lblOffset val="100"/>
        <c:noMultiLvlLbl val="0"/>
      </c:catAx>
      <c:valAx>
        <c:axId val="113494521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pOINTS</a:t>
                </a:r>
              </a:p>
            </c:rich>
          </c:tx>
          <c:layout>
            <c:manualLayout>
              <c:xMode val="edge"/>
              <c:yMode val="edge"/>
              <c:x val="4.9392511006362688E-2"/>
              <c:y val="0.35836248299784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944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kumimoji="0" lang="en-US" sz="1600" b="1" i="0" u="none" strike="noStrike" kern="1200" cap="none" spc="100" normalizeH="0" baseline="0" noProof="0">
                <a:ln>
                  <a:noFill/>
                </a:ln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uLnTx/>
                <a:uFillTx/>
                <a:latin typeface="Calibri" panose="020F0502020204030204"/>
              </a:rPr>
              <a:t>Canadian Work Experience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899844836357955E-2"/>
          <c:y val="0.11057166916610292"/>
          <c:w val="0.93663886881411118"/>
          <c:h val="0.65976591822503505"/>
        </c:manualLayout>
      </c:layout>
      <c:lineChart>
        <c:grouping val="standard"/>
        <c:varyColors val="0"/>
        <c:ser>
          <c:idx val="0"/>
          <c:order val="0"/>
          <c:tx>
            <c:strRef>
              <c:f>'KPI''s'!$K$55</c:f>
              <c:strCache>
                <c:ptCount val="1"/>
                <c:pt idx="0">
                  <c:v>With a common-law partner</c:v>
                </c:pt>
              </c:strCache>
            </c:strRef>
          </c:tx>
          <c:spPr>
            <a:ln w="34925" cap="rnd">
              <a:solidFill>
                <a:schemeClr val="accent5">
                  <a:tint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>
                    <a:tint val="6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'KPI''s'!$O$57:$O$62</c:f>
              <c:strCache>
                <c:ptCount val="6"/>
                <c:pt idx="0">
                  <c:v>None or less than a year</c:v>
                </c:pt>
                <c:pt idx="1">
                  <c:v>1 year</c:v>
                </c:pt>
                <c:pt idx="2">
                  <c:v>2 years</c:v>
                </c:pt>
                <c:pt idx="3">
                  <c:v>3 years</c:v>
                </c:pt>
                <c:pt idx="4">
                  <c:v>4 years</c:v>
                </c:pt>
                <c:pt idx="5">
                  <c:v>5 years or more</c:v>
                </c:pt>
              </c:strCache>
            </c:strRef>
          </c:cat>
          <c:val>
            <c:numRef>
              <c:f>'KPI''s'!$P$57:$P$62</c:f>
              <c:numCache>
                <c:formatCode>General</c:formatCode>
                <c:ptCount val="6"/>
                <c:pt idx="0">
                  <c:v>0</c:v>
                </c:pt>
                <c:pt idx="1">
                  <c:v>35</c:v>
                </c:pt>
                <c:pt idx="2">
                  <c:v>46</c:v>
                </c:pt>
                <c:pt idx="3">
                  <c:v>56</c:v>
                </c:pt>
                <c:pt idx="4">
                  <c:v>63</c:v>
                </c:pt>
                <c:pt idx="5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6D-41B0-8990-242EF7A1762A}"/>
            </c:ext>
          </c:extLst>
        </c:ser>
        <c:ser>
          <c:idx val="1"/>
          <c:order val="1"/>
          <c:tx>
            <c:strRef>
              <c:f>'KPI''s'!$L$55</c:f>
              <c:strCache>
                <c:ptCount val="1"/>
                <c:pt idx="0">
                  <c:v>Without  common-law partner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'KPI''s'!$O$57:$O$62</c:f>
              <c:strCache>
                <c:ptCount val="6"/>
                <c:pt idx="0">
                  <c:v>None or less than a year</c:v>
                </c:pt>
                <c:pt idx="1">
                  <c:v>1 year</c:v>
                </c:pt>
                <c:pt idx="2">
                  <c:v>2 years</c:v>
                </c:pt>
                <c:pt idx="3">
                  <c:v>3 years</c:v>
                </c:pt>
                <c:pt idx="4">
                  <c:v>4 years</c:v>
                </c:pt>
                <c:pt idx="5">
                  <c:v>5 years or more</c:v>
                </c:pt>
              </c:strCache>
            </c:strRef>
          </c:cat>
          <c:val>
            <c:numRef>
              <c:f>'KPI''s'!$Q$57:$Q$62</c:f>
              <c:numCache>
                <c:formatCode>General</c:formatCode>
                <c:ptCount val="6"/>
                <c:pt idx="0">
                  <c:v>0</c:v>
                </c:pt>
                <c:pt idx="1">
                  <c:v>40</c:v>
                </c:pt>
                <c:pt idx="2">
                  <c:v>53</c:v>
                </c:pt>
                <c:pt idx="3">
                  <c:v>64</c:v>
                </c:pt>
                <c:pt idx="4">
                  <c:v>72</c:v>
                </c:pt>
                <c:pt idx="5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6D-41B0-8990-242EF7A17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4944255"/>
        <c:axId val="1134945215"/>
      </c:lineChart>
      <c:scatterChart>
        <c:scatterStyle val="lineMarker"/>
        <c:varyColors val="0"/>
        <c:ser>
          <c:idx val="2"/>
          <c:order val="2"/>
          <c:tx>
            <c:strRef>
              <c:f>'KPI''s'!$N$63</c:f>
              <c:strCache>
                <c:ptCount val="1"/>
                <c:pt idx="0">
                  <c:v>Current Experince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92D050"/>
              </a:solidFill>
              <a:ln w="12700">
                <a:solidFill>
                  <a:schemeClr val="tx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'KPI''s'!$O$64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'KPI''s'!$P$63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6D-41B0-8990-242EF7A17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4944255"/>
        <c:axId val="1134945215"/>
      </c:scatterChart>
      <c:catAx>
        <c:axId val="11349442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945215"/>
        <c:crosses val="autoZero"/>
        <c:auto val="1"/>
        <c:lblAlgn val="ctr"/>
        <c:lblOffset val="100"/>
        <c:noMultiLvlLbl val="0"/>
      </c:catAx>
      <c:valAx>
        <c:axId val="113494521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944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kumimoji="0" lang="en-US" sz="1600" b="1" i="0" u="none" strike="noStrike" kern="1200" cap="none" spc="100" normalizeH="0" baseline="0" noProof="0">
                <a:ln>
                  <a:noFill/>
                </a:ln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uLnTx/>
                <a:uFillTx/>
                <a:latin typeface="Calibri" panose="020F0502020204030204"/>
              </a:rPr>
              <a:t>Current Vs Max Points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899844836357955E-2"/>
          <c:y val="0.11057166916610292"/>
          <c:w val="0.93663886881411118"/>
          <c:h val="0.65976591822503505"/>
        </c:manualLayout>
      </c:layout>
      <c:lineChart>
        <c:grouping val="standard"/>
        <c:varyColors val="0"/>
        <c:ser>
          <c:idx val="0"/>
          <c:order val="0"/>
          <c:tx>
            <c:strRef>
              <c:f>'KPI''s'!$K$66</c:f>
              <c:strCache>
                <c:ptCount val="1"/>
                <c:pt idx="0">
                  <c:v>With a common-law partner</c:v>
                </c:pt>
              </c:strCache>
            </c:strRef>
          </c:tx>
          <c:spPr>
            <a:ln w="34925" cap="rnd">
              <a:solidFill>
                <a:schemeClr val="accent5">
                  <a:tint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'KPI''s'!$O$65:$O$67</c:f>
              <c:numCache>
                <c:formatCode>General</c:formatCode>
                <c:ptCount val="3"/>
                <c:pt idx="0">
                  <c:v>#N/A</c:v>
                </c:pt>
              </c:numCache>
            </c:numRef>
          </c:cat>
          <c:val>
            <c:numRef>
              <c:f>'KPI''s'!$P$65:$P$67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EA-4610-83D4-88D28F60B0D4}"/>
            </c:ext>
          </c:extLst>
        </c:ser>
        <c:ser>
          <c:idx val="1"/>
          <c:order val="1"/>
          <c:tx>
            <c:strRef>
              <c:f>'KPI''s'!$L$66</c:f>
              <c:strCache>
                <c:ptCount val="1"/>
                <c:pt idx="0">
                  <c:v>Without  common-law partner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'KPI''s'!$O$65:$O$67</c:f>
              <c:numCache>
                <c:formatCode>General</c:formatCode>
                <c:ptCount val="3"/>
                <c:pt idx="0">
                  <c:v>#N/A</c:v>
                </c:pt>
              </c:numCache>
            </c:numRef>
          </c:cat>
          <c:val>
            <c:numRef>
              <c:f>'KPI''s'!$Q$65:$Q$67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EA-4610-83D4-88D28F60B0D4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34944255"/>
        <c:axId val="1134945215"/>
      </c:lineChart>
      <c:scatterChart>
        <c:scatterStyle val="lineMarker"/>
        <c:varyColors val="0"/>
        <c:ser>
          <c:idx val="2"/>
          <c:order val="2"/>
          <c:tx>
            <c:strRef>
              <c:f>'KPI''s'!$I$65</c:f>
              <c:strCache>
                <c:ptCount val="1"/>
                <c:pt idx="0">
                  <c:v>Your Points for Education Level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92D050"/>
              </a:solidFill>
              <a:ln w="12700">
                <a:solidFill>
                  <a:schemeClr val="tx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strRef>
              <c:f>'KPI''s'!$O$63</c:f>
              <c:strCache>
                <c:ptCount val="1"/>
                <c:pt idx="0">
                  <c:v>Select</c:v>
                </c:pt>
              </c:strCache>
            </c:strRef>
          </c:xVal>
          <c:yVal>
            <c:numRef>
              <c:f>'KPI''s'!$P$63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EA-4610-83D4-88D28F60B0D4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axId val="1134944255"/>
        <c:axId val="1134945215"/>
      </c:scatterChart>
      <c:catAx>
        <c:axId val="11349442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945215"/>
        <c:crosses val="autoZero"/>
        <c:auto val="1"/>
        <c:lblAlgn val="ctr"/>
        <c:lblOffset val="100"/>
        <c:noMultiLvlLbl val="0"/>
      </c:catAx>
      <c:valAx>
        <c:axId val="113494521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Points</a:t>
                </a:r>
              </a:p>
            </c:rich>
          </c:tx>
          <c:layout>
            <c:manualLayout>
              <c:xMode val="edge"/>
              <c:yMode val="edge"/>
              <c:x val="5.9829058486908976E-2"/>
              <c:y val="0.362043325545597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944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Points</a:t>
            </a:r>
            <a:r>
              <a:rPr lang="en-US" baseline="0"/>
              <a:t> Gained For Foreign Work Experience With CLB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'KPI''s'!$K$43</c:f>
              <c:strCache>
                <c:ptCount val="1"/>
                <c:pt idx="0">
                  <c:v>CLB 7 Or More In All Four Ability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EF-4325-98CE-92813604C6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'KPI''s'!$I$44:$I$46</c:f>
              <c:strCache>
                <c:ptCount val="3"/>
                <c:pt idx="0">
                  <c:v>None</c:v>
                </c:pt>
                <c:pt idx="1">
                  <c:v>1 or 2 years</c:v>
                </c:pt>
                <c:pt idx="2">
                  <c:v>3 years or more</c:v>
                </c:pt>
              </c:strCache>
            </c:strRef>
          </c:cat>
          <c:val>
            <c:numRef>
              <c:f>'KPI''s'!$K$44:$K$46</c:f>
              <c:numCache>
                <c:formatCode>General</c:formatCode>
                <c:ptCount val="3"/>
                <c:pt idx="0">
                  <c:v>0</c:v>
                </c:pt>
                <c:pt idx="1">
                  <c:v>13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EF-4325-98CE-92813604C6B5}"/>
            </c:ext>
          </c:extLst>
        </c:ser>
        <c:ser>
          <c:idx val="1"/>
          <c:order val="1"/>
          <c:tx>
            <c:strRef>
              <c:f>'KPI''s'!$L$43</c:f>
              <c:strCache>
                <c:ptCount val="1"/>
                <c:pt idx="0">
                  <c:v>CLB 9 Or More In All Four Ability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EF-4325-98CE-92813604C6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'KPI''s'!$I$44:$I$46</c:f>
              <c:strCache>
                <c:ptCount val="3"/>
                <c:pt idx="0">
                  <c:v>None</c:v>
                </c:pt>
                <c:pt idx="1">
                  <c:v>1 or 2 years</c:v>
                </c:pt>
                <c:pt idx="2">
                  <c:v>3 years or more</c:v>
                </c:pt>
              </c:strCache>
            </c:strRef>
          </c:cat>
          <c:val>
            <c:numRef>
              <c:f>'KPI''s'!$L$44:$L$46</c:f>
              <c:numCache>
                <c:formatCode>General</c:formatCode>
                <c:ptCount val="3"/>
                <c:pt idx="0">
                  <c:v>0</c:v>
                </c:pt>
                <c:pt idx="1">
                  <c:v>25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EF-4325-98CE-92813604C6B5}"/>
            </c:ext>
          </c:extLst>
        </c:ser>
        <c:ser>
          <c:idx val="2"/>
          <c:order val="2"/>
          <c:tx>
            <c:strRef>
              <c:f>'KPI''s'!$M$43</c:f>
              <c:strCache>
                <c:ptCount val="1"/>
                <c:pt idx="0">
                  <c:v>Your Points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Ref>
              <c:f>'KPI''s'!$I$44:$I$46</c:f>
              <c:strCache>
                <c:ptCount val="3"/>
                <c:pt idx="0">
                  <c:v>None</c:v>
                </c:pt>
                <c:pt idx="1">
                  <c:v>1 or 2 years</c:v>
                </c:pt>
                <c:pt idx="2">
                  <c:v>3 years or more</c:v>
                </c:pt>
              </c:strCache>
            </c:strRef>
          </c:cat>
          <c:val>
            <c:numRef>
              <c:f>'KPI''s'!$M$44:$M$46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EF-4325-98CE-92813604C6B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871680"/>
        <c:axId val="500872640"/>
      </c:barChart>
      <c:catAx>
        <c:axId val="500871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872640"/>
        <c:crosses val="autoZero"/>
        <c:auto val="1"/>
        <c:lblAlgn val="l"/>
        <c:lblOffset val="100"/>
        <c:noMultiLvlLbl val="0"/>
      </c:catAx>
      <c:valAx>
        <c:axId val="500872640"/>
        <c:scaling>
          <c:orientation val="minMax"/>
          <c:max val="52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87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Points Gained For Education With CLB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2"/>
          <c:order val="0"/>
          <c:tx>
            <c:strRef>
              <c:f>'KPI''s'!$K$48</c:f>
              <c:strCache>
                <c:ptCount val="1"/>
                <c:pt idx="0">
                  <c:v>CLB 7 Or More In All Four Ability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86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86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8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A2-4B3C-8BEC-6A1EAABFCD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'KPI''s'!$I$49:$I$53</c:f>
              <c:strCache>
                <c:ptCount val="5"/>
                <c:pt idx="0">
                  <c:v>High school or less</c:v>
                </c:pt>
                <c:pt idx="1">
                  <c:v>Program credential of one year or longer</c:v>
                </c:pt>
                <c:pt idx="2">
                  <c:v>Two or more  program credentials</c:v>
                </c:pt>
                <c:pt idx="3">
                  <c:v>Master Degree</c:v>
                </c:pt>
                <c:pt idx="4">
                  <c:v>A Credential at the doctoral level</c:v>
                </c:pt>
              </c:strCache>
            </c:strRef>
          </c:cat>
          <c:val>
            <c:numRef>
              <c:f>'KPI''s'!$K$49:$K$53</c:f>
              <c:numCache>
                <c:formatCode>General</c:formatCode>
                <c:ptCount val="5"/>
                <c:pt idx="0">
                  <c:v>0</c:v>
                </c:pt>
                <c:pt idx="1">
                  <c:v>13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A2-4B3C-8BEC-6A1EAABFCD27}"/>
            </c:ext>
          </c:extLst>
        </c:ser>
        <c:ser>
          <c:idx val="0"/>
          <c:order val="1"/>
          <c:tx>
            <c:strRef>
              <c:f>'KPI''s'!$L$48</c:f>
              <c:strCache>
                <c:ptCount val="1"/>
                <c:pt idx="0">
                  <c:v>CLB 9 Or More In All Four Ability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8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58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5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1A2-4B3C-8BEC-6A1EAABFCD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'KPI''s'!$I$49:$I$53</c:f>
              <c:strCache>
                <c:ptCount val="5"/>
                <c:pt idx="0">
                  <c:v>High school or less</c:v>
                </c:pt>
                <c:pt idx="1">
                  <c:v>Program credential of one year or longer</c:v>
                </c:pt>
                <c:pt idx="2">
                  <c:v>Two or more  program credentials</c:v>
                </c:pt>
                <c:pt idx="3">
                  <c:v>Master Degree</c:v>
                </c:pt>
                <c:pt idx="4">
                  <c:v>A Credential at the doctoral level</c:v>
                </c:pt>
              </c:strCache>
            </c:strRef>
          </c:cat>
          <c:val>
            <c:numRef>
              <c:f>'KPI''s'!$L$49:$L$53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1A2-4B3C-8BEC-6A1EAABFCD27}"/>
            </c:ext>
          </c:extLst>
        </c:ser>
        <c:ser>
          <c:idx val="3"/>
          <c:order val="2"/>
          <c:tx>
            <c:strRef>
              <c:f>'KPI''s'!$M$48</c:f>
              <c:strCache>
                <c:ptCount val="1"/>
                <c:pt idx="0">
                  <c:v>Your Points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Ref>
              <c:f>'KPI''s'!$I$49:$I$53</c:f>
              <c:strCache>
                <c:ptCount val="5"/>
                <c:pt idx="0">
                  <c:v>High school or less</c:v>
                </c:pt>
                <c:pt idx="1">
                  <c:v>Program credential of one year or longer</c:v>
                </c:pt>
                <c:pt idx="2">
                  <c:v>Two or more  program credentials</c:v>
                </c:pt>
                <c:pt idx="3">
                  <c:v>Master Degree</c:v>
                </c:pt>
                <c:pt idx="4">
                  <c:v>A Credential at the doctoral level</c:v>
                </c:pt>
              </c:strCache>
            </c:strRef>
          </c:cat>
          <c:val>
            <c:numRef>
              <c:f>'KPI''s'!$M$49:$M$53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1A2-4B3C-8BEC-6A1EAABFCD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871680"/>
        <c:axId val="500872640"/>
      </c:barChart>
      <c:catAx>
        <c:axId val="500871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872640"/>
        <c:crosses val="autoZero"/>
        <c:auto val="1"/>
        <c:lblAlgn val="l"/>
        <c:lblOffset val="100"/>
        <c:noMultiLvlLbl val="0"/>
      </c:catAx>
      <c:valAx>
        <c:axId val="500872640"/>
        <c:scaling>
          <c:orientation val="minMax"/>
          <c:max val="52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87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Points</a:t>
            </a:r>
            <a:r>
              <a:rPr lang="en-US" baseline="0"/>
              <a:t> Gained For Foreign Work Experience With Canadian Experience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'KPI''s'!$P$43</c:f>
              <c:strCache>
                <c:ptCount val="1"/>
                <c:pt idx="0">
                  <c:v> 1 year of Canadian work experience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D2C-45A8-83B8-F653C8ABBE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'KPI''s'!$I$44:$I$46</c:f>
              <c:strCache>
                <c:ptCount val="3"/>
                <c:pt idx="0">
                  <c:v>None</c:v>
                </c:pt>
                <c:pt idx="1">
                  <c:v>1 or 2 years</c:v>
                </c:pt>
                <c:pt idx="2">
                  <c:v>3 years or more</c:v>
                </c:pt>
              </c:strCache>
            </c:strRef>
          </c:cat>
          <c:val>
            <c:numRef>
              <c:f>'KPI''s'!$P$44:$P$46</c:f>
              <c:numCache>
                <c:formatCode>General</c:formatCode>
                <c:ptCount val="3"/>
                <c:pt idx="0">
                  <c:v>0</c:v>
                </c:pt>
                <c:pt idx="1">
                  <c:v>13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2C-45A8-83B8-F653C8ABBE3C}"/>
            </c:ext>
          </c:extLst>
        </c:ser>
        <c:ser>
          <c:idx val="1"/>
          <c:order val="1"/>
          <c:tx>
            <c:strRef>
              <c:f>'KPI''s'!$Q$43</c:f>
              <c:strCache>
                <c:ptCount val="1"/>
                <c:pt idx="0">
                  <c:v> 2 years or more of Canadian work experience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2C-45A8-83B8-F653C8ABBE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'KPI''s'!$I$44:$I$46</c:f>
              <c:strCache>
                <c:ptCount val="3"/>
                <c:pt idx="0">
                  <c:v>None</c:v>
                </c:pt>
                <c:pt idx="1">
                  <c:v>1 or 2 years</c:v>
                </c:pt>
                <c:pt idx="2">
                  <c:v>3 years or more</c:v>
                </c:pt>
              </c:strCache>
            </c:strRef>
          </c:cat>
          <c:val>
            <c:numRef>
              <c:f>'KPI''s'!$Q$44:$Q$46</c:f>
              <c:numCache>
                <c:formatCode>General</c:formatCode>
                <c:ptCount val="3"/>
                <c:pt idx="0">
                  <c:v>0</c:v>
                </c:pt>
                <c:pt idx="1">
                  <c:v>25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2C-45A8-83B8-F653C8ABBE3C}"/>
            </c:ext>
          </c:extLst>
        </c:ser>
        <c:ser>
          <c:idx val="2"/>
          <c:order val="2"/>
          <c:tx>
            <c:strRef>
              <c:f>'KPI''s'!$R$43</c:f>
              <c:strCache>
                <c:ptCount val="1"/>
                <c:pt idx="0">
                  <c:v>Your Points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Ref>
              <c:f>'KPI''s'!$I$44:$I$46</c:f>
              <c:strCache>
                <c:ptCount val="3"/>
                <c:pt idx="0">
                  <c:v>None</c:v>
                </c:pt>
                <c:pt idx="1">
                  <c:v>1 or 2 years</c:v>
                </c:pt>
                <c:pt idx="2">
                  <c:v>3 years or more</c:v>
                </c:pt>
              </c:strCache>
            </c:strRef>
          </c:cat>
          <c:val>
            <c:numRef>
              <c:f>'KPI''s'!$R$44:$R$46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2C-45A8-83B8-F653C8ABBE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871680"/>
        <c:axId val="500872640"/>
      </c:barChart>
      <c:catAx>
        <c:axId val="500871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872640"/>
        <c:crosses val="autoZero"/>
        <c:auto val="1"/>
        <c:lblAlgn val="l"/>
        <c:lblOffset val="100"/>
        <c:noMultiLvlLbl val="0"/>
      </c:catAx>
      <c:valAx>
        <c:axId val="500872640"/>
        <c:scaling>
          <c:orientation val="minMax"/>
          <c:max val="52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87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Points Gained For Education With Canadian Experience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2"/>
          <c:order val="0"/>
          <c:tx>
            <c:strRef>
              <c:f>'KPI''s'!$P$48</c:f>
              <c:strCache>
                <c:ptCount val="1"/>
                <c:pt idx="0">
                  <c:v> 1 year of Canadian work experience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86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86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8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B9-4F09-BAF8-9F0D439CC2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'KPI''s'!$I$49:$I$53</c:f>
              <c:strCache>
                <c:ptCount val="5"/>
                <c:pt idx="0">
                  <c:v>High school or less</c:v>
                </c:pt>
                <c:pt idx="1">
                  <c:v>Program credential of one year or longer</c:v>
                </c:pt>
                <c:pt idx="2">
                  <c:v>Two or more  program credentials</c:v>
                </c:pt>
                <c:pt idx="3">
                  <c:v>Master Degree</c:v>
                </c:pt>
                <c:pt idx="4">
                  <c:v>A Credential at the doctoral level</c:v>
                </c:pt>
              </c:strCache>
            </c:strRef>
          </c:cat>
          <c:val>
            <c:numRef>
              <c:f>'KPI''s'!$P$49:$P$53</c:f>
              <c:numCache>
                <c:formatCode>General</c:formatCode>
                <c:ptCount val="5"/>
                <c:pt idx="0">
                  <c:v>0</c:v>
                </c:pt>
                <c:pt idx="1">
                  <c:v>13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9-4F09-BAF8-9F0D439CC290}"/>
            </c:ext>
          </c:extLst>
        </c:ser>
        <c:ser>
          <c:idx val="0"/>
          <c:order val="1"/>
          <c:tx>
            <c:strRef>
              <c:f>'KPI''s'!$Q$48</c:f>
              <c:strCache>
                <c:ptCount val="1"/>
                <c:pt idx="0">
                  <c:v> 2 years or more of Canadian work experience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8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58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5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B9-4F09-BAF8-9F0D439CC2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'KPI''s'!$I$49:$I$53</c:f>
              <c:strCache>
                <c:ptCount val="5"/>
                <c:pt idx="0">
                  <c:v>High school or less</c:v>
                </c:pt>
                <c:pt idx="1">
                  <c:v>Program credential of one year or longer</c:v>
                </c:pt>
                <c:pt idx="2">
                  <c:v>Two or more  program credentials</c:v>
                </c:pt>
                <c:pt idx="3">
                  <c:v>Master Degree</c:v>
                </c:pt>
                <c:pt idx="4">
                  <c:v>A Credential at the doctoral level</c:v>
                </c:pt>
              </c:strCache>
            </c:strRef>
          </c:cat>
          <c:val>
            <c:numRef>
              <c:f>'KPI''s'!$Q$49:$Q$53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9-4F09-BAF8-9F0D439CC290}"/>
            </c:ext>
          </c:extLst>
        </c:ser>
        <c:ser>
          <c:idx val="3"/>
          <c:order val="2"/>
          <c:tx>
            <c:strRef>
              <c:f>'KPI''s'!$R$48</c:f>
              <c:strCache>
                <c:ptCount val="1"/>
                <c:pt idx="0">
                  <c:v>Your Points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Ref>
              <c:f>'KPI''s'!$I$49:$I$53</c:f>
              <c:strCache>
                <c:ptCount val="5"/>
                <c:pt idx="0">
                  <c:v>High school or less</c:v>
                </c:pt>
                <c:pt idx="1">
                  <c:v>Program credential of one year or longer</c:v>
                </c:pt>
                <c:pt idx="2">
                  <c:v>Two or more  program credentials</c:v>
                </c:pt>
                <c:pt idx="3">
                  <c:v>Master Degree</c:v>
                </c:pt>
                <c:pt idx="4">
                  <c:v>A Credential at the doctoral level</c:v>
                </c:pt>
              </c:strCache>
            </c:strRef>
          </c:cat>
          <c:val>
            <c:numRef>
              <c:f>'KPI''s'!$R$49:$R$53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B9-4F09-BAF8-9F0D439CC29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871680"/>
        <c:axId val="500872640"/>
      </c:barChart>
      <c:catAx>
        <c:axId val="500871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872640"/>
        <c:crosses val="autoZero"/>
        <c:auto val="1"/>
        <c:lblAlgn val="l"/>
        <c:lblOffset val="100"/>
        <c:noMultiLvlLbl val="0"/>
      </c:catAx>
      <c:valAx>
        <c:axId val="500872640"/>
        <c:scaling>
          <c:orientation val="minMax"/>
          <c:max val="52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87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kumimoji="0" lang="en-US" sz="1600" b="1" i="0" u="none" strike="noStrike" kern="1200" cap="none" spc="100" normalizeH="0" baseline="0" noProof="0">
                <a:ln>
                  <a:noFill/>
                </a:ln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uLnTx/>
                <a:uFillTx/>
                <a:latin typeface="Calibri" panose="020F0502020204030204"/>
              </a:rPr>
              <a:t>Spouse Canadian Work Experience Trend And Your Point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5899031952326287E-2"/>
          <c:y val="0.11057168256474607"/>
          <c:w val="0.93663886881411118"/>
          <c:h val="0.65976591822503505"/>
        </c:manualLayout>
      </c:layout>
      <c:lineChart>
        <c:grouping val="standard"/>
        <c:varyColors val="0"/>
        <c:ser>
          <c:idx val="0"/>
          <c:order val="0"/>
          <c:tx>
            <c:v>Points Trend</c:v>
          </c:tx>
          <c:spPr>
            <a:ln w="34925" cap="rnd">
              <a:solidFill>
                <a:schemeClr val="accent5">
                  <a:shade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'KPI''s'!$J$11:$J$16</c:f>
              <c:strCache>
                <c:ptCount val="6"/>
                <c:pt idx="0">
                  <c:v>None or less than a year</c:v>
                </c:pt>
                <c:pt idx="1">
                  <c:v>1 year</c:v>
                </c:pt>
                <c:pt idx="2">
                  <c:v>2 years</c:v>
                </c:pt>
                <c:pt idx="3">
                  <c:v>3 years</c:v>
                </c:pt>
                <c:pt idx="4">
                  <c:v>4 years</c:v>
                </c:pt>
                <c:pt idx="5">
                  <c:v>5 years or more</c:v>
                </c:pt>
              </c:strCache>
            </c:strRef>
          </c:cat>
          <c:val>
            <c:numRef>
              <c:f>'KPI''s'!$K$11:$K$16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26-464B-B296-BBE8D1E23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4944255"/>
        <c:axId val="1134945215"/>
      </c:lineChart>
      <c:scatterChart>
        <c:scatterStyle val="lineMarker"/>
        <c:varyColors val="0"/>
        <c:ser>
          <c:idx val="1"/>
          <c:order val="1"/>
          <c:tx>
            <c:strRef>
              <c:f>'KPI''s'!$I$17</c:f>
              <c:strCache>
                <c:ptCount val="1"/>
                <c:pt idx="0">
                  <c:v>Your Points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'KPI''s'!$J$17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'KPI''s'!$K$17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26-464B-B296-BBE8D1E23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4944255"/>
        <c:axId val="1134945215"/>
      </c:scatterChart>
      <c:catAx>
        <c:axId val="11349442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945215"/>
        <c:crosses val="autoZero"/>
        <c:auto val="1"/>
        <c:lblAlgn val="ctr"/>
        <c:lblOffset val="100"/>
        <c:noMultiLvlLbl val="0"/>
      </c:catAx>
      <c:valAx>
        <c:axId val="113494521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Points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944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kumimoji="0" lang="en-US" sz="1600" b="1" i="0" u="none" strike="noStrike" kern="1200" cap="none" spc="100" normalizeH="0" baseline="0" noProof="0">
                <a:ln>
                  <a:noFill/>
                </a:ln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uLnTx/>
                <a:uFillTx/>
                <a:latin typeface="Calibri" panose="020F0502020204030204"/>
              </a:rPr>
              <a:t>Spouse Education Points Trend And Your Point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5899031952326287E-2"/>
          <c:y val="0.11057168256474607"/>
          <c:w val="0.93663886881411118"/>
          <c:h val="0.65976591822503505"/>
        </c:manualLayout>
      </c:layout>
      <c:lineChart>
        <c:grouping val="standard"/>
        <c:varyColors val="0"/>
        <c:ser>
          <c:idx val="0"/>
          <c:order val="0"/>
          <c:tx>
            <c:v>Points Trend</c:v>
          </c:tx>
          <c:spPr>
            <a:ln w="34925" cap="rnd">
              <a:solidFill>
                <a:schemeClr val="accent5">
                  <a:shade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'KPI''s'!$I$28:$I$35</c:f>
              <c:strCache>
                <c:ptCount val="8"/>
                <c:pt idx="0">
                  <c:v>Less than secondary school (high school)</c:v>
                </c:pt>
                <c:pt idx="1">
                  <c:v>Secondary diploma (high school graduation)</c:v>
                </c:pt>
                <c:pt idx="2">
                  <c:v>One-year degree, diploma or certificate</c:v>
                </c:pt>
                <c:pt idx="3">
                  <c:v>Two-year program at a university, college</c:v>
                </c:pt>
                <c:pt idx="4">
                  <c:v>Bachelor's degree OR  a three or more year program</c:v>
                </c:pt>
                <c:pt idx="5">
                  <c:v>Two or more certificates, diplomas, or degrees</c:v>
                </c:pt>
                <c:pt idx="6">
                  <c:v>Master's degree</c:v>
                </c:pt>
                <c:pt idx="7">
                  <c:v>Doctoral level university degree (Ph.D.)</c:v>
                </c:pt>
              </c:strCache>
            </c:strRef>
          </c:cat>
          <c:val>
            <c:numRef>
              <c:f>'KPI''s'!$K$28:$K$35</c:f>
              <c:numCache>
                <c:formatCode>General</c:formatCode>
                <c:ptCount val="8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C-418D-8829-C040B243685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34944255"/>
        <c:axId val="1134945215"/>
      </c:lineChart>
      <c:scatterChart>
        <c:scatterStyle val="lineMarker"/>
        <c:varyColors val="0"/>
        <c:ser>
          <c:idx val="1"/>
          <c:order val="1"/>
          <c:tx>
            <c:strRef>
              <c:f>'KPI''s'!$I$17</c:f>
              <c:strCache>
                <c:ptCount val="1"/>
                <c:pt idx="0">
                  <c:v>Your Points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'KPI''s'!$J$36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'KPI''s'!$K$36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8C-418D-8829-C040B243685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134944255"/>
        <c:axId val="1134945215"/>
      </c:scatterChart>
      <c:catAx>
        <c:axId val="11349442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945215"/>
        <c:crosses val="autoZero"/>
        <c:auto val="1"/>
        <c:lblAlgn val="ctr"/>
        <c:lblOffset val="100"/>
        <c:noMultiLvlLbl val="0"/>
      </c:catAx>
      <c:valAx>
        <c:axId val="113494521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Points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944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Spouse Language Points Trend And Your Points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Points</c:v>
          </c:tx>
          <c:spPr>
            <a:ln w="9525" cap="rnd">
              <a:solidFill>
                <a:schemeClr val="accent5">
                  <a:tint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'KPI''s'!$J$20:$J$23</c:f>
              <c:strCache>
                <c:ptCount val="4"/>
                <c:pt idx="0">
                  <c:v>CLB 4 or less</c:v>
                </c:pt>
                <c:pt idx="1">
                  <c:v>CLB 5 or 6</c:v>
                </c:pt>
                <c:pt idx="2">
                  <c:v>CLB 7 or 8</c:v>
                </c:pt>
                <c:pt idx="3">
                  <c:v>CLB 9 or more</c:v>
                </c:pt>
              </c:strCache>
            </c:strRef>
          </c:cat>
          <c:val>
            <c:numRef>
              <c:f>'KPI''s'!$K$20:$K$23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92-43A2-82B2-C46DC0C63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4235007"/>
        <c:axId val="1544236447"/>
      </c:lineChart>
      <c:scatterChart>
        <c:scatterStyle val="lineMarker"/>
        <c:varyColors val="0"/>
        <c:ser>
          <c:idx val="5"/>
          <c:order val="1"/>
          <c:tx>
            <c:strRef>
              <c:f>'KPI''s'!$A$59</c:f>
              <c:strCache>
                <c:ptCount val="1"/>
                <c:pt idx="0">
                  <c:v>Speaking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6"/>
              </a:solidFill>
              <a:ln w="9525" cap="rnd">
                <a:solidFill>
                  <a:schemeClr val="accent5">
                    <a:shade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'KPI''s'!$M$25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'KPI''s'!$M$26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92-43A2-82B2-C46DC0C631AE}"/>
            </c:ext>
          </c:extLst>
        </c:ser>
        <c:ser>
          <c:idx val="3"/>
          <c:order val="2"/>
          <c:tx>
            <c:strRef>
              <c:f>'KPI''s'!$A$57</c:f>
              <c:strCache>
                <c:ptCount val="1"/>
                <c:pt idx="0">
                  <c:v>Writing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CC3300"/>
              </a:solidFill>
              <a:ln w="9525" cap="rnd">
                <a:solidFill>
                  <a:schemeClr val="accent5">
                    <a:shade val="9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'KPI''s'!$K$25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'KPI''s'!$K$26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92-43A2-82B2-C46DC0C631AE}"/>
            </c:ext>
          </c:extLst>
        </c:ser>
        <c:ser>
          <c:idx val="2"/>
          <c:order val="3"/>
          <c:tx>
            <c:strRef>
              <c:f>'KPI''s'!$A$56</c:f>
              <c:strCache>
                <c:ptCount val="1"/>
                <c:pt idx="0">
                  <c:v>Reading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9525" cap="rnd">
                <a:solidFill>
                  <a:schemeClr val="accent5">
                    <a:shade val="6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'KPI''s'!$J$25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'KPI''s'!$J$26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E92-43A2-82B2-C46DC0C631AE}"/>
            </c:ext>
          </c:extLst>
        </c:ser>
        <c:ser>
          <c:idx val="4"/>
          <c:order val="4"/>
          <c:tx>
            <c:strRef>
              <c:f>'KPI''s'!$A$58</c:f>
              <c:strCache>
                <c:ptCount val="1"/>
                <c:pt idx="0">
                  <c:v>Listening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4"/>
              </a:solidFill>
              <a:ln w="9525" cap="rnd">
                <a:solidFill>
                  <a:schemeClr val="accent5">
                    <a:shade val="7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'KPI''s'!$L$25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'KPI''s'!$L$26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E92-43A2-82B2-C46DC0C63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235007"/>
        <c:axId val="1544236447"/>
      </c:scatterChart>
      <c:catAx>
        <c:axId val="1544235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236447"/>
        <c:crosses val="autoZero"/>
        <c:auto val="1"/>
        <c:lblAlgn val="ctr"/>
        <c:lblOffset val="100"/>
        <c:noMultiLvlLbl val="0"/>
      </c:catAx>
      <c:valAx>
        <c:axId val="154423644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Points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235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Points</a:t>
            </a:r>
            <a:r>
              <a:rPr lang="en-US" baseline="0"/>
              <a:t> For </a:t>
            </a:r>
            <a:r>
              <a:rPr lang="en-US"/>
              <a:t>French Language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'KPI''s'!$A$64:$A$65</c:f>
              <c:strCache>
                <c:ptCount val="2"/>
                <c:pt idx="0">
                  <c:v>Scored NCLC 7 or higher on all four French language skills and scored CLB 4 or lower in English (or didn’t take an English test)</c:v>
                </c:pt>
                <c:pt idx="1">
                  <c:v>Scored NCLC 7 or higher on all four French language skills and scored CLB 5 or higher on all four English skills</c:v>
                </c:pt>
              </c:strCache>
            </c:strRef>
          </c:cat>
          <c:val>
            <c:numRef>
              <c:f>'KPI''s'!$B$64:$B$65</c:f>
              <c:numCache>
                <c:formatCode>General</c:formatCode>
                <c:ptCount val="2"/>
                <c:pt idx="0">
                  <c:v>25</c:v>
                </c:pt>
                <c:pt idx="1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13-41DA-99F5-CC3A0CC1A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73486272"/>
        <c:axId val="1173482912"/>
      </c:barChart>
      <c:catAx>
        <c:axId val="1173486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482912"/>
        <c:crosses val="autoZero"/>
        <c:auto val="1"/>
        <c:lblAlgn val="ctr"/>
        <c:lblOffset val="100"/>
        <c:noMultiLvlLbl val="0"/>
      </c:catAx>
      <c:valAx>
        <c:axId val="1173482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48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Points For</a:t>
            </a:r>
            <a:r>
              <a:rPr lang="en-US" baseline="0"/>
              <a:t> </a:t>
            </a:r>
            <a:r>
              <a:rPr lang="en-US"/>
              <a:t>Study</a:t>
            </a:r>
            <a:r>
              <a:rPr lang="en-US" baseline="0"/>
              <a:t> In Canada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'KPI''s'!$A$66:$A$67</c:f>
              <c:strCache>
                <c:ptCount val="2"/>
                <c:pt idx="0">
                  <c:v>Post-secondary education in Canada - credential of one or two years</c:v>
                </c:pt>
                <c:pt idx="1">
                  <c:v>Post-secondary education in Canada - credential three years or longer</c:v>
                </c:pt>
              </c:strCache>
            </c:strRef>
          </c:cat>
          <c:val>
            <c:numRef>
              <c:f>'KPI''s'!$B$66:$B$67</c:f>
              <c:numCache>
                <c:formatCode>General</c:formatCode>
                <c:ptCount val="2"/>
                <c:pt idx="0">
                  <c:v>15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AF-454F-908D-D756E935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547556576"/>
        <c:axId val="1547551296"/>
      </c:barChart>
      <c:catAx>
        <c:axId val="15475565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7551296"/>
        <c:crosses val="autoZero"/>
        <c:auto val="1"/>
        <c:lblAlgn val="ctr"/>
        <c:lblOffset val="100"/>
        <c:noMultiLvlLbl val="0"/>
      </c:catAx>
      <c:valAx>
        <c:axId val="154755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755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Points For Provincial</a:t>
            </a:r>
            <a:r>
              <a:rPr lang="en-US" baseline="0"/>
              <a:t> Nomination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'KPI''s'!$A$68</c:f>
              <c:strCache>
                <c:ptCount val="1"/>
                <c:pt idx="0">
                  <c:v>Provincial or territorial nomination</c:v>
                </c:pt>
              </c:strCache>
            </c:strRef>
          </c:cat>
          <c:val>
            <c:numRef>
              <c:f>'KPI''s'!$B$68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90-4684-95D1-6C4BA5843F47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'KPI''s'!$A$68</c:f>
              <c:strCache>
                <c:ptCount val="1"/>
                <c:pt idx="0">
                  <c:v>Provincial or territorial nomination</c:v>
                </c:pt>
              </c:strCache>
              <c:extLst xmlns:c15="http://schemas.microsoft.com/office/drawing/2012/chart"/>
            </c:strRef>
          </c:cat>
          <c:val>
            <c:numRef>
              <c:f>'KPI''s'!#REF!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F590-4684-95D1-6C4BA5843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275179648"/>
        <c:axId val="1275181568"/>
        <c:extLst/>
      </c:barChart>
      <c:catAx>
        <c:axId val="1275179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5181568"/>
        <c:crosses val="autoZero"/>
        <c:auto val="1"/>
        <c:lblAlgn val="ctr"/>
        <c:lblOffset val="100"/>
        <c:noMultiLvlLbl val="0"/>
      </c:catAx>
      <c:valAx>
        <c:axId val="1275181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517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Points For Sibling in Canada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'KPI''s'!$A$63</c:f>
              <c:strCache>
                <c:ptCount val="1"/>
                <c:pt idx="0">
                  <c:v>Brother or sister living in Canada who is a citizen or permanent resident of Canada</c:v>
                </c:pt>
              </c:strCache>
            </c:strRef>
          </c:cat>
          <c:val>
            <c:numRef>
              <c:f>'KPI''s'!$B$63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60-4164-9772-9423FB318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21698912"/>
        <c:axId val="1121702752"/>
      </c:barChart>
      <c:catAx>
        <c:axId val="11216989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1702752"/>
        <c:crosses val="autoZero"/>
        <c:auto val="1"/>
        <c:lblAlgn val="ctr"/>
        <c:lblOffset val="100"/>
        <c:noMultiLvlLbl val="0"/>
      </c:catAx>
      <c:valAx>
        <c:axId val="1121702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169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9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0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13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14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15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16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17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18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19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20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2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3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108852</xdr:colOff>
          <xdr:row>3</xdr:row>
          <xdr:rowOff>67551</xdr:rowOff>
        </xdr:from>
        <xdr:to>
          <xdr:col>13</xdr:col>
          <xdr:colOff>511628</xdr:colOff>
          <xdr:row>74</xdr:row>
          <xdr:rowOff>185058</xdr:rowOff>
        </xdr:to>
        <xdr:pic>
          <xdr:nvPicPr>
            <xdr:cNvPr id="5" name="camChart">
              <a:extLst>
                <a:ext uri="{FF2B5EF4-FFF2-40B4-BE49-F238E27FC236}">
                  <a16:creationId xmlns:a16="http://schemas.microsoft.com/office/drawing/2014/main" id="{C4EA5CA8-ECFF-CFD5-4A51-3737FAFBCA7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harts!$E$2:$E$4" spid="_x0000_s37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705595" y="791451"/>
              <a:ext cx="6738262" cy="13664778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733425</xdr:colOff>
          <xdr:row>1</xdr:row>
          <xdr:rowOff>28575</xdr:rowOff>
        </xdr:from>
        <xdr:to>
          <xdr:col>4</xdr:col>
          <xdr:colOff>47625</xdr:colOff>
          <xdr:row>1</xdr:row>
          <xdr:rowOff>266700</xdr:rowOff>
        </xdr:to>
        <xdr:sp macro="" textlink="">
          <xdr:nvSpPr>
            <xdr:cNvPr id="3441" name="Button 369" hidden="1">
              <a:extLst>
                <a:ext uri="{63B3BB69-23CF-44E3-9099-C40C66FF867C}">
                  <a14:compatExt spid="_x0000_s3441"/>
                </a:ext>
                <a:ext uri="{FF2B5EF4-FFF2-40B4-BE49-F238E27FC236}">
                  <a16:creationId xmlns:a16="http://schemas.microsoft.com/office/drawing/2014/main" id="{00000000-0008-0000-0000-00007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dist" rtl="0">
                <a:defRPr sz="1000"/>
              </a:pPr>
              <a:r>
                <a:rPr lang="en-US" sz="2200" b="0" i="0" u="none" strike="noStrike" baseline="0">
                  <a:solidFill>
                    <a:srgbClr val="FFFFFF"/>
                  </a:solidFill>
                  <a:latin typeface="Bierstadt Display"/>
                </a:rPr>
                <a:t>RESETon 369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733742</xdr:colOff>
      <xdr:row>1</xdr:row>
      <xdr:rowOff>44737</xdr:rowOff>
    </xdr:from>
    <xdr:to>
      <xdr:col>0</xdr:col>
      <xdr:colOff>6334845</xdr:colOff>
      <xdr:row>1</xdr:row>
      <xdr:rowOff>2817013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D1E157-B8CE-4D9C-8DDD-ED22509BAB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763856</xdr:colOff>
      <xdr:row>1</xdr:row>
      <xdr:rowOff>4684054</xdr:rowOff>
    </xdr:from>
    <xdr:to>
      <xdr:col>0</xdr:col>
      <xdr:colOff>6344884</xdr:colOff>
      <xdr:row>2</xdr:row>
      <xdr:rowOff>1548825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F640B90-7A06-474D-B3FB-85377C24A4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758836</xdr:colOff>
      <xdr:row>1</xdr:row>
      <xdr:rowOff>2877378</xdr:rowOff>
    </xdr:from>
    <xdr:to>
      <xdr:col>0</xdr:col>
      <xdr:colOff>6339864</xdr:colOff>
      <xdr:row>1</xdr:row>
      <xdr:rowOff>4626250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264BCB6-1316-4D70-8493-D80B74C4FF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</xdr:col>
      <xdr:colOff>336942</xdr:colOff>
      <xdr:row>1</xdr:row>
      <xdr:rowOff>71572</xdr:rowOff>
    </xdr:from>
    <xdr:to>
      <xdr:col>1</xdr:col>
      <xdr:colOff>6747451</xdr:colOff>
      <xdr:row>1</xdr:row>
      <xdr:rowOff>2812917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A79F0A6-88AC-4BEE-8AF3-083F38E81C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</xdr:col>
      <xdr:colOff>303197</xdr:colOff>
      <xdr:row>1</xdr:row>
      <xdr:rowOff>111078</xdr:rowOff>
    </xdr:from>
    <xdr:to>
      <xdr:col>2</xdr:col>
      <xdr:colOff>6745994</xdr:colOff>
      <xdr:row>1</xdr:row>
      <xdr:rowOff>5076352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5E211764-30C2-FCE5-269F-A9B7D377C209}"/>
            </a:ext>
          </a:extLst>
        </xdr:cNvPr>
        <xdr:cNvGrpSpPr/>
      </xdr:nvGrpSpPr>
      <xdr:grpSpPr>
        <a:xfrm>
          <a:off x="14400197" y="158703"/>
          <a:ext cx="6442797" cy="4965274"/>
          <a:chOff x="5734778" y="3411282"/>
          <a:chExt cx="6448221" cy="4965274"/>
        </a:xfrm>
      </xdr:grpSpPr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48E2522A-3DEF-4C8D-9AC5-8A33F2065CCB}"/>
              </a:ext>
            </a:extLst>
          </xdr:cNvPr>
          <xdr:cNvGraphicFramePr>
            <a:graphicFrameLocks/>
          </xdr:cNvGraphicFramePr>
        </xdr:nvGraphicFramePr>
        <xdr:xfrm>
          <a:off x="5739487" y="3411282"/>
          <a:ext cx="6407151" cy="274134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EC85C291-F6E7-41AF-8ED4-00025D73BF04}"/>
              </a:ext>
            </a:extLst>
          </xdr:cNvPr>
          <xdr:cNvGraphicFramePr>
            <a:graphicFrameLocks/>
          </xdr:cNvGraphicFramePr>
        </xdr:nvGraphicFramePr>
        <xdr:xfrm>
          <a:off x="5734778" y="6215743"/>
          <a:ext cx="3672782" cy="216081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DA26A297-6822-4A68-A729-BD2FB32F88C5}"/>
              </a:ext>
            </a:extLst>
          </xdr:cNvPr>
          <xdr:cNvGraphicFramePr>
            <a:graphicFrameLocks/>
          </xdr:cNvGraphicFramePr>
        </xdr:nvGraphicFramePr>
        <xdr:xfrm>
          <a:off x="9467431" y="6215742"/>
          <a:ext cx="2715568" cy="215518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3</xdr:col>
      <xdr:colOff>310602</xdr:colOff>
      <xdr:row>1</xdr:row>
      <xdr:rowOff>146047</xdr:rowOff>
    </xdr:from>
    <xdr:to>
      <xdr:col>3</xdr:col>
      <xdr:colOff>6771775</xdr:colOff>
      <xdr:row>1</xdr:row>
      <xdr:rowOff>5104281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4F019ECB-6EF9-4F45-BFF0-43F576DF8B39}"/>
            </a:ext>
          </a:extLst>
        </xdr:cNvPr>
        <xdr:cNvGrpSpPr/>
      </xdr:nvGrpSpPr>
      <xdr:grpSpPr>
        <a:xfrm>
          <a:off x="21456102" y="193672"/>
          <a:ext cx="6461173" cy="4958234"/>
          <a:chOff x="5734778" y="3411282"/>
          <a:chExt cx="6448221" cy="4995091"/>
        </a:xfrm>
      </xdr:grpSpPr>
      <xdr:graphicFrame macro="">
        <xdr:nvGraphicFramePr>
          <xdr:cNvPr id="15" name="Chart 14">
            <a:extLst>
              <a:ext uri="{FF2B5EF4-FFF2-40B4-BE49-F238E27FC236}">
                <a16:creationId xmlns:a16="http://schemas.microsoft.com/office/drawing/2014/main" id="{ED5E59D5-721E-B19D-BCC0-3C16198DC6DE}"/>
              </a:ext>
            </a:extLst>
          </xdr:cNvPr>
          <xdr:cNvGraphicFramePr>
            <a:graphicFrameLocks/>
          </xdr:cNvGraphicFramePr>
        </xdr:nvGraphicFramePr>
        <xdr:xfrm>
          <a:off x="5739486" y="3411282"/>
          <a:ext cx="6407148" cy="274134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7" name="Chart 16">
            <a:extLst>
              <a:ext uri="{FF2B5EF4-FFF2-40B4-BE49-F238E27FC236}">
                <a16:creationId xmlns:a16="http://schemas.microsoft.com/office/drawing/2014/main" id="{EE0BF61D-1CD0-F08C-415F-D0BC0215903C}"/>
              </a:ext>
            </a:extLst>
          </xdr:cNvPr>
          <xdr:cNvGraphicFramePr>
            <a:graphicFrameLocks/>
          </xdr:cNvGraphicFramePr>
        </xdr:nvGraphicFramePr>
        <xdr:xfrm>
          <a:off x="5734778" y="6215743"/>
          <a:ext cx="3672782" cy="216081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8" name="Chart 17">
            <a:extLst>
              <a:ext uri="{FF2B5EF4-FFF2-40B4-BE49-F238E27FC236}">
                <a16:creationId xmlns:a16="http://schemas.microsoft.com/office/drawing/2014/main" id="{304A73ED-7B80-2F8F-74CE-69C7C7048D49}"/>
              </a:ext>
            </a:extLst>
          </xdr:cNvPr>
          <xdr:cNvGraphicFramePr>
            <a:graphicFrameLocks/>
          </xdr:cNvGraphicFramePr>
        </xdr:nvGraphicFramePr>
        <xdr:xfrm>
          <a:off x="9467431" y="6215742"/>
          <a:ext cx="2715568" cy="219063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 editAs="absolute">
    <xdr:from>
      <xdr:col>1</xdr:col>
      <xdr:colOff>342900</xdr:colOff>
      <xdr:row>1</xdr:row>
      <xdr:rowOff>2891937</xdr:rowOff>
    </xdr:from>
    <xdr:to>
      <xdr:col>1</xdr:col>
      <xdr:colOff>6734176</xdr:colOff>
      <xdr:row>2</xdr:row>
      <xdr:rowOff>433021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D8F5AE6-03F3-4386-80CD-406A5169BD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4</xdr:col>
      <xdr:colOff>80596</xdr:colOff>
      <xdr:row>1</xdr:row>
      <xdr:rowOff>109904</xdr:rowOff>
    </xdr:from>
    <xdr:to>
      <xdr:col>4</xdr:col>
      <xdr:colOff>7022944</xdr:colOff>
      <xdr:row>1</xdr:row>
      <xdr:rowOff>4309685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5A3EF3FD-ED2B-47F7-BBC4-2334DA9C39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0</xdr:col>
      <xdr:colOff>768569</xdr:colOff>
      <xdr:row>2</xdr:row>
      <xdr:rowOff>1617117</xdr:rowOff>
    </xdr:from>
    <xdr:to>
      <xdr:col>0</xdr:col>
      <xdr:colOff>6349597</xdr:colOff>
      <xdr:row>2</xdr:row>
      <xdr:rowOff>3173105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B0C50E9-8A0F-4D0B-8918-BE2720571B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4</xdr:col>
      <xdr:colOff>115954</xdr:colOff>
      <xdr:row>1</xdr:row>
      <xdr:rowOff>4447762</xdr:rowOff>
    </xdr:from>
    <xdr:to>
      <xdr:col>5</xdr:col>
      <xdr:colOff>9802</xdr:colOff>
      <xdr:row>2</xdr:row>
      <xdr:rowOff>2700130</xdr:rowOff>
    </xdr:to>
    <xdr:graphicFrame macro="">
      <xdr:nvGraphicFramePr>
        <xdr:cNvPr id="12" name="Chart 22">
          <a:extLst>
            <a:ext uri="{FF2B5EF4-FFF2-40B4-BE49-F238E27FC236}">
              <a16:creationId xmlns:a16="http://schemas.microsoft.com/office/drawing/2014/main" id="{BC6F7472-CFA2-4ED8-A97A-5F19F2E07E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5</xdr:col>
      <xdr:colOff>496956</xdr:colOff>
      <xdr:row>1</xdr:row>
      <xdr:rowOff>248479</xdr:rowOff>
    </xdr:from>
    <xdr:to>
      <xdr:col>5</xdr:col>
      <xdr:colOff>6858000</xdr:colOff>
      <xdr:row>1</xdr:row>
      <xdr:rowOff>4058478</xdr:rowOff>
    </xdr:to>
    <xdr:graphicFrame macro="">
      <xdr:nvGraphicFramePr>
        <xdr:cNvPr id="16" name="Chart 22">
          <a:extLst>
            <a:ext uri="{FF2B5EF4-FFF2-40B4-BE49-F238E27FC236}">
              <a16:creationId xmlns:a16="http://schemas.microsoft.com/office/drawing/2014/main" id="{DE67C385-8814-40AB-B8E1-58C1672CD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5</xdr:col>
      <xdr:colOff>503463</xdr:colOff>
      <xdr:row>1</xdr:row>
      <xdr:rowOff>4252232</xdr:rowOff>
    </xdr:from>
    <xdr:to>
      <xdr:col>5</xdr:col>
      <xdr:colOff>6871606</xdr:colOff>
      <xdr:row>2</xdr:row>
      <xdr:rowOff>2504600</xdr:rowOff>
    </xdr:to>
    <xdr:graphicFrame macro="">
      <xdr:nvGraphicFramePr>
        <xdr:cNvPr id="19" name="Chart 22">
          <a:extLst>
            <a:ext uri="{FF2B5EF4-FFF2-40B4-BE49-F238E27FC236}">
              <a16:creationId xmlns:a16="http://schemas.microsoft.com/office/drawing/2014/main" id="{72F91CF8-0A05-43ED-83A4-3E8EF698B4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6</xdr:col>
      <xdr:colOff>468141</xdr:colOff>
      <xdr:row>1</xdr:row>
      <xdr:rowOff>2653955</xdr:rowOff>
    </xdr:from>
    <xdr:to>
      <xdr:col>6</xdr:col>
      <xdr:colOff>6833452</xdr:colOff>
      <xdr:row>1</xdr:row>
      <xdr:rowOff>4968396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7F75AE9E-6486-405C-978D-818FADF4CD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6</xdr:col>
      <xdr:colOff>421822</xdr:colOff>
      <xdr:row>1</xdr:row>
      <xdr:rowOff>272142</xdr:rowOff>
    </xdr:from>
    <xdr:to>
      <xdr:col>6</xdr:col>
      <xdr:colOff>6858506</xdr:colOff>
      <xdr:row>1</xdr:row>
      <xdr:rowOff>2585956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6D8B3B08-4E58-49A7-8962-271E970623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6</xdr:col>
      <xdr:colOff>493580</xdr:colOff>
      <xdr:row>2</xdr:row>
      <xdr:rowOff>2183030</xdr:rowOff>
    </xdr:from>
    <xdr:to>
      <xdr:col>6</xdr:col>
      <xdr:colOff>6858891</xdr:colOff>
      <xdr:row>3</xdr:row>
      <xdr:rowOff>952515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5FBE52B4-F4D4-4CD2-A2A7-3B6F57EC00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6</xdr:col>
      <xdr:colOff>447261</xdr:colOff>
      <xdr:row>1</xdr:row>
      <xdr:rowOff>5019261</xdr:rowOff>
    </xdr:from>
    <xdr:to>
      <xdr:col>6</xdr:col>
      <xdr:colOff>6883945</xdr:colOff>
      <xdr:row>2</xdr:row>
      <xdr:rowOff>2131597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14FCA31E-730E-497F-9084-7EDFE0AD8A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7</xdr:col>
      <xdr:colOff>200025</xdr:colOff>
      <xdr:row>1</xdr:row>
      <xdr:rowOff>4095751</xdr:rowOff>
    </xdr:from>
    <xdr:to>
      <xdr:col>7</xdr:col>
      <xdr:colOff>6962775</xdr:colOff>
      <xdr:row>2</xdr:row>
      <xdr:rowOff>1371600</xdr:rowOff>
    </xdr:to>
    <xdr:graphicFrame macro="">
      <xdr:nvGraphicFramePr>
        <xdr:cNvPr id="21" name="Chart 22">
          <a:extLst>
            <a:ext uri="{FF2B5EF4-FFF2-40B4-BE49-F238E27FC236}">
              <a16:creationId xmlns:a16="http://schemas.microsoft.com/office/drawing/2014/main" id="{05BF343A-C9B9-4724-A4EA-4D8AFB8DFE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7</xdr:col>
      <xdr:colOff>104775</xdr:colOff>
      <xdr:row>1</xdr:row>
      <xdr:rowOff>270030</xdr:rowOff>
    </xdr:from>
    <xdr:to>
      <xdr:col>7</xdr:col>
      <xdr:colOff>6953250</xdr:colOff>
      <xdr:row>1</xdr:row>
      <xdr:rowOff>3990975</xdr:rowOff>
    </xdr:to>
    <xdr:graphicFrame macro="">
      <xdr:nvGraphicFramePr>
        <xdr:cNvPr id="22" name="Chart 22">
          <a:extLst>
            <a:ext uri="{FF2B5EF4-FFF2-40B4-BE49-F238E27FC236}">
              <a16:creationId xmlns:a16="http://schemas.microsoft.com/office/drawing/2014/main" id="{81C91DFE-98F0-469A-BA29-F73BB33209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</xdr:col>
      <xdr:colOff>257175</xdr:colOff>
      <xdr:row>2</xdr:row>
      <xdr:rowOff>1438275</xdr:rowOff>
    </xdr:from>
    <xdr:to>
      <xdr:col>7</xdr:col>
      <xdr:colOff>6953250</xdr:colOff>
      <xdr:row>3</xdr:row>
      <xdr:rowOff>997093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9A220012-6451-4FDC-9BC9-9675CCA85B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8</xdr:col>
      <xdr:colOff>155121</xdr:colOff>
      <xdr:row>1</xdr:row>
      <xdr:rowOff>3095625</xdr:rowOff>
    </xdr:from>
    <xdr:to>
      <xdr:col>8</xdr:col>
      <xdr:colOff>7000874</xdr:colOff>
      <xdr:row>2</xdr:row>
      <xdr:rowOff>638175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56BEBF3-051D-4783-A727-2DDB5C0501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8</xdr:col>
      <xdr:colOff>152400</xdr:colOff>
      <xdr:row>1</xdr:row>
      <xdr:rowOff>240847</xdr:rowOff>
    </xdr:from>
    <xdr:to>
      <xdr:col>8</xdr:col>
      <xdr:colOff>6991350</xdr:colOff>
      <xdr:row>1</xdr:row>
      <xdr:rowOff>2984047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458043DF-3D44-46C1-8450-6BF69E9E70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8</xdr:col>
      <xdr:colOff>180974</xdr:colOff>
      <xdr:row>2</xdr:row>
      <xdr:rowOff>3514725</xdr:rowOff>
    </xdr:from>
    <xdr:to>
      <xdr:col>8</xdr:col>
      <xdr:colOff>7048499</xdr:colOff>
      <xdr:row>3</xdr:row>
      <xdr:rowOff>2714625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F67792AA-91D4-402C-858C-F659A435EE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8</xdr:col>
      <xdr:colOff>164646</xdr:colOff>
      <xdr:row>2</xdr:row>
      <xdr:rowOff>704850</xdr:rowOff>
    </xdr:from>
    <xdr:to>
      <xdr:col>8</xdr:col>
      <xdr:colOff>7010400</xdr:colOff>
      <xdr:row>2</xdr:row>
      <xdr:rowOff>3448050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2E55CC19-AF31-421D-A5DB-F9E3E000AD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evel of Education" backgroundRefresh="0" connectionId="16" xr16:uid="{0E0229E2-0A60-4660-B288-799F05BD59FF}" autoFormatId="16" applyNumberFormats="0" applyBorderFormats="0" applyFontFormats="0" applyPatternFormats="0" applyAlignmentFormats="0" applyWidthHeightFormats="0">
  <queryTableRefresh nextId="4">
    <queryTableFields count="3">
      <queryTableField id="1" name="Level of Education" tableColumnId="1"/>
      <queryTableField id="2" name="With a spouse or common-law partner(Maximum 140 points)" tableColumnId="2"/>
      <queryTableField id="3" name="Without a spouse or common-law partner(Maximum 150 points)" tableColumnId="3"/>
    </queryTableFields>
  </queryTableRefresh>
  <extLst>
    <ext xmlns:x15="http://schemas.microsoft.com/office/spreadsheetml/2010/11/main" uri="{883FBD77-0823-4a55-B5E3-86C4891E6966}">
      <x15:queryTable sourceDataName="Query - Level of Education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re Canadian Experince" backgroundRefresh="0" connectionId="10" xr16:uid="{255BC3E5-5EEC-4628-8FF7-F6B5A92F94B0}" autoFormatId="16" applyNumberFormats="0" applyBorderFormats="0" applyFontFormats="0" applyPatternFormats="0" applyAlignmentFormats="0" applyWidthHeightFormats="0">
  <queryTableRefresh nextId="4">
    <queryTableFields count="3">
      <queryTableField id="1" name="Canadian work experience" tableColumnId="1"/>
      <queryTableField id="2" name="With a spouse or common-law partner (Maximum 70 points)" tableColumnId="2"/>
      <queryTableField id="3" name="Without a spouse or common-law partner (Maximum 80 points)" tableColumnId="3"/>
    </queryTableFields>
  </queryTableRefresh>
  <extLst>
    <ext xmlns:x15="http://schemas.microsoft.com/office/spreadsheetml/2010/11/main" uri="{883FBD77-0823-4a55-B5E3-86C4891E6966}">
      <x15:queryTable sourceDataName="Query - Core Canadian Experinc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ge" backgroundRefresh="0" connectionId="3" xr16:uid="{5C33D7D5-EEB6-4F50-AC05-4E1284F102AB}" autoFormatId="16" applyNumberFormats="0" applyBorderFormats="0" applyFontFormats="0" applyPatternFormats="0" applyAlignmentFormats="0" applyWidthHeightFormats="0">
  <queryTableRefresh nextId="4">
    <queryTableFields count="3">
      <queryTableField id="1" name="Age" tableColumnId="1"/>
      <queryTableField id="2" name="With a spouse or common-law partner(Maximum 100 points)" tableColumnId="2"/>
      <queryTableField id="3" name="Without a spouse or common-law partner(Maximum 110 points)" tableColumnId="3"/>
    </queryTableFields>
  </queryTableRefresh>
  <extLst>
    <ext xmlns:x15="http://schemas.microsoft.com/office/spreadsheetml/2010/11/main" uri="{883FBD77-0823-4a55-B5E3-86C4891E6966}">
      <x15:queryTable sourceDataName="Query - Age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evel of Education" backgroundRefresh="0" connectionId="15" xr16:uid="{BDE1CE94-011A-4668-81C5-353CF2BDF057}" autoFormatId="16" applyNumberFormats="0" applyBorderFormats="0" applyFontFormats="0" applyPatternFormats="0" applyAlignmentFormats="0" applyWidthHeightFormats="0">
  <queryTableRefresh nextId="4">
    <queryTableFields count="3">
      <queryTableField id="1" name="Level of Education" tableColumnId="1"/>
      <queryTableField id="2" name="With a spouse or common-law partner(Maximum 140 points)" tableColumnId="2"/>
      <queryTableField id="3" name="Without a spouse or common-law partner(Maximum 150 points)" tableColumnId="3"/>
    </queryTableFields>
  </queryTableRefresh>
  <extLst>
    <ext xmlns:x15="http://schemas.microsoft.com/office/spreadsheetml/2010/11/main" uri="{883FBD77-0823-4a55-B5E3-86C4891E6966}">
      <x15:queryTable sourceDataName="Query - Level of Education"/>
    </ext>
  </extLst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dditional Points" backgroundRefresh="0" connectionId="1" xr16:uid="{ED8F2006-5676-4C77-AAD4-7B74FDD07FC8}" autoFormatId="16" applyNumberFormats="0" applyBorderFormats="0" applyFontFormats="0" applyPatternFormats="0" applyAlignmentFormats="0" applyWidthHeightFormats="0">
  <queryTableRefresh nextId="3">
    <queryTableFields count="2">
      <queryTableField id="1" name="Additional points" tableColumnId="1"/>
      <queryTableField id="2" name="Maximum 600 points" tableColumnId="2"/>
    </queryTableFields>
  </queryTableRefresh>
  <extLst>
    <ext xmlns:x15="http://schemas.microsoft.com/office/spreadsheetml/2010/11/main" uri="{883FBD77-0823-4a55-B5E3-86C4891E6966}">
      <x15:queryTable sourceDataName="Query - Additional Points"/>
    </ext>
  </extLst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irst language proficiency" backgroundRefresh="0" connectionId="11" xr16:uid="{033C4642-8AAC-4D90-9B90-A13A5954D6BB}" autoFormatId="16" applyNumberFormats="0" applyBorderFormats="0" applyFontFormats="0" applyPatternFormats="0" applyAlignmentFormats="0" applyWidthHeightFormats="0">
  <queryTableRefresh nextId="4">
    <queryTableFields count="3">
      <queryTableField id="1" name="First language proficiency" tableColumnId="1"/>
      <queryTableField id="2" name="With a spouse or common-law partner(Maximum 128 points)" tableColumnId="2"/>
      <queryTableField id="3" name="Without a spouse or common-law partner(Maximum 136 points)" tableColumnId="3"/>
    </queryTableFields>
  </queryTableRefresh>
  <extLst>
    <ext xmlns:x15="http://schemas.microsoft.com/office/spreadsheetml/2010/11/main" uri="{883FBD77-0823-4a55-B5E3-86C4891E6966}">
      <x15:queryTable sourceDataName="Query - First language proficiency"/>
    </ext>
  </extLst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cond language proficiency" backgroundRefresh="0" connectionId="18" xr16:uid="{30C55697-D02C-4536-B502-BACB52EFB31A}" autoFormatId="16" applyNumberFormats="0" applyBorderFormats="0" applyFontFormats="0" applyPatternFormats="0" applyAlignmentFormats="0" applyWidthHeightFormats="0">
  <queryTableRefresh nextId="4">
    <queryTableFields count="3">
      <queryTableField id="1" name="Second language proficiency" tableColumnId="1"/>
      <queryTableField id="2" name="With a spouse or common-law partner (Maximum 22 points)" tableColumnId="2"/>
      <queryTableField id="3" name="Without a spouse or common-law partner (Maximum 24 points)" tableColumnId="3"/>
    </queryTableFields>
  </queryTableRefresh>
  <extLst>
    <ext xmlns:x15="http://schemas.microsoft.com/office/spreadsheetml/2010/11/main" uri="{883FBD77-0823-4a55-B5E3-86C4891E6966}">
      <x15:queryTable sourceDataName="Query - Second language proficiency"/>
    </ext>
  </extLst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re Canadian Experince" backgroundRefresh="0" connectionId="9" xr16:uid="{BE02FACF-244F-470B-A43F-D949ABFBBCDC}" autoFormatId="16" applyNumberFormats="0" applyBorderFormats="0" applyFontFormats="0" applyPatternFormats="0" applyAlignmentFormats="0" applyWidthHeightFormats="0">
  <queryTableRefresh nextId="4">
    <queryTableFields count="3">
      <queryTableField id="1" name="Canadian work experience" tableColumnId="1"/>
      <queryTableField id="2" name="With a spouse or common-law partner (Maximum 70 points)" tableColumnId="2"/>
      <queryTableField id="3" name="Without a spouse or common-law partner (Maximum 80 points)" tableColumnId="3"/>
    </queryTableFields>
  </queryTableRefresh>
  <extLst>
    <ext xmlns:x15="http://schemas.microsoft.com/office/spreadsheetml/2010/11/main" uri="{883FBD77-0823-4a55-B5E3-86C4891E6966}">
      <x15:queryTable sourceDataName="Query - Core Canadian Experince"/>
    </ext>
  </extLst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ign work Experince" backgroundRefresh="0" connectionId="13" xr16:uid="{AEE7A154-7B86-4413-81EC-37F4BD7BE52B}" autoFormatId="16" applyNumberFormats="0" applyBorderFormats="0" applyFontFormats="0" applyPatternFormats="0" applyAlignmentFormats="0" applyWidthHeightFormats="0">
  <queryTableRefresh nextId="4">
    <queryTableFields count="3">
      <queryTableField id="1" name="Years of experience" tableColumnId="1"/>
      <queryTableField id="2" name="Points for foreign work experience + CLB 7 or more on all first official language abilities, one or" tableColumnId="2"/>
      <queryTableField id="3" name="Points for foreign work experience + CLB 9 or more on all four first official language abilities(Max" tableColumnId="3"/>
    </queryTableFields>
  </queryTableRefresh>
  <extLst>
    <ext xmlns:x15="http://schemas.microsoft.com/office/spreadsheetml/2010/11/main" uri="{883FBD77-0823-4a55-B5E3-86C4891E6966}">
      <x15:queryTable sourceDataName="Query - Foreign work Experince + CLB"/>
    </ext>
  </extLst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nadian experince   Post Secondary Degree" backgroundRefresh="0" connectionId="5" xr16:uid="{C686E761-B0CD-465D-B9BE-5EE29F34DB6E}" autoFormatId="16" applyNumberFormats="0" applyBorderFormats="0" applyFontFormats="0" applyPatternFormats="0" applyAlignmentFormats="0" applyWidthHeightFormats="0">
  <queryTableRefresh nextId="4">
    <queryTableFields count="3">
      <queryTableField id="1" name="With Canadian work experience and a post-secondary degree" tableColumnId="1"/>
      <queryTableField id="2" name="Points for education + 1 year of Canadian work experience(Maximum 25 points)" tableColumnId="2"/>
      <queryTableField id="3" name="Points for education + 2 years or more of Canadian work experience(Maximum 50 points)" tableColumnId="3"/>
    </queryTableFields>
  </queryTableRefresh>
  <extLst>
    <ext xmlns:x15="http://schemas.microsoft.com/office/spreadsheetml/2010/11/main" uri="{883FBD77-0823-4a55-B5E3-86C4891E6966}">
      <x15:queryTable sourceDataName="Query - Canadian experince + Post Secondary Degree"/>
    </ext>
  </extLst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B   Post Secondary Degree" backgroundRefresh="0" connectionId="8" xr16:uid="{29EC4123-F103-4A35-9968-8278810B71EE}" autoFormatId="16" applyNumberFormats="0" applyBorderFormats="0" applyFontFormats="0" applyPatternFormats="0" applyAlignmentFormats="0" applyWidthHeightFormats="0">
  <queryTableRefresh nextId="4">
    <queryTableFields count="3">
      <queryTableField id="1" name="With good official language proficiency (Canadian Language Benchmark Level [CLB] 7 or higher) and a" tableColumnId="1"/>
      <queryTableField id="2" name="Points for CLB 7 or more on all first official language abilities, with one or more under CLB 9(Maxi" tableColumnId="2"/>
      <queryTableField id="3" name="Points for CLB 9 or more on all four first official language abilities(Maximum 50 points)" tableColumnId="3"/>
    </queryTableFields>
  </queryTableRefresh>
  <extLst>
    <ext xmlns:x15="http://schemas.microsoft.com/office/spreadsheetml/2010/11/main" uri="{883FBD77-0823-4a55-B5E3-86C4891E6966}">
      <x15:queryTable sourceDataName="Query - CLB + Post Secondary Degree"/>
    </ext>
  </extLst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oreign work experience  Canadian work experience" backgroundRefresh="0" connectionId="12" xr16:uid="{58E67D08-EEC9-4488-9110-4B89960B7794}" autoFormatId="16" applyNumberFormats="0" applyBorderFormats="0" applyFontFormats="0" applyPatternFormats="0" applyAlignmentFormats="0" applyWidthHeightFormats="0">
  <queryTableRefresh nextId="4">
    <queryTableFields count="3">
      <queryTableField id="1" name="Years of experience" tableColumnId="1"/>
      <queryTableField id="2" name="Points for foreign work experience + 1 year of Canadian work experience(Maximum 25 points)" tableColumnId="2"/>
      <queryTableField id="3" name="Points for foreign work experience + 2 years or more of Canadian work experience(Maximum 50 points)" tableColumnId="3"/>
    </queryTableFields>
  </queryTableRefresh>
  <extLst>
    <ext xmlns:x15="http://schemas.microsoft.com/office/spreadsheetml/2010/11/main" uri="{883FBD77-0823-4a55-B5E3-86C4891E6966}">
      <x15:queryTable sourceDataName="Query - Foreign work experience +Canadian work experience"/>
    </ext>
  </extLst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ouse Canadian Experince" backgroundRefresh="0" connectionId="19" xr16:uid="{74B8B381-F668-4794-89C2-FB816DF1C37D}" autoFormatId="16" applyNumberFormats="0" applyBorderFormats="0" applyFontFormats="0" applyPatternFormats="0" applyAlignmentFormats="0" applyWidthHeightFormats="0">
  <queryTableRefresh nextId="4">
    <queryTableFields count="3">
      <queryTableField id="1" name="Spouse's Canadian work experience" tableColumnId="1"/>
      <queryTableField id="2" name="Maximum 10 points" tableColumnId="2"/>
      <queryTableField id="3" name="Without spouse or common-law partner              (Does not apply)" tableColumnId="3"/>
    </queryTableFields>
  </queryTableRefresh>
  <extLst>
    <ext xmlns:x15="http://schemas.microsoft.com/office/spreadsheetml/2010/11/main" uri="{883FBD77-0823-4a55-B5E3-86C4891E6966}">
      <x15:queryTable sourceDataName="Query - Spouse Canadian Experince"/>
    </ext>
  </extLst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ouse langauge benchmark" backgroundRefresh="0" connectionId="20" xr16:uid="{42A6D653-2EB0-4B37-A4A4-59C92D07E162}" autoFormatId="16" applyNumberFormats="0" applyBorderFormats="0" applyFontFormats="0" applyPatternFormats="0" applyAlignmentFormats="0" applyWidthHeightFormats="0">
  <queryTableRefresh nextId="4">
    <queryTableFields count="3">
      <queryTableField id="1" name="Canadian Language Benchmark (CLB) level per ability (reading, writing, speaking and listening)" tableColumnId="1"/>
      <queryTableField id="2" name="Maximum 20 points for section             Maximum 5 points per ability" tableColumnId="2"/>
      <queryTableField id="3" name="Without spouse or common-law partner              (Does not apply)" tableColumnId="3"/>
    </queryTableFields>
  </queryTableRefresh>
  <extLst>
    <ext xmlns:x15="http://schemas.microsoft.com/office/spreadsheetml/2010/11/main" uri="{883FBD77-0823-4a55-B5E3-86C4891E6966}">
      <x15:queryTable sourceDataName="Query - Spouse langauge benchmark"/>
    </ext>
  </extLst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ouse level of education" backgroundRefresh="0" connectionId="21" xr16:uid="{DFF59E5E-0A6B-4EBF-BB53-682FA1AE0171}" autoFormatId="16" applyNumberFormats="0" applyBorderFormats="0" applyFontFormats="0" applyPatternFormats="0" applyAlignmentFormats="0" applyWidthHeightFormats="0">
  <queryTableRefresh nextId="4">
    <queryTableFields count="3">
      <queryTableField id="1" name="Spouse’s or common-law partner’s level of education" tableColumnId="1"/>
      <queryTableField id="2" name="With spouse or common-law partner(Maximum 10 points)" tableColumnId="2"/>
      <queryTableField id="3" name="Without spouse or common-law partner(Does not apply)" tableColumnId="3"/>
    </queryTableFields>
  </queryTableRefresh>
  <extLst>
    <ext xmlns:x15="http://schemas.microsoft.com/office/spreadsheetml/2010/11/main" uri="{883FBD77-0823-4a55-B5E3-86C4891E6966}">
      <x15:queryTable sourceDataName="Query - Spouse level of education"/>
    </ext>
  </extLst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ertificate of Qualification" backgroundRefresh="0" connectionId="7" xr16:uid="{86B80F9D-6B90-49A1-8658-0F0E32A7A307}" autoFormatId="16" applyNumberFormats="0" applyBorderFormats="0" applyFontFormats="0" applyPatternFormats="0" applyAlignmentFormats="0" applyWidthHeightFormats="0">
  <queryTableRefresh nextId="4">
    <queryTableFields count="3">
      <queryTableField id="1" name="Certificate of qualification (trade occupations) – With good official language proficiency (Canadian" tableColumnId="1"/>
      <queryTableField id="2" name="Points for certificate of qualification + CLB 5 or more on all first official language abilities, on" tableColumnId="2"/>
      <queryTableField id="3" name="Points for certificate of qualification + CLB 7 or more on all four first official language abilitie" tableColumnId="3"/>
    </queryTableFields>
  </queryTableRefresh>
  <extLst>
    <ext xmlns:x15="http://schemas.microsoft.com/office/spreadsheetml/2010/11/main" uri="{883FBD77-0823-4a55-B5E3-86C4891E6966}">
      <x15:queryTable sourceDataName="Query - Certificate of Qualification"/>
    </ext>
  </extLst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dditional_Points_1" backgroundRefresh="0" connectionId="2" xr16:uid="{CE69C931-7105-4801-910B-8A277DBFF0BF}" autoFormatId="16" applyNumberFormats="0" applyBorderFormats="0" applyFontFormats="0" applyPatternFormats="0" applyAlignmentFormats="0" applyWidthHeightFormats="0">
  <queryTableRefresh nextId="3">
    <queryTableFields count="2">
      <queryTableField id="1" name="Additional points" tableColumnId="1"/>
      <queryTableField id="2" name="Maximum 600 points" tableColumnId="2"/>
    </queryTableFields>
  </queryTableRefresh>
  <extLst>
    <ext xmlns:x15="http://schemas.microsoft.com/office/spreadsheetml/2010/11/main" uri="{883FBD77-0823-4a55-B5E3-86C4891E6966}">
      <x15:queryTable sourceDataName="Query - Additional Points"/>
    </ext>
  </extLst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elpip Table" backgroundRefresh="0" connectionId="6" xr16:uid="{BECA4A3A-47E0-4AAD-8ADA-DD0BC8C73869}" autoFormatId="16" applyNumberFormats="0" applyBorderFormats="0" applyFontFormats="0" applyPatternFormats="0" applyAlignmentFormats="0" applyWidthHeightFormats="0">
  <queryTableRefresh nextId="6">
    <queryTableFields count="5">
      <queryTableField id="1" name="CLB level" tableColumnId="1"/>
      <queryTableField id="2" name="Reading" tableColumnId="2"/>
      <queryTableField id="3" name="Writing" tableColumnId="3"/>
      <queryTableField id="4" name="Listening" tableColumnId="4"/>
      <queryTableField id="5" name="Speaking" tableColumnId="5"/>
    </queryTableFields>
  </queryTableRefresh>
  <extLst>
    <ext xmlns:x15="http://schemas.microsoft.com/office/spreadsheetml/2010/11/main" uri="{883FBD77-0823-4a55-B5E3-86C4891E6966}">
      <x15:queryTable sourceDataName="Query - Celpip Table"/>
    </ext>
  </extLst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ELTS Table" backgroundRefresh="0" connectionId="14" xr16:uid="{911EEBB7-962A-4749-A9E7-244DF4A35A98}" autoFormatId="16" applyNumberFormats="0" applyBorderFormats="0" applyFontFormats="0" applyPatternFormats="0" applyAlignmentFormats="0" applyWidthHeightFormats="0">
  <queryTableRefresh nextId="6">
    <queryTableFields count="5">
      <queryTableField id="1" name="CLB level" tableColumnId="1"/>
      <queryTableField id="2" name="Reading" tableColumnId="2"/>
      <queryTableField id="3" name="Writing" tableColumnId="3"/>
      <queryTableField id="4" name="Listening" tableColumnId="4"/>
      <queryTableField id="5" name="Speaking" tableColumnId="5"/>
    </queryTableFields>
  </queryTableRefresh>
  <extLst>
    <ext xmlns:x15="http://schemas.microsoft.com/office/spreadsheetml/2010/11/main" uri="{883FBD77-0823-4a55-B5E3-86C4891E6966}">
      <x15:queryTable sourceDataName="Query - IELTS Table"/>
    </ext>
  </extLst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TE Table" backgroundRefresh="0" connectionId="17" xr16:uid="{973404C5-0D52-4F13-ABCB-6520C9D3DF60}" autoFormatId="16" applyNumberFormats="0" applyBorderFormats="0" applyFontFormats="0" applyPatternFormats="0" applyAlignmentFormats="0" applyWidthHeightFormats="0">
  <queryTableRefresh nextId="6">
    <queryTableFields count="5">
      <queryTableField id="1" name="CLB level" tableColumnId="1"/>
      <queryTableField id="2" name="Reading" tableColumnId="2"/>
      <queryTableField id="3" name="Writing" tableColumnId="3"/>
      <queryTableField id="4" name="Listening" tableColumnId="4"/>
      <queryTableField id="5" name="Speaking" tableColumnId="5"/>
    </queryTableFields>
  </queryTableRefresh>
  <extLst>
    <ext xmlns:x15="http://schemas.microsoft.com/office/spreadsheetml/2010/11/main" uri="{883FBD77-0823-4a55-B5E3-86C4891E6966}">
      <x15:queryTable sourceDataName="Query - PTE Table"/>
    </ext>
  </extLst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F Table" backgroundRefresh="0" connectionId="23" xr16:uid="{31688F0F-51A2-4A09-9492-F7D30B65B4C3}" autoFormatId="16" applyNumberFormats="0" applyBorderFormats="0" applyFontFormats="0" applyPatternFormats="0" applyAlignmentFormats="0" applyWidthHeightFormats="0">
  <queryTableRefresh nextId="6">
    <queryTableFields count="5">
      <queryTableField id="1" name="NCLC level" tableColumnId="1"/>
      <queryTableField id="2" name="Reading" tableColumnId="2"/>
      <queryTableField id="3" name="Writing" tableColumnId="3"/>
      <queryTableField id="4" name="Listening" tableColumnId="4"/>
      <queryTableField id="5" name="Speaking" tableColumnId="5"/>
    </queryTableFields>
  </queryTableRefresh>
  <extLst>
    <ext xmlns:x15="http://schemas.microsoft.com/office/spreadsheetml/2010/11/main" uri="{883FBD77-0823-4a55-B5E3-86C4891E6966}">
      <x15:queryTable sourceDataName="Query - TEF Table"/>
    </ext>
  </extLst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CF Table" backgroundRefresh="0" connectionId="22" xr16:uid="{42EACA92-FD70-45FD-974D-47EB0914506F}" autoFormatId="16" applyNumberFormats="0" applyBorderFormats="0" applyFontFormats="0" applyPatternFormats="0" applyAlignmentFormats="0" applyWidthHeightFormats="0">
  <queryTableRefresh nextId="6">
    <queryTableFields count="5">
      <queryTableField id="1" name="NCLC level" tableColumnId="1"/>
      <queryTableField id="2" name="Reading" tableColumnId="2"/>
      <queryTableField id="3" name="Writing" tableColumnId="3"/>
      <queryTableField id="4" name="Listening" tableColumnId="4"/>
      <queryTableField id="5" name="Speaking" tableColumnId="5"/>
    </queryTableFields>
  </queryTableRefresh>
  <extLst>
    <ext xmlns:x15="http://schemas.microsoft.com/office/spreadsheetml/2010/11/main" uri="{883FBD77-0823-4a55-B5E3-86C4891E6966}">
      <x15:queryTable sourceDataName="Query - TCF Table"/>
    </ext>
  </extLst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8E4C8FE-98C3-488D-B2AF-F49D055034D6}" name="Table_Level_of_Education14" displayName="Table_Level_of_Education14" ref="J55:L64" tableType="queryTable" totalsRowCount="1" headerRowDxfId="16" dataDxfId="17" totalsRowDxfId="15">
  <autoFilter ref="J55:L63" xr:uid="{48E4C8FE-98C3-488D-B2AF-F49D055034D6}"/>
  <sortState xmlns:xlrd2="http://schemas.microsoft.com/office/spreadsheetml/2017/richdata2" ref="J56:L63">
    <sortCondition ref="L4294967278:L4294967286"/>
  </sortState>
  <tableColumns count="3">
    <tableColumn id="1" xr3:uid="{00BB0E3F-1431-453C-8D1F-FE472E21D23F}" uniqueName="1" name="Level of Education" queryTableFieldId="1" dataDxfId="14" totalsRowDxfId="13"/>
    <tableColumn id="2" xr3:uid="{D28F452C-29C9-46F3-83B2-7572B8CB3ECB}" uniqueName="2" name="With a common-law partner" queryTableFieldId="2" dataDxfId="12" totalsRowDxfId="11"/>
    <tableColumn id="3" xr3:uid="{2D13EAC0-9798-4851-B1CC-236D8528BE04}" uniqueName="3" name="Without  common-law partner" queryTableFieldId="3" dataDxfId="10" totalsRowDxf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B5E04E8-A59B-4AB8-8E38-E455ED68FED4}" name="Table_Core_Canadian_Experince15" displayName="Table_Core_Canadian_Experince15" ref="O56:Q63" tableType="queryTable" totalsRowCount="1" headerRowDxfId="8" dataDxfId="7" totalsRowDxfId="6">
  <autoFilter ref="O56:Q62" xr:uid="{4B5E04E8-A59B-4AB8-8E38-E455ED68FED4}"/>
  <tableColumns count="3">
    <tableColumn id="1" xr3:uid="{0762B5A0-EF25-4740-A8EE-16B65860594D}" uniqueName="1" name="Canadian work experience" totalsRowFunction="custom" queryTableFieldId="1" dataDxfId="4" totalsRowDxfId="5">
      <totalsRowFormula>Main!C9</totalsRowFormula>
    </tableColumn>
    <tableColumn id="2" xr3:uid="{67FE7016-986D-473C-8E99-146E9DF87757}" uniqueName="2" name="With a spouse or common-law partner (Maximum 70 points)" totalsRowFunction="custom" queryTableFieldId="2" dataDxfId="2" totalsRowDxfId="3">
      <totalsRowFormula>Main!H9</totalsRowFormula>
    </tableColumn>
    <tableColumn id="3" xr3:uid="{38359600-DFBD-4BB4-B46C-5147ED148B01}" uniqueName="3" name="Without a spouse or common-law partner (Maximum 80 points)" queryTableFieldId="3" dataDxfId="0" totalsRowDxf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B0E4002-F96F-47B4-A4E8-0375B24FDBE0}" name="Table_Age" displayName="Table_Age" ref="B3:D23" tableType="queryTable" totalsRowShown="0">
  <autoFilter ref="B3:D23" xr:uid="{CB0E4002-F96F-47B4-A4E8-0375B24FDBE0}"/>
  <sortState xmlns:xlrd2="http://schemas.microsoft.com/office/spreadsheetml/2017/richdata2" ref="B4:D23">
    <sortCondition ref="D3:D23"/>
  </sortState>
  <tableColumns count="3">
    <tableColumn id="1" xr3:uid="{0D9E93D8-2790-4AAE-8F01-210685BA1A1F}" uniqueName="1" name="Age" queryTableFieldId="1"/>
    <tableColumn id="2" xr3:uid="{664AF8D0-D685-4F1F-841A-A9648AD0C8DE}" uniqueName="2" name="With a spouse or common-law partner(Maximum 100 points)" queryTableFieldId="2"/>
    <tableColumn id="3" xr3:uid="{29E70EC0-8434-427E-93EE-C9815275E282}" uniqueName="3" name="Without a spouse or common-law partner(Maximum 110 points)" queryTableField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E5D3CA9-17CC-485B-8625-A3A5EEAFEC1F}" name="Table_Level_of_Education" displayName="Table_Level_of_Education" ref="F3:H11" tableType="queryTable" totalsRowShown="0">
  <autoFilter ref="F3:H11" xr:uid="{9E5D3CA9-17CC-485B-8625-A3A5EEAFEC1F}"/>
  <sortState xmlns:xlrd2="http://schemas.microsoft.com/office/spreadsheetml/2017/richdata2" ref="F4:H11">
    <sortCondition ref="H3:H11"/>
  </sortState>
  <tableColumns count="3">
    <tableColumn id="1" xr3:uid="{15632C9D-1B4F-4E3C-9E0C-C0DDC7A51536}" uniqueName="1" name="Level of Education" queryTableFieldId="1"/>
    <tableColumn id="2" xr3:uid="{2C4E3C78-5CD6-4E8A-B916-D2346FCAD267}" uniqueName="2" name="With a spouse or common-law partner(Maximum 140 points)" queryTableFieldId="2"/>
    <tableColumn id="3" xr3:uid="{BC79EBC4-57B1-4582-9F25-063A03FB52AE}" uniqueName="3" name="Without a spouse or common-law partner(Maximum 150 points)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74AC2A7-40B1-4F4F-A926-1E3E3B7AD28B}" name="Table_Additional_Points" displayName="Table_Additional_Points" ref="F25:G31" tableType="queryTable" totalsRowShown="0">
  <autoFilter ref="F25:G31" xr:uid="{B74AC2A7-40B1-4F4F-A926-1E3E3B7AD28B}"/>
  <tableColumns count="2">
    <tableColumn id="1" xr3:uid="{81BAE3DC-5361-4EA2-A728-500AAE10DD8A}" uniqueName="1" name="Additional points" queryTableFieldId="1"/>
    <tableColumn id="2" xr3:uid="{C23C3AA4-E65A-41A5-A0D7-7587E2801448}" uniqueName="2" name="Maximum 600 points" queryTableFieldId="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7A055941-10C4-45CA-9EE0-68200004CDD4}" name="Table_First_language_proficiency" displayName="Table_First_language_proficiency" ref="J3:L10" tableType="queryTable" totalsRowShown="0">
  <autoFilter ref="J3:L10" xr:uid="{7A055941-10C4-45CA-9EE0-68200004CDD4}"/>
  <sortState xmlns:xlrd2="http://schemas.microsoft.com/office/spreadsheetml/2017/richdata2" ref="J4:L10">
    <sortCondition ref="L3:L10"/>
  </sortState>
  <tableColumns count="3">
    <tableColumn id="1" xr3:uid="{6CA08A2E-47B6-475F-B98F-80DA945DA849}" uniqueName="1" name="First language proficiency" queryTableFieldId="1" dataDxfId="54"/>
    <tableColumn id="2" xr3:uid="{C749AC47-B54A-4D29-8923-CEF3E223F034}" uniqueName="2" name="With a spouse or common-law partner(Maximum 128 points)" queryTableFieldId="2"/>
    <tableColumn id="3" xr3:uid="{520E06C6-0EFB-41F4-9A37-FA9ACD30B457}" uniqueName="3" name="Without a spouse or common-law partner(Maximum 136 points)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1F4D3CC-2A63-4A72-9D08-06DC0AEFA4E2}" name="Table_Second_language_proficiency" displayName="Table_Second_language_proficiency" ref="N3:P7" tableType="queryTable" totalsRowShown="0">
  <autoFilter ref="N3:P7" xr:uid="{11F4D3CC-2A63-4A72-9D08-06DC0AEFA4E2}"/>
  <tableColumns count="3">
    <tableColumn id="1" xr3:uid="{22521840-76C6-4478-A85C-DED4AC943DF1}" uniqueName="1" name="Second language proficiency" queryTableFieldId="1"/>
    <tableColumn id="2" xr3:uid="{00F30F9A-55BA-409A-B494-B80991FB989C}" uniqueName="2" name="With a spouse or common-law partner (Maximum 22 points)" queryTableFieldId="2"/>
    <tableColumn id="3" xr3:uid="{07A38011-348B-4705-8458-B35233A451FF}" uniqueName="3" name="Without a spouse or common-law partner (Maximum 24 points)" queryTableFieldId="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E076AF3E-6642-4380-B865-92B99873D2AF}" name="Table_Core_Canadian_Experince" displayName="Table_Core_Canadian_Experince" ref="F14:H20" tableType="queryTable" totalsRowShown="0">
  <autoFilter ref="F14:H20" xr:uid="{E076AF3E-6642-4380-B865-92B99873D2AF}"/>
  <tableColumns count="3">
    <tableColumn id="1" xr3:uid="{37F78A0C-4D28-4058-AF8B-EE591BF0C4A7}" uniqueName="1" name="Canadian work experience" queryTableFieldId="1"/>
    <tableColumn id="2" xr3:uid="{0AFA7370-9402-482B-AFFA-9580CB0B71C9}" uniqueName="2" name="With a spouse or common-law partner (Maximum 70 points)" queryTableFieldId="2"/>
    <tableColumn id="3" xr3:uid="{D5376047-65A5-404A-B4A0-15E593E2EBDA}" uniqueName="3" name="Without a spouse or common-law partner (Maximum 80 points)" queryTableFieldId="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2AFB7DA1-938A-46D3-AFE9-7ECCB48373DB}" name="Foreign_work_Experince___CLB" displayName="Foreign_work_Experince___CLB" ref="J14:L17" tableType="queryTable" totalsRowShown="0">
  <autoFilter ref="J14:L17" xr:uid="{2AFB7DA1-938A-46D3-AFE9-7ECCB48373DB}"/>
  <tableColumns count="3">
    <tableColumn id="1" xr3:uid="{EE8602F3-D197-4843-AB89-7563B1EB7BCE}" uniqueName="1" name="Years of experience" queryTableFieldId="1"/>
    <tableColumn id="2" xr3:uid="{A4D45C0D-1055-43BC-8F47-44FD118FFDA3}" uniqueName="2" name="Points for foreign work experience + CLB 7 or more on all first official language abilities, one or" queryTableFieldId="2"/>
    <tableColumn id="3" xr3:uid="{2C189873-6C80-49F9-8681-2AC250A6EF20}" uniqueName="3" name="Points for foreign work experience + CLB 9 or more on all four first official language abilities(Max" queryTableFieldId="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9798878A-D2D8-49CC-A7DF-8ED202FA75D9}" name="Table_Canadian_experince___Post_Secondary_Degree" displayName="Table_Canadian_experince___Post_Secondary_Degree" ref="R25:T30" tableType="queryTable" totalsRowShown="0">
  <autoFilter ref="R25:T30" xr:uid="{9798878A-D2D8-49CC-A7DF-8ED202FA75D9}"/>
  <tableColumns count="3">
    <tableColumn id="1" xr3:uid="{74CD5E8D-608B-4931-ACC9-5A8121FE5422}" uniqueName="1" name="With Canadian work experience and a post-secondary degree" queryTableFieldId="1"/>
    <tableColumn id="2" xr3:uid="{B6D710B9-C302-4808-A936-1F8BDA1D2694}" uniqueName="2" name="Points for education + 1 year of Canadian work experience(Maximum 25 points)" queryTableFieldId="2"/>
    <tableColumn id="3" xr3:uid="{3D0019E7-ACEA-4AD9-A99B-3AD5CF6FB3A8}" uniqueName="3" name="Points for education + 2 years or more of Canadian work experience(Maximum 50 points)" queryTableFieldId="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1CBEAE7A-FAFD-4DB7-B251-3B26BF389778}" name="Table_CLB___Post_Secondary_Degree" displayName="Table_CLB___Post_Secondary_Degree" ref="N25:P30" tableType="queryTable" totalsRowShown="0">
  <autoFilter ref="N25:P30" xr:uid="{1CBEAE7A-FAFD-4DB7-B251-3B26BF389778}"/>
  <tableColumns count="3">
    <tableColumn id="1" xr3:uid="{D4B84D4A-39E2-4AAD-BB62-4F7C1599B60C}" uniqueName="1" name="With good official language proficiency (Canadian Language Benchmark Level [CLB] 7 or higher) and a" queryTableFieldId="1"/>
    <tableColumn id="2" xr3:uid="{222F385D-FDC4-41A7-A3B6-EF038FA3B389}" uniqueName="2" name="Points for CLB 7 or more on all first official language abilities, with one or more under CLB 9(Maxi" queryTableFieldId="2"/>
    <tableColumn id="3" xr3:uid="{C2745202-1983-4094-9645-3DC3094AC88E}" uniqueName="3" name="Points for CLB 9 or more on all four first official language abilities(Maximum 50 points)" queryTableFieldId="3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58100D6-6CDD-4CED-B748-C250795FAB38}" name="Table_Foreign_work_experience__Canadian_work_experience" displayName="Table_Foreign_work_experience__Canadian_work_experience" ref="N14:P17" tableType="queryTable" totalsRowShown="0">
  <autoFilter ref="N14:P17" xr:uid="{E58100D6-6CDD-4CED-B748-C250795FAB38}"/>
  <tableColumns count="3">
    <tableColumn id="1" xr3:uid="{1E38DAB4-F827-4A1B-A9C1-5B4751033583}" uniqueName="1" name="Years of experience" queryTableFieldId="1"/>
    <tableColumn id="2" xr3:uid="{4A572030-08AF-41BD-9C26-9D451644D41B}" uniqueName="2" name="Points for foreign work experience + 1 year of Canadian work experience(Maximum 25 points)" queryTableFieldId="2"/>
    <tableColumn id="3" xr3:uid="{81F5AAAC-C326-4879-BE76-68292AA5B51E}" uniqueName="3" name="Points for foreign work experience + 2 years or more of Canadian work experience(Maximum 50 points)" queryTableFieldId="3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0325A0-1D19-4884-B9AF-3EF8CC3A9878}" name="Table_Spouse_Canadian_Experince" displayName="Table_Spouse_Canadian_Experince" ref="R3:T9" tableType="queryTable" totalsRowShown="0">
  <autoFilter ref="R3:T9" xr:uid="{510325A0-1D19-4884-B9AF-3EF8CC3A9878}"/>
  <tableColumns count="3">
    <tableColumn id="1" xr3:uid="{3FEE0668-86F8-4F7E-8F46-FEF7F00286CB}" uniqueName="1" name="Spouse's Canadian work experience" queryTableFieldId="1"/>
    <tableColumn id="2" xr3:uid="{1E5A28A4-3C6C-4F81-88AC-1E1A9A4608C0}" uniqueName="2" name="Maximum 10 points" queryTableFieldId="2"/>
    <tableColumn id="3" xr3:uid="{06358B68-4F53-4F2D-9BC2-0FA56AE284DF}" uniqueName="3" name="Without spouse or common-law partner              (Does not apply)" queryTableFieldId="3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A67A61-7EE9-4419-BD68-9D0548AF6184}" name="Table_Spouse_langauge_benchmark" displayName="Table_Spouse_langauge_benchmark" ref="V3:X7" tableType="queryTable" totalsRowShown="0">
  <autoFilter ref="V3:X7" xr:uid="{40A67A61-7EE9-4419-BD68-9D0548AF6184}"/>
  <tableColumns count="3">
    <tableColumn id="1" xr3:uid="{9B4D9BCF-2A06-411B-BDFD-656090663D8F}" uniqueName="1" name="Canadian Language Benchmark (CLB) level per ability (reading, writing, speaking and listening)" queryTableFieldId="1"/>
    <tableColumn id="2" xr3:uid="{AFCFCB41-8767-49A4-B339-2A9E450A35A3}" uniqueName="2" name="Maximum 20 points for section             Maximum 5 points per ability" queryTableFieldId="2"/>
    <tableColumn id="3" xr3:uid="{8A22F693-77D1-48D4-A1D7-746B003AFCAD}" uniqueName="3" name="Without spouse or common-law partner              (Does not apply)" queryTableFieldId="3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A3BB49-DAE7-4B41-82CF-703AD31F0CF1}" name="Table_Spouse_level_of_education" displayName="Table_Spouse_level_of_education" ref="R14:T22" tableType="queryTable" totalsRowShown="0">
  <autoFilter ref="R14:T22" xr:uid="{90A3BB49-DAE7-4B41-82CF-703AD31F0CF1}"/>
  <tableColumns count="3">
    <tableColumn id="1" xr3:uid="{546F7517-E14E-46F1-AE88-91E49C55615B}" uniqueName="1" name="Spouse’s or common-law partner’s level of education" queryTableFieldId="1"/>
    <tableColumn id="2" xr3:uid="{792AD78C-7547-4DE3-8C5D-F47707195E91}" uniqueName="2" name="With spouse or common-law partner(Maximum 10 points)" queryTableFieldId="2"/>
    <tableColumn id="3" xr3:uid="{35FACD9A-B46A-43EB-BC58-F4E473EF8C42}" uniqueName="3" name="Without spouse or common-law partner(Does not apply)" queryTableFieldId="3" dataDxfId="53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2C0B69-2096-434B-B667-7065B6669F2F}" name="Table_Certificate_of_Qualification" displayName="Table_Certificate_of_Qualification" ref="B25:D26" tableType="queryTable" totalsRowShown="0">
  <autoFilter ref="B25:D26" xr:uid="{632C0B69-2096-434B-B667-7065B6669F2F}"/>
  <tableColumns count="3">
    <tableColumn id="1" xr3:uid="{1DB15F94-B2C3-42C6-B98A-E9CF73E29ABD}" uniqueName="1" name="Certificate of qualification (trade occupations) – With good official language proficiency (Canadian" queryTableFieldId="1"/>
    <tableColumn id="2" xr3:uid="{E50445FB-6F8C-4DC1-B4C9-9D092120BE07}" uniqueName="2" name="Points for certificate of qualification + CLB 5 or more on all first official language abilities, on" queryTableFieldId="2"/>
    <tableColumn id="3" xr3:uid="{84984DF1-E47D-45E6-B120-7BF4276027B4}" uniqueName="3" name="Points for certificate of qualification + CLB 7 or more on all four first official language abilitie" queryTableFieldId="3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7F41CD-E2C5-4F08-A09A-AFF659BBE753}" name="Table_Additional_Points_1" displayName="Table_Additional_Points_1" ref="J25:K32" tableType="queryTable" totalsRowShown="0">
  <autoFilter ref="J25:K32" xr:uid="{E07F41CD-E2C5-4F08-A09A-AFF659BBE753}"/>
  <tableColumns count="2">
    <tableColumn id="1" xr3:uid="{6C9FA18B-F1C3-46B2-9967-2E3B15E0C271}" uniqueName="1" name="Additional points" queryTableFieldId="1"/>
    <tableColumn id="2" xr3:uid="{33D3546C-33F8-403D-9F4F-4AFAF1A33544}" uniqueName="2" name="Maximum 600 points" queryTableFieldId="2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30BDB7-E970-413E-8D97-21AE8215250E}" name="Table_Celpip_Table" displayName="Table_Celpip_Table" ref="B38:F46" tableType="queryTable" totalsRowShown="0" headerRowDxfId="52" dataDxfId="51">
  <autoFilter ref="B38:F46" xr:uid="{8C30BDB7-E970-413E-8D97-21AE8215250E}"/>
  <tableColumns count="5">
    <tableColumn id="1" xr3:uid="{0D927D0F-772F-49E1-988B-DE36E9513715}" uniqueName="1" name="CLB level" queryTableFieldId="1" dataDxfId="50"/>
    <tableColumn id="2" xr3:uid="{BD844F52-790D-42FC-A8D7-3B358FAD2686}" uniqueName="2" name="Reading" queryTableFieldId="2" dataDxfId="49"/>
    <tableColumn id="3" xr3:uid="{140DDE38-E62E-49FC-A331-508FA349C571}" uniqueName="3" name="Writing" queryTableFieldId="3" dataDxfId="48"/>
    <tableColumn id="4" xr3:uid="{C114871E-3032-4CAC-B6D0-BFF036274854}" uniqueName="4" name="Listening" queryTableFieldId="4" dataDxfId="47"/>
    <tableColumn id="5" xr3:uid="{5AFED26C-2EC0-4C79-BAEA-B298617AEBAC}" uniqueName="5" name="Speaking" queryTableFieldId="5" dataDxfId="46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8A0B1B-522C-4597-AA9B-BDA705F856DD}" name="Table_IELTS_Table" displayName="Table_IELTS_Table" ref="H38:L46" tableType="queryTable" totalsRowShown="0" headerRowDxfId="45" dataDxfId="44">
  <autoFilter ref="H38:L46" xr:uid="{698A0B1B-522C-4597-AA9B-BDA705F856DD}"/>
  <tableColumns count="5">
    <tableColumn id="1" xr3:uid="{9C419183-0DDB-4C9C-8812-CD194837C3A7}" uniqueName="1" name="CLB level" queryTableFieldId="1" dataDxfId="43"/>
    <tableColumn id="2" xr3:uid="{D564DC25-08D7-4A72-92F8-051408EDDBE2}" uniqueName="2" name="Reading" queryTableFieldId="2" dataDxfId="42"/>
    <tableColumn id="3" xr3:uid="{CC414B45-DE59-41DF-B2AA-48AB9A79221D}" uniqueName="3" name="Writing" queryTableFieldId="3" dataDxfId="41"/>
    <tableColumn id="4" xr3:uid="{6D89A507-76C5-4A7A-8BA7-A008C52B5283}" uniqueName="4" name="Listening" queryTableFieldId="4" dataDxfId="40"/>
    <tableColumn id="5" xr3:uid="{F0973CD8-7A06-4B47-BCF9-2DBA69096336}" uniqueName="5" name="Speaking" queryTableFieldId="5" dataDxfId="39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01EBA22-8931-4BB8-B4FF-4E2C1173B9F2}" name="Table_PTE_Table" displayName="Table_PTE_Table" ref="N38:R46" tableType="queryTable" totalsRowShown="0" headerRowDxfId="38" dataDxfId="37">
  <autoFilter ref="N38:R46" xr:uid="{401EBA22-8931-4BB8-B4FF-4E2C1173B9F2}"/>
  <tableColumns count="5">
    <tableColumn id="1" xr3:uid="{DB115183-126E-4702-8BEC-BCBA7FF0D931}" uniqueName="1" name="CLB level" queryTableFieldId="1" dataDxfId="36"/>
    <tableColumn id="2" xr3:uid="{268FC2E6-9714-4057-9E36-EFDAF8E324C3}" uniqueName="2" name="Reading" queryTableFieldId="2" dataDxfId="35"/>
    <tableColumn id="3" xr3:uid="{CA497928-17A1-4919-913D-127BE5962DDA}" uniqueName="3" name="Writing" queryTableFieldId="3" dataDxfId="34"/>
    <tableColumn id="4" xr3:uid="{634DB947-FB66-4541-9945-753D44282183}" uniqueName="4" name="Listening" queryTableFieldId="4" dataDxfId="33"/>
    <tableColumn id="5" xr3:uid="{0E6CBA94-7AD5-408F-B876-759000661DFF}" uniqueName="5" name="Speaking" queryTableFieldId="5" dataDxfId="32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F8F0EC-3A2B-443D-AFC1-574F889D78B3}" name="Table_TEF_Table" displayName="Table_TEF_Table" ref="H49:L57" tableType="queryTable" totalsRowShown="0" headerRowDxfId="31" dataDxfId="30">
  <autoFilter ref="H49:L57" xr:uid="{00F8F0EC-3A2B-443D-AFC1-574F889D78B3}"/>
  <tableColumns count="5">
    <tableColumn id="1" xr3:uid="{6643C86F-A8B7-4B7F-B741-31F5F779DC36}" uniqueName="1" name="NCLC level" queryTableFieldId="1" dataDxfId="29"/>
    <tableColumn id="2" xr3:uid="{1772E9F8-6C0B-42F1-A029-4AEBF49DF81D}" uniqueName="2" name="Reading" queryTableFieldId="2" dataDxfId="28"/>
    <tableColumn id="3" xr3:uid="{635A9F4E-8B0E-4AFC-A39B-FFFDAEE90789}" uniqueName="3" name="Writing" queryTableFieldId="3" dataDxfId="27"/>
    <tableColumn id="4" xr3:uid="{B640F401-B94B-4316-9AA1-2252D10E24DB}" uniqueName="4" name="Listening" queryTableFieldId="4" dataDxfId="26"/>
    <tableColumn id="5" xr3:uid="{1B1D878F-0243-45E2-9800-4E60E731E1F3}" uniqueName="5" name="Speaking" queryTableFieldId="5" dataDxfId="25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A4551BF-3877-4259-9508-FFA20D1EA2DC}" name="Table_TCF_Table" displayName="Table_TCF_Table" ref="B49:F57" tableType="queryTable" totalsRowShown="0" headerRowDxfId="24" dataDxfId="23">
  <autoFilter ref="B49:F57" xr:uid="{7A4551BF-3877-4259-9508-FFA20D1EA2DC}"/>
  <tableColumns count="5">
    <tableColumn id="1" xr3:uid="{135CBA0D-7E19-4FFA-BE41-0E6AD3141B0D}" uniqueName="1" name="NCLC level" queryTableFieldId="1" dataDxfId="22"/>
    <tableColumn id="2" xr3:uid="{723E63B4-AEE0-437A-B580-02BB813D28D2}" uniqueName="2" name="Reading" queryTableFieldId="2" dataDxfId="21"/>
    <tableColumn id="3" xr3:uid="{18390AB7-2EE4-42B0-9524-158C2DF8349F}" uniqueName="3" name="Writing" queryTableFieldId="3" dataDxfId="20"/>
    <tableColumn id="4" xr3:uid="{29B81F08-9E39-4535-A0B9-AFA8F756AE12}" uniqueName="4" name="Listening" queryTableFieldId="4" dataDxfId="19"/>
    <tableColumn id="5" xr3:uid="{D2E5B56A-9C4E-402B-B940-4FBE337C44E9}" uniqueName="5" name="Speaking" queryTableFieldId="5" dataDxf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table" Target="../tables/table4.xml"/><Relationship Id="rId16" Type="http://schemas.openxmlformats.org/officeDocument/2006/relationships/table" Target="../tables/table18.xml"/><Relationship Id="rId20" Type="http://schemas.openxmlformats.org/officeDocument/2006/relationships/table" Target="../tables/table22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table" Target="../tables/table2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C81"/>
  <sheetViews>
    <sheetView showGridLines="0" tabSelected="1" zoomScale="175" zoomScaleNormal="175" workbookViewId="0">
      <selection activeCell="M2" sqref="M2"/>
    </sheetView>
  </sheetViews>
  <sheetFormatPr defaultColWidth="9.140625" defaultRowHeight="15" zeroHeight="1" x14ac:dyDescent="0.25"/>
  <cols>
    <col min="1" max="1" width="2.28515625" customWidth="1"/>
    <col min="2" max="2" width="25.5703125" customWidth="1"/>
    <col min="3" max="3" width="11" customWidth="1"/>
    <col min="4" max="7" width="12.7109375" customWidth="1"/>
    <col min="8" max="8" width="9.140625" style="2" customWidth="1"/>
    <col min="9" max="9" width="16.42578125" customWidth="1"/>
    <col min="10" max="10" width="24.42578125" customWidth="1"/>
    <col min="11" max="11" width="18.42578125" customWidth="1"/>
    <col min="12" max="12" width="4.28515625" customWidth="1"/>
    <col min="13" max="13" width="31.42578125" customWidth="1"/>
    <col min="14" max="15" width="9.140625" customWidth="1"/>
    <col min="16" max="16" width="9.140625" hidden="1" customWidth="1"/>
    <col min="17" max="16383" width="0" hidden="1" customWidth="1"/>
    <col min="16384" max="16384" width="9" hidden="1" customWidth="1"/>
  </cols>
  <sheetData>
    <row r="1" spans="2:17" ht="31.5" customHeight="1" thickBot="1" x14ac:dyDescent="0.45">
      <c r="B1" s="64"/>
      <c r="C1" s="76" t="s">
        <v>276</v>
      </c>
      <c r="D1" s="76"/>
      <c r="E1" s="76"/>
      <c r="F1" s="76"/>
      <c r="G1" s="76"/>
      <c r="H1" s="76"/>
      <c r="I1" s="76"/>
      <c r="J1" s="76"/>
      <c r="K1" s="76"/>
      <c r="L1" s="76"/>
      <c r="M1" s="76"/>
      <c r="N1" s="64"/>
      <c r="O1" s="64"/>
      <c r="P1" s="64"/>
      <c r="Q1" s="64"/>
    </row>
    <row r="2" spans="2:17" ht="23.25" customHeight="1" thickBot="1" x14ac:dyDescent="0.5">
      <c r="B2" s="30"/>
      <c r="C2" s="74"/>
      <c r="D2" s="75"/>
      <c r="E2" s="72"/>
      <c r="F2" s="73"/>
      <c r="G2" s="73"/>
      <c r="H2" s="62" t="s">
        <v>0</v>
      </c>
      <c r="I2" s="63" t="str">
        <f>_xlfn.TEXTJOIN("",TRUE,SUM(SUM(H7:H12,H17:H20),
 IF(SUM(H28:H30)&gt;=50,50,SUM(H28:H30)),
 IF(SUM(H33:H34)&gt;=50,50,SUM(H33:H34)),
 IF(SUM(H37:H40)&gt;=600,600,SUM(H37:H40))
)," /1200")</f>
        <v>0 /1200</v>
      </c>
      <c r="J2" s="61"/>
      <c r="K2" s="70" t="s">
        <v>320</v>
      </c>
      <c r="L2" s="71"/>
      <c r="M2" s="55" t="s">
        <v>305</v>
      </c>
    </row>
    <row r="3" spans="2:17" ht="2.25" customHeight="1" x14ac:dyDescent="0.45">
      <c r="B3" s="30"/>
      <c r="H3" s="28"/>
      <c r="I3" s="28"/>
      <c r="J3" s="56"/>
      <c r="K3" s="57"/>
      <c r="L3" s="57"/>
      <c r="M3" s="58"/>
    </row>
    <row r="4" spans="2:17" s="6" customFormat="1" ht="15" customHeight="1" thickBot="1" x14ac:dyDescent="0.3">
      <c r="B4" s="59" t="s">
        <v>82</v>
      </c>
      <c r="C4" s="65" t="s">
        <v>83</v>
      </c>
      <c r="D4" s="65"/>
      <c r="E4" s="65"/>
      <c r="F4" s="65"/>
      <c r="G4" s="65"/>
      <c r="H4" s="60" t="s">
        <v>84</v>
      </c>
      <c r="I4" s="28"/>
      <c r="J4" s="29"/>
      <c r="K4"/>
      <c r="M4"/>
    </row>
    <row r="5" spans="2:17" s="7" customFormat="1" ht="15" customHeight="1" x14ac:dyDescent="0.25">
      <c r="B5" s="103" t="s">
        <v>117</v>
      </c>
      <c r="C5" s="104"/>
      <c r="D5" s="104"/>
      <c r="E5" s="104"/>
      <c r="F5" s="104"/>
      <c r="G5" s="104"/>
      <c r="H5" s="105"/>
      <c r="K5" s="6"/>
      <c r="L5" s="69"/>
      <c r="M5" s="69"/>
      <c r="N5" s="69"/>
      <c r="O5" s="69"/>
      <c r="P5" s="69"/>
      <c r="Q5" s="69"/>
    </row>
    <row r="6" spans="2:17" ht="15" customHeight="1" x14ac:dyDescent="0.25">
      <c r="B6" s="32" t="s">
        <v>85</v>
      </c>
      <c r="C6" s="96" t="s">
        <v>326</v>
      </c>
      <c r="D6" s="96"/>
      <c r="E6" s="96"/>
      <c r="F6" s="96"/>
      <c r="G6" s="96"/>
      <c r="H6" s="33"/>
      <c r="I6" s="7"/>
      <c r="J6" s="7"/>
      <c r="K6" s="7"/>
    </row>
    <row r="7" spans="2:17" x14ac:dyDescent="0.25">
      <c r="B7" s="32" t="s">
        <v>81</v>
      </c>
      <c r="C7" s="66" t="s">
        <v>326</v>
      </c>
      <c r="D7" s="67"/>
      <c r="E7" s="67"/>
      <c r="F7" s="67"/>
      <c r="G7" s="68"/>
      <c r="H7" s="33" cm="1">
        <f t="array" ref="H7">IFERROR(GetPointsFor(C7,Table_Age[],IsMarried?),0)</f>
        <v>0</v>
      </c>
    </row>
    <row r="8" spans="2:17" x14ac:dyDescent="0.25">
      <c r="B8" s="32" t="s">
        <v>89</v>
      </c>
      <c r="C8" s="66" t="s">
        <v>326</v>
      </c>
      <c r="D8" s="67"/>
      <c r="E8" s="67"/>
      <c r="F8" s="67"/>
      <c r="G8" s="68"/>
      <c r="H8" s="33" cm="1">
        <f t="array" ref="H8">IFERROR(GetPointsFor(C8,Table_Level_of_Education[],IsMarried?),0)</f>
        <v>0</v>
      </c>
    </row>
    <row r="9" spans="2:17" x14ac:dyDescent="0.25">
      <c r="B9" s="32" t="s">
        <v>121</v>
      </c>
      <c r="C9" s="66" t="s">
        <v>326</v>
      </c>
      <c r="D9" s="67"/>
      <c r="E9" s="67"/>
      <c r="F9" s="67"/>
      <c r="G9" s="68"/>
      <c r="H9" s="33" cm="1">
        <f t="array" ref="H9">IFERROR(GetPointsFor(C9,Table_Core_Canadian_Experince[],IsMarried?),0)</f>
        <v>0</v>
      </c>
    </row>
    <row r="10" spans="2:17" s="7" customFormat="1" ht="16.5" customHeight="1" x14ac:dyDescent="0.25">
      <c r="B10" s="94" t="s">
        <v>119</v>
      </c>
      <c r="C10" s="95"/>
      <c r="D10" s="52" t="s">
        <v>92</v>
      </c>
      <c r="E10" s="52" t="s">
        <v>93</v>
      </c>
      <c r="F10" s="52" t="s">
        <v>90</v>
      </c>
      <c r="G10" s="52" t="s">
        <v>91</v>
      </c>
      <c r="H10" s="33"/>
      <c r="I10"/>
      <c r="J10"/>
      <c r="K10"/>
    </row>
    <row r="11" spans="2:17" s="1" customFormat="1" x14ac:dyDescent="0.25">
      <c r="B11" s="34" t="s">
        <v>102</v>
      </c>
      <c r="C11" s="53" t="s">
        <v>326</v>
      </c>
      <c r="D11" s="53" t="s">
        <v>326</v>
      </c>
      <c r="E11" s="53" t="s">
        <v>326</v>
      </c>
      <c r="F11" s="53" t="s">
        <v>326</v>
      </c>
      <c r="G11" s="53" t="s">
        <v>326</v>
      </c>
      <c r="H11" s="33">
        <f>IFERROR('Language CLB Calculations'!H8,0)</f>
        <v>0</v>
      </c>
      <c r="I11" s="7"/>
      <c r="J11" s="7"/>
      <c r="K11" s="7"/>
    </row>
    <row r="12" spans="2:17" ht="15.75" thickBot="1" x14ac:dyDescent="0.3">
      <c r="B12" s="35" t="s">
        <v>103</v>
      </c>
      <c r="C12" s="54" t="s">
        <v>326</v>
      </c>
      <c r="D12" s="54" t="s">
        <v>326</v>
      </c>
      <c r="E12" s="54" t="s">
        <v>326</v>
      </c>
      <c r="F12" s="54" t="s">
        <v>326</v>
      </c>
      <c r="G12" s="54" t="s">
        <v>326</v>
      </c>
      <c r="H12" s="36">
        <f>IFERROR('Language CLB Calculations'!H9,0)</f>
        <v>0</v>
      </c>
      <c r="I12" s="1"/>
      <c r="J12" s="1"/>
      <c r="K12" s="1"/>
    </row>
    <row r="13" spans="2:17" x14ac:dyDescent="0.25">
      <c r="B13" s="37" t="s">
        <v>120</v>
      </c>
      <c r="C13" s="96" t="s">
        <v>326</v>
      </c>
      <c r="D13" s="96"/>
      <c r="E13" s="96"/>
      <c r="F13" s="96"/>
      <c r="G13" s="96"/>
      <c r="H13" s="96"/>
      <c r="I13" s="1"/>
      <c r="J13" s="1"/>
      <c r="K13" s="1"/>
    </row>
    <row r="14" spans="2:17" x14ac:dyDescent="0.25">
      <c r="B14" s="37" t="s">
        <v>146</v>
      </c>
      <c r="C14" s="96" t="s">
        <v>326</v>
      </c>
      <c r="D14" s="96"/>
      <c r="E14" s="96"/>
      <c r="F14" s="96"/>
      <c r="G14" s="96"/>
      <c r="H14" s="96"/>
      <c r="I14" s="1"/>
      <c r="J14" s="1"/>
      <c r="K14" s="1"/>
    </row>
    <row r="15" spans="2:17" ht="15.75" thickBot="1" x14ac:dyDescent="0.3">
      <c r="C15" s="7"/>
      <c r="D15" s="7"/>
      <c r="E15" s="7"/>
      <c r="F15" s="7"/>
      <c r="G15" s="7"/>
    </row>
    <row r="16" spans="2:17" x14ac:dyDescent="0.25">
      <c r="B16" s="98" t="s">
        <v>125</v>
      </c>
      <c r="C16" s="99"/>
      <c r="D16" s="99"/>
      <c r="E16" s="99"/>
      <c r="F16" s="99"/>
      <c r="G16" s="99"/>
      <c r="H16" s="100"/>
    </row>
    <row r="17" spans="2:12" x14ac:dyDescent="0.25">
      <c r="B17" s="32" t="s">
        <v>89</v>
      </c>
      <c r="C17" s="96" t="s">
        <v>326</v>
      </c>
      <c r="D17" s="96"/>
      <c r="E17" s="96"/>
      <c r="F17" s="96"/>
      <c r="G17" s="96"/>
      <c r="H17" s="33" cm="1">
        <f t="array" ref="H17">IFERROR(GetPointsFor(C17,Table_Spouse_level_of_education[],IsMarried?),0)</f>
        <v>0</v>
      </c>
    </row>
    <row r="18" spans="2:12" ht="15.75" thickBot="1" x14ac:dyDescent="0.3">
      <c r="B18" s="35" t="s">
        <v>121</v>
      </c>
      <c r="C18" s="97" t="s">
        <v>326</v>
      </c>
      <c r="D18" s="97"/>
      <c r="E18" s="97"/>
      <c r="F18" s="97"/>
      <c r="G18" s="97"/>
      <c r="H18" s="36" cm="1">
        <f t="array" ref="H18">IFERROR(GetPointsFor(C18,Table_Spouse_Canadian_Experince[], IsMarried?),0)</f>
        <v>0</v>
      </c>
    </row>
    <row r="19" spans="2:12" x14ac:dyDescent="0.25">
      <c r="B19" s="101" t="s">
        <v>119</v>
      </c>
      <c r="C19" s="102"/>
      <c r="D19" s="52" t="s">
        <v>92</v>
      </c>
      <c r="E19" s="52" t="s">
        <v>93</v>
      </c>
      <c r="F19" s="52" t="s">
        <v>90</v>
      </c>
      <c r="G19" s="52" t="s">
        <v>91</v>
      </c>
      <c r="H19" s="33"/>
    </row>
    <row r="20" spans="2:12" x14ac:dyDescent="0.25">
      <c r="B20" s="34" t="s">
        <v>102</v>
      </c>
      <c r="C20" s="53" t="s">
        <v>326</v>
      </c>
      <c r="D20" s="53" t="s">
        <v>326</v>
      </c>
      <c r="E20" s="53" t="s">
        <v>326</v>
      </c>
      <c r="F20" s="53" t="s">
        <v>326</v>
      </c>
      <c r="G20" s="53" t="s">
        <v>326</v>
      </c>
      <c r="H20" s="33">
        <f>IFERROR('Language CLB Calculations'!H10,0)</f>
        <v>0</v>
      </c>
    </row>
    <row r="21" spans="2:12" ht="15.75" thickBot="1" x14ac:dyDescent="0.3">
      <c r="H21"/>
    </row>
    <row r="22" spans="2:12" ht="15.75" thickBot="1" x14ac:dyDescent="0.3">
      <c r="B22" s="38" t="s">
        <v>144</v>
      </c>
      <c r="C22" s="106" t="s">
        <v>326</v>
      </c>
      <c r="D22" s="107"/>
      <c r="E22" s="107"/>
      <c r="F22" s="107"/>
      <c r="G22" s="107"/>
      <c r="H22" s="108"/>
    </row>
    <row r="23" spans="2:12" ht="15.75" thickBot="1" x14ac:dyDescent="0.3">
      <c r="B23" s="32" t="s">
        <v>145</v>
      </c>
      <c r="C23" s="106" t="s">
        <v>326</v>
      </c>
      <c r="D23" s="107"/>
      <c r="E23" s="107"/>
      <c r="F23" s="107"/>
      <c r="G23" s="107"/>
      <c r="H23" s="108"/>
    </row>
    <row r="24" spans="2:12" ht="15.75" thickBot="1" x14ac:dyDescent="0.3">
      <c r="B24" s="35" t="s">
        <v>156</v>
      </c>
      <c r="C24" s="106" t="s">
        <v>326</v>
      </c>
      <c r="D24" s="107"/>
      <c r="E24" s="107"/>
      <c r="F24" s="107"/>
      <c r="G24" s="107"/>
      <c r="H24" s="108"/>
    </row>
    <row r="25" spans="2:12" ht="15.75" thickBot="1" x14ac:dyDescent="0.3">
      <c r="H25"/>
    </row>
    <row r="26" spans="2:12" x14ac:dyDescent="0.25">
      <c r="B26" s="90" t="s">
        <v>122</v>
      </c>
      <c r="C26" s="91"/>
      <c r="D26" s="91"/>
      <c r="E26" s="91"/>
      <c r="F26" s="91"/>
      <c r="G26" s="91"/>
      <c r="H26" s="92"/>
    </row>
    <row r="27" spans="2:12" x14ac:dyDescent="0.25">
      <c r="B27" s="84" t="s">
        <v>269</v>
      </c>
      <c r="C27" s="85"/>
      <c r="D27" s="85"/>
      <c r="E27" s="85"/>
      <c r="F27" s="85"/>
      <c r="G27" s="85"/>
      <c r="H27" s="86"/>
    </row>
    <row r="28" spans="2:12" x14ac:dyDescent="0.25">
      <c r="B28" s="32" t="s">
        <v>123</v>
      </c>
      <c r="C28" s="81"/>
      <c r="D28" s="82"/>
      <c r="E28" s="82"/>
      <c r="F28" s="82"/>
      <c r="G28" s="83"/>
      <c r="H28" s="33" cm="1">
        <f t="array" ref="H28">IFERROR(IF('Language CLB Calculations'!C8='Language CLB Calculations'!M11,0,IF(FFCLBGREATERTHAN('Language CLB Calculations'!D8,'Language CLB Calculations'!E8,'Language CLB Calculations'!F8,'Language CLB Calculations'!G8,9,'Language CLB Calculations'!G15:G22,'Language CLB Calculations'!J15:J22),
_xlfn.XLOOKUP(Main!C13,INDEX(Foreign_work_Experince___CLB[],,1), INDEX(Foreign_work_Experince___CLB[],,3)),
IF(FFCLBGREATERTHAN('Language CLB Calculations'!D8,'Language CLB Calculations'!E8,'Language CLB Calculations'!F8,'Language CLB Calculations'!G8,7,'Language CLB Calculations'!G15:G22,'Language CLB Calculations'!J15:J22),
_xlfn.XLOOKUP(Main!C13,INDEX(Foreign_work_Experince___CLB[],,1),INDEX(Foreign_work_Experince___CLB[],,2)),
0))),0)</f>
        <v>0</v>
      </c>
    </row>
    <row r="29" spans="2:12" x14ac:dyDescent="0.25">
      <c r="B29" s="32" t="s">
        <v>124</v>
      </c>
      <c r="C29" s="77"/>
      <c r="D29" s="77"/>
      <c r="E29" s="77"/>
      <c r="F29" s="77"/>
      <c r="G29" s="77"/>
      <c r="H29" s="33" cm="1">
        <f t="array" ref="H29">IFERROR(IF(_xlfn.XLOOKUP(C9,'Canadian Experince Comparision'!A2:A7,'Canadian Experince Comparision'!B2:B7)&gt;=2,
_xlfn.XLOOKUP(Main!C13,INDEX(Table_Foreign_work_experience__Canadian_work_experience[],,1), INDEX(Table_Foreign_work_experience__Canadian_work_experience[],,3)),
IF(_xlfn.XLOOKUP(C9,'Canadian Experince Comparision'!A2:A7,'Canadian Experince Comparision'!B2:B7)&gt;=1,
_xlfn.XLOOKUP(Main!C13,INDEX(Table_Foreign_work_experience__Canadian_work_experience[],,1),INDEX(Table_Foreign_work_experience__Canadian_work_experience[],,2)),
0)),0)</f>
        <v>0</v>
      </c>
    </row>
    <row r="30" spans="2:12" ht="15.75" thickBot="1" x14ac:dyDescent="0.3">
      <c r="B30" s="35" t="s">
        <v>157</v>
      </c>
      <c r="C30" s="87"/>
      <c r="D30" s="88"/>
      <c r="E30" s="88"/>
      <c r="F30" s="88"/>
      <c r="G30" s="89"/>
      <c r="H30" s="33" cm="1">
        <f t="array" ref="H30">IFERROR(IF('Language CLB Calculations'!C8='Language CLB Calculations'!M11,0,IF(C24='Data Validation'!R6,
IF(FFCLBGREATERTHAN('Language CLB Calculations'!D8,'Language CLB Calculations'!E8,'Language CLB Calculations'!F8,'Language CLB Calculations'!G8,7,'Language CLB Calculations'!G15:G22,'Language CLB Calculations'!J15:J22),Table_Certificate_of_Qualification[Points for certificate of qualification + CLB 7 or more on all four first official language abilitie],
IF(FFCLBGREATERTHAN('Language CLB Calculations'!D8,'Language CLB Calculations'!E8,'Language CLB Calculations'!F8,'Language CLB Calculations'!G8,5,'Language CLB Calculations'!G15:G22,'Language CLB Calculations'!J15:J22),Table_Certificate_of_Qualification[Points for certificate of qualification + CLB 5 or more on all first official language abilities, on],0)
),
0
)),0)</f>
        <v>0</v>
      </c>
      <c r="L30" s="7"/>
    </row>
    <row r="31" spans="2:12" ht="5.0999999999999996" customHeight="1" x14ac:dyDescent="0.25">
      <c r="B31" s="78"/>
      <c r="C31" s="79"/>
      <c r="D31" s="79"/>
      <c r="E31" s="79"/>
      <c r="F31" s="79"/>
      <c r="G31" s="79"/>
      <c r="H31" s="80"/>
    </row>
    <row r="32" spans="2:12" ht="15.75" customHeight="1" x14ac:dyDescent="0.25">
      <c r="B32" s="84" t="s">
        <v>270</v>
      </c>
      <c r="C32" s="85"/>
      <c r="D32" s="85"/>
      <c r="E32" s="85"/>
      <c r="F32" s="85"/>
      <c r="G32" s="85"/>
      <c r="H32" s="86"/>
    </row>
    <row r="33" spans="2:8" x14ac:dyDescent="0.25">
      <c r="B33" s="32" t="s">
        <v>111</v>
      </c>
      <c r="C33" s="77"/>
      <c r="D33" s="77"/>
      <c r="E33" s="77"/>
      <c r="F33" s="77"/>
      <c r="G33" s="77"/>
      <c r="H33" s="33" cm="1">
        <f t="array" ref="H33">IFERROR(IF('Language CLB Calculations'!C8='Language CLB Calculations'!M11,0,IF(FFCLBGREATERTHAN('Language CLB Calculations'!D8,'Language CLB Calculations'!E8,'Language CLB Calculations'!F8,'Language CLB Calculations'!G8,9,'Language CLB Calculations'!G15:G22,'Language CLB Calculations'!J15:J22),
_xlfn.XLOOKUP(_xlfn.XLOOKUP(Main!C8,_xlfn.ANCHORARRAY('Education  Comparision'!A4),'Education  Comparision'!B4:B11),INDEX(Table_CLB___Post_Secondary_Degree[],,1),INDEX(Table_CLB___Post_Secondary_Degree[],,3)),
IF(FFCLBGREATERTHAN('Language CLB Calculations'!D8,'Language CLB Calculations'!E8,'Language CLB Calculations'!F8,'Language CLB Calculations'!G8,7,'Language CLB Calculations'!G15:G22,'Language CLB Calculations'!J15:J22),
_xlfn.XLOOKUP(_xlfn.XLOOKUP(Main!C8,_xlfn.ANCHORARRAY('Education  Comparision'!A4),'Education  Comparision'!B4:B11),INDEX(Table_CLB___Post_Secondary_Degree[],,1),INDEX(Table_CLB___Post_Secondary_Degree[],,2)),
0))),0)</f>
        <v>0</v>
      </c>
    </row>
    <row r="34" spans="2:8" x14ac:dyDescent="0.25">
      <c r="B34" s="32" t="s">
        <v>118</v>
      </c>
      <c r="C34" s="77"/>
      <c r="D34" s="77"/>
      <c r="E34" s="77"/>
      <c r="F34" s="77"/>
      <c r="G34" s="77"/>
      <c r="H34" s="33" cm="1">
        <f t="array" ref="H34">IFERROR(IF(_xlfn.XLOOKUP(C9,'Canadian Experince Comparision'!A2:A7,'Canadian Experince Comparision'!B2:B7)&gt;=2,
_xlfn.XLOOKUP(_xlfn.XLOOKUP(Main!C8,_xlfn.ANCHORARRAY('Education  Comparision'!A4),'Education  Comparision'!B4:B11),INDEX(Table_Canadian_experince___Post_Secondary_Degree[],,1),INDEX(Table_CLB___Post_Secondary_Degree[],,3)),
IF(_xlfn.XLOOKUP(C9,'Canadian Experince Comparision'!A2:A7,'Canadian Experince Comparision'!B2:B7)&gt;=1,
_xlfn.XLOOKUP(_xlfn.XLOOKUP(Main!C8,_xlfn.ANCHORARRAY('Education  Comparision'!A4),'Education  Comparision'!B4:B11),INDEX(Table_Canadian_experince___Post_Secondary_Degree[],,1),INDEX(Table_CLB___Post_Secondary_Degree[],,2)),
0)),0)</f>
        <v>0</v>
      </c>
    </row>
    <row r="35" spans="2:8" ht="15.75" thickBot="1" x14ac:dyDescent="0.3"/>
    <row r="36" spans="2:8" x14ac:dyDescent="0.25">
      <c r="B36" s="90" t="s">
        <v>268</v>
      </c>
      <c r="C36" s="91"/>
      <c r="D36" s="91"/>
      <c r="E36" s="91"/>
      <c r="F36" s="91"/>
      <c r="G36" s="91"/>
      <c r="H36" s="92"/>
    </row>
    <row r="37" spans="2:8" x14ac:dyDescent="0.25">
      <c r="B37" s="32" t="s">
        <v>148</v>
      </c>
      <c r="C37" s="81"/>
      <c r="D37" s="82"/>
      <c r="E37" s="82"/>
      <c r="F37" s="82"/>
      <c r="G37" s="83"/>
      <c r="H37" s="33">
        <f>IFERROR(IF(C22 ='Data Validation'!R6, 'Official Score Data'!K32,0),0)</f>
        <v>0</v>
      </c>
    </row>
    <row r="38" spans="2:8" x14ac:dyDescent="0.25">
      <c r="B38" s="32" t="s">
        <v>149</v>
      </c>
      <c r="C38" s="77"/>
      <c r="D38" s="77"/>
      <c r="E38" s="77"/>
      <c r="F38" s="77"/>
      <c r="G38" s="77"/>
      <c r="H38" s="33" cm="1">
        <f t="array" ref="H38">IFERROR(_xlfn.XLOOKUP(C14,INDEX(Table_Additional_Points[],,1),INDEX(Table_Additional_Points[],,2)),0)</f>
        <v>0</v>
      </c>
    </row>
    <row r="39" spans="2:8" x14ac:dyDescent="0.25">
      <c r="B39" s="32" t="s">
        <v>150</v>
      </c>
      <c r="C39" s="81"/>
      <c r="D39" s="82"/>
      <c r="E39" s="82"/>
      <c r="F39" s="82"/>
      <c r="G39" s="83"/>
      <c r="H39" s="33">
        <f>IF(C23 ='Data Validation'!R6,'Official Score Data'!K26,0)</f>
        <v>0</v>
      </c>
    </row>
    <row r="40" spans="2:8" ht="15.75" thickBot="1" x14ac:dyDescent="0.3">
      <c r="B40" s="35" t="s">
        <v>151</v>
      </c>
      <c r="C40" s="93"/>
      <c r="D40" s="93"/>
      <c r="E40" s="93"/>
      <c r="F40" s="93"/>
      <c r="G40" s="93"/>
      <c r="H40" s="33">
        <f>IFERROR('Language CLB Calculations'!H11,0)</f>
        <v>0</v>
      </c>
    </row>
    <row r="41" spans="2:8" x14ac:dyDescent="0.25"/>
    <row r="42" spans="2:8" x14ac:dyDescent="0.25"/>
    <row r="43" spans="2:8" x14ac:dyDescent="0.25"/>
    <row r="44" spans="2:8" x14ac:dyDescent="0.25"/>
    <row r="45" spans="2:8" x14ac:dyDescent="0.25"/>
    <row r="46" spans="2:8" x14ac:dyDescent="0.25"/>
    <row r="47" spans="2:8" x14ac:dyDescent="0.25"/>
    <row r="48" spans="2: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</sheetData>
  <sheetProtection sheet="1" selectLockedCells="1"/>
  <mergeCells count="35">
    <mergeCell ref="B26:H26"/>
    <mergeCell ref="C9:G9"/>
    <mergeCell ref="B5:H5"/>
    <mergeCell ref="C22:H22"/>
    <mergeCell ref="C23:H23"/>
    <mergeCell ref="C24:H24"/>
    <mergeCell ref="C6:G6"/>
    <mergeCell ref="B36:H36"/>
    <mergeCell ref="C38:G38"/>
    <mergeCell ref="C40:G40"/>
    <mergeCell ref="C37:G37"/>
    <mergeCell ref="C39:G39"/>
    <mergeCell ref="C1:M1"/>
    <mergeCell ref="C33:G33"/>
    <mergeCell ref="C34:G34"/>
    <mergeCell ref="B31:H31"/>
    <mergeCell ref="C29:G29"/>
    <mergeCell ref="C28:G28"/>
    <mergeCell ref="B32:H32"/>
    <mergeCell ref="C30:G30"/>
    <mergeCell ref="B27:H27"/>
    <mergeCell ref="B10:C10"/>
    <mergeCell ref="C17:G17"/>
    <mergeCell ref="C18:G18"/>
    <mergeCell ref="B16:H16"/>
    <mergeCell ref="B19:C19"/>
    <mergeCell ref="C13:H13"/>
    <mergeCell ref="C14:H14"/>
    <mergeCell ref="C4:G4"/>
    <mergeCell ref="C7:G7"/>
    <mergeCell ref="C8:G8"/>
    <mergeCell ref="L5:Q5"/>
    <mergeCell ref="K2:L2"/>
    <mergeCell ref="E2:G2"/>
    <mergeCell ref="C2:D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41" r:id="rId3" name="Button 369">
              <controlPr defaultSize="0" print="0" autoFill="0" autoPict="0" macro="[0]!ResetForm">
                <anchor moveWithCells="1" sizeWithCells="1">
                  <from>
                    <xdr:col>2</xdr:col>
                    <xdr:colOff>733425</xdr:colOff>
                    <xdr:row>1</xdr:row>
                    <xdr:rowOff>28575</xdr:rowOff>
                  </from>
                  <to>
                    <xdr:col>4</xdr:col>
                    <xdr:colOff>47625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allowBlank="1" showInputMessage="1" showErrorMessage="1" xr:uid="{6B0D7A84-9C4B-45E2-BA7C-6C279CF2A06B}">
          <x14:formula1>
            <xm:f>'Data Validation'!$C$6:$C$13</xm:f>
          </x14:formula1>
          <xm:sqref>C8</xm:sqref>
        </x14:dataValidation>
        <x14:dataValidation type="list" allowBlank="1" showInputMessage="1" showErrorMessage="1" xr:uid="{969F299A-9EAC-435B-9DB9-51B5680569DC}">
          <x14:formula1>
            <xm:f>'Data Validation'!$L$6:$L$11</xm:f>
          </x14:formula1>
          <xm:sqref>C9:G9</xm:sqref>
        </x14:dataValidation>
        <x14:dataValidation type="list" allowBlank="1" showInputMessage="1" showErrorMessage="1" xr:uid="{69D31E1F-505F-4CD6-9065-62A38B015D3B}">
          <x14:formula1>
            <xm:f>'Data Validation'!$M$6:$M$8</xm:f>
          </x14:formula1>
          <xm:sqref>C13:H13</xm:sqref>
        </x14:dataValidation>
        <x14:dataValidation type="list" allowBlank="1" showInputMessage="1" showErrorMessage="1" xr:uid="{322690DD-FC98-479F-B952-C8121C14999E}">
          <x14:formula1>
            <xm:f>'Data Validation'!$A$6:$A$7</xm:f>
          </x14:formula1>
          <xm:sqref>C6</xm:sqref>
        </x14:dataValidation>
        <x14:dataValidation type="list" allowBlank="1" showInputMessage="1" showErrorMessage="1" xr:uid="{CD6E70C8-C3D9-4B53-82F4-705E530002E4}">
          <x14:formula1>
            <xm:f>'Data Validation'!$P$6:$P$13</xm:f>
          </x14:formula1>
          <xm:sqref>C17:G17</xm:sqref>
        </x14:dataValidation>
        <x14:dataValidation type="list" allowBlank="1" showInputMessage="1" showErrorMessage="1" xr:uid="{A3F1712B-B4F2-4D4E-91F5-460426620936}">
          <x14:formula1>
            <xm:f>'Data Validation'!$Q$6:$Q$11</xm:f>
          </x14:formula1>
          <xm:sqref>C18:G18</xm:sqref>
        </x14:dataValidation>
        <x14:dataValidation type="list" allowBlank="1" showInputMessage="1" showErrorMessage="1" xr:uid="{C20E12EA-DDB3-4F99-A953-A7270B46DBD0}">
          <x14:formula1>
            <xm:f>'Data Validation'!$B$6:$B$25</xm:f>
          </x14:formula1>
          <xm:sqref>C7:G7</xm:sqref>
        </x14:dataValidation>
        <x14:dataValidation type="list" allowBlank="1" showInputMessage="1" showErrorMessage="1" xr:uid="{0F288EFA-8946-4B81-A1F0-EF951458C370}">
          <x14:formula1>
            <xm:f>'Data Validation'!$R$6:$R$7</xm:f>
          </x14:formula1>
          <xm:sqref>C22:H24</xm:sqref>
        </x14:dataValidation>
        <x14:dataValidation type="list" allowBlank="1" showInputMessage="1" showErrorMessage="1" xr:uid="{CF676B7A-698F-425B-BAF4-7F80EE88ACE0}">
          <x14:formula1>
            <xm:f>'Data Validation'!$H$6:$H$11</xm:f>
          </x14:formula1>
          <xm:sqref>C20</xm:sqref>
        </x14:dataValidation>
        <x14:dataValidation type="list" allowBlank="1" showInputMessage="1" showErrorMessage="1" xr:uid="{356BAA12-2E9C-4D08-A06A-D1EBDDED48AC}">
          <x14:formula1>
            <xm:f>_xlfn.ANCHORARRAY('Data Validation'!$H$6)</xm:f>
          </x14:formula1>
          <xm:sqref>C11</xm:sqref>
        </x14:dataValidation>
        <x14:dataValidation type="list" allowBlank="1" showInputMessage="1" showErrorMessage="1" xr:uid="{B497838A-01DB-489C-8C9F-740F3057B272}">
          <x14:formula1>
            <xm:f>'Language CLB Calculations'!$B$15:$B$22</xm:f>
          </x14:formula1>
          <xm:sqref>D11</xm:sqref>
        </x14:dataValidation>
        <x14:dataValidation type="list" allowBlank="1" showInputMessage="1" showErrorMessage="1" xr:uid="{89BDB5F6-C5DA-479A-B57D-4FFB35D122C7}">
          <x14:formula1>
            <xm:f>'Language CLB Calculations'!$B$36:$B$43</xm:f>
          </x14:formula1>
          <xm:sqref>D20</xm:sqref>
        </x14:dataValidation>
        <x14:dataValidation type="list" allowBlank="1" showInputMessage="1" showErrorMessage="1" xr:uid="{8A10C600-8836-4D54-BCD2-EEA6ED2AC1EB}">
          <x14:formula1>
            <xm:f>'Language CLB Calculations'!$C$36:$C$43</xm:f>
          </x14:formula1>
          <xm:sqref>E20</xm:sqref>
        </x14:dataValidation>
        <x14:dataValidation type="list" allowBlank="1" showInputMessage="1" showErrorMessage="1" xr:uid="{06C7B2A3-A2F4-457B-AE05-517E6DC247FF}">
          <x14:formula1>
            <xm:f>'Language CLB Calculations'!$D$36:$D$43</xm:f>
          </x14:formula1>
          <xm:sqref>F20</xm:sqref>
        </x14:dataValidation>
        <x14:dataValidation type="list" allowBlank="1" showInputMessage="1" showErrorMessage="1" xr:uid="{798C8224-7242-4CDF-8216-DAB390A5786E}">
          <x14:formula1>
            <xm:f>'Language CLB Calculations'!$E$36:$E$43</xm:f>
          </x14:formula1>
          <xm:sqref>G20</xm:sqref>
        </x14:dataValidation>
        <x14:dataValidation type="list" allowBlank="1" showInputMessage="1" showErrorMessage="1" xr:uid="{AE66363B-BF09-4625-9514-0506A01717AB}">
          <x14:formula1>
            <xm:f>'Language CLB Calculations'!$C$15:$C$22</xm:f>
          </x14:formula1>
          <xm:sqref>E11</xm:sqref>
        </x14:dataValidation>
        <x14:dataValidation type="list" allowBlank="1" showInputMessage="1" showErrorMessage="1" xr:uid="{9E9D26E6-0835-4DCE-98AA-71EE74EF332D}">
          <x14:formula1>
            <xm:f>'Language CLB Calculations'!$D$15:$D$22</xm:f>
          </x14:formula1>
          <xm:sqref>F11</xm:sqref>
        </x14:dataValidation>
        <x14:dataValidation type="list" allowBlank="1" showInputMessage="1" showErrorMessage="1" xr:uid="{CEEB0975-33B8-4333-BC43-FEC5318C51EB}">
          <x14:formula1>
            <xm:f>'Language CLB Calculations'!$E$15:$E$22</xm:f>
          </x14:formula1>
          <xm:sqref>G11</xm:sqref>
        </x14:dataValidation>
        <x14:dataValidation type="list" allowBlank="1" showInputMessage="1" showErrorMessage="1" xr:uid="{7077B140-E39D-41A2-8258-E2D96A18C91D}">
          <x14:formula1>
            <xm:f>_xlfn.ANCHORARRAY('Data Validation'!$I$6)</xm:f>
          </x14:formula1>
          <xm:sqref>C12:C13</xm:sqref>
        </x14:dataValidation>
        <x14:dataValidation type="list" allowBlank="1" showInputMessage="1" showErrorMessage="1" xr:uid="{A0B23B43-ABD6-47C4-827B-DF8F440C6A16}">
          <x14:formula1>
            <xm:f>'Language CLB Calculations'!$E$25:$E$32</xm:f>
          </x14:formula1>
          <xm:sqref>G12:G13</xm:sqref>
        </x14:dataValidation>
        <x14:dataValidation type="list" allowBlank="1" showInputMessage="1" showErrorMessage="1" xr:uid="{793B9A79-6F25-48BF-B84A-E00D50DC8B59}">
          <x14:formula1>
            <xm:f>'Language CLB Calculations'!$C$25:$C$32</xm:f>
          </x14:formula1>
          <xm:sqref>E12:E13</xm:sqref>
        </x14:dataValidation>
        <x14:dataValidation type="list" allowBlank="1" showInputMessage="1" showErrorMessage="1" xr:uid="{9F3097A0-0FBB-4812-A71A-B0AD10070ED8}">
          <x14:formula1>
            <xm:f>'Language CLB Calculations'!$D$25:$D$32</xm:f>
          </x14:formula1>
          <xm:sqref>F12:F13</xm:sqref>
        </x14:dataValidation>
        <x14:dataValidation type="list" allowBlank="1" showInputMessage="1" showErrorMessage="1" xr:uid="{15596E0E-1732-44D8-ACEE-982F2DD28329}">
          <x14:formula1>
            <xm:f>'Language CLB Calculations'!$B$25:$B$32</xm:f>
          </x14:formula1>
          <xm:sqref>D12:D13</xm:sqref>
        </x14:dataValidation>
        <x14:dataValidation type="list" allowBlank="1" showInputMessage="1" showErrorMessage="1" xr:uid="{B2357D40-A5D4-4182-87D3-941B1BCCA3BD}">
          <x14:formula1>
            <xm:f>'Data Validation'!$B$32:$B$39</xm:f>
          </x14:formula1>
          <xm:sqref>M3</xm:sqref>
        </x14:dataValidation>
        <x14:dataValidation type="list" allowBlank="1" showInputMessage="1" showErrorMessage="1" xr:uid="{C421292B-E88C-478C-B0B3-6DBA8B7CEDC3}">
          <x14:formula1>
            <xm:f>'Data Validation'!$B$32:$B$41</xm:f>
          </x14:formula1>
          <xm:sqref>M2</xm:sqref>
        </x14:dataValidation>
        <x14:dataValidation type="list" allowBlank="1" showInputMessage="1" showErrorMessage="1" xr:uid="{709F6FE1-ADFA-4327-B8CF-70E20C1FBB37}">
          <x14:formula1>
            <xm:f>'Official Score Data'!$J$29:$J$31</xm:f>
          </x14:formula1>
          <xm:sqref>C14:H14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03011-B51D-4A8E-9AFD-0D498DAA5D9A}">
  <sheetPr codeName="Sheet11"/>
  <dimension ref="K1:BD4"/>
  <sheetViews>
    <sheetView showGridLines="0" topLeftCell="E1" zoomScaleNormal="100" workbookViewId="0">
      <selection activeCell="F4" sqref="F4"/>
    </sheetView>
  </sheetViews>
  <sheetFormatPr defaultColWidth="0" defaultRowHeight="15" zeroHeight="1" x14ac:dyDescent="0.25"/>
  <cols>
    <col min="1" max="10" width="105.7109375" customWidth="1"/>
    <col min="11" max="56" width="105.7109375" hidden="1"/>
    <col min="57" max="16384" width="9.140625" hidden="1"/>
  </cols>
  <sheetData>
    <row r="1" ht="3.75" customHeight="1" x14ac:dyDescent="0.25"/>
    <row r="2" ht="409.5" customHeight="1" x14ac:dyDescent="0.25"/>
    <row r="3" ht="279" customHeight="1" x14ac:dyDescent="0.25"/>
    <row r="4" ht="409.5" customHeight="1" x14ac:dyDescent="0.25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DFF49-CA28-45E4-BF72-12DEDFF648D0}">
  <sheetPr codeName="Sheet9"/>
  <dimension ref="A2:AA117"/>
  <sheetViews>
    <sheetView topLeftCell="B66" zoomScale="175" zoomScaleNormal="175" workbookViewId="0">
      <selection activeCell="S57" sqref="S57"/>
    </sheetView>
  </sheetViews>
  <sheetFormatPr defaultRowHeight="15" x14ac:dyDescent="0.25"/>
  <cols>
    <col min="1" max="1" width="19.42578125" customWidth="1"/>
    <col min="2" max="2" width="6.7109375" customWidth="1"/>
    <col min="3" max="3" width="21" customWidth="1"/>
    <col min="4" max="4" width="12.5703125" customWidth="1"/>
    <col min="5" max="5" width="9.140625" customWidth="1"/>
    <col min="7" max="7" width="10.85546875" customWidth="1"/>
    <col min="10" max="10" width="38.42578125" customWidth="1"/>
    <col min="11" max="11" width="9.140625" customWidth="1"/>
    <col min="12" max="13" width="11" customWidth="1"/>
  </cols>
  <sheetData>
    <row r="2" spans="1:26" ht="15" customHeight="1" x14ac:dyDescent="0.25">
      <c r="A2" s="110" t="s">
        <v>337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</row>
    <row r="3" spans="1:26" ht="15" customHeight="1" x14ac:dyDescent="0.25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</row>
    <row r="7" spans="1:26" ht="15.75" thickBot="1" x14ac:dyDescent="0.3"/>
    <row r="8" spans="1:26" ht="15.75" thickBot="1" x14ac:dyDescent="0.3">
      <c r="A8" s="166" t="s">
        <v>336</v>
      </c>
      <c r="B8" s="167"/>
      <c r="C8" s="167"/>
      <c r="D8" s="167"/>
      <c r="E8" s="167"/>
      <c r="F8" s="168"/>
    </row>
    <row r="9" spans="1:26" ht="15.75" thickBot="1" x14ac:dyDescent="0.3">
      <c r="A9" s="169"/>
      <c r="B9" s="170"/>
      <c r="C9" s="170"/>
      <c r="D9" s="170"/>
      <c r="E9" s="170"/>
      <c r="F9" s="171"/>
      <c r="H9" s="127" t="s">
        <v>327</v>
      </c>
      <c r="I9" s="119"/>
      <c r="J9" s="119"/>
      <c r="K9" s="119"/>
      <c r="L9" s="119"/>
      <c r="M9" s="119"/>
      <c r="N9" s="128"/>
      <c r="P9" s="127" t="s">
        <v>277</v>
      </c>
      <c r="Q9" s="119"/>
      <c r="R9" s="119"/>
      <c r="S9" s="128"/>
      <c r="U9" s="179" t="s">
        <v>339</v>
      </c>
      <c r="V9" s="180"/>
      <c r="W9" s="180"/>
      <c r="X9" s="180"/>
      <c r="Y9" s="180"/>
      <c r="Z9" s="181"/>
    </row>
    <row r="10" spans="1:26" x14ac:dyDescent="0.25">
      <c r="A10" s="51"/>
      <c r="B10" s="159"/>
      <c r="C10" s="159" t="s">
        <v>265</v>
      </c>
      <c r="D10" s="159" t="s">
        <v>266</v>
      </c>
      <c r="E10" s="159"/>
      <c r="F10" s="145" t="s">
        <v>266</v>
      </c>
      <c r="G10" t="s">
        <v>328</v>
      </c>
      <c r="H10" s="8" t="s">
        <v>338</v>
      </c>
      <c r="I10" s="12"/>
      <c r="J10" s="12" t="s">
        <v>312</v>
      </c>
      <c r="K10" s="12" t="s">
        <v>84</v>
      </c>
      <c r="L10" s="12"/>
      <c r="M10" s="12"/>
      <c r="N10" s="25"/>
      <c r="P10" s="8"/>
      <c r="Q10" s="12" t="s">
        <v>1</v>
      </c>
      <c r="R10" s="12" t="s">
        <v>279</v>
      </c>
      <c r="S10" s="25" t="s">
        <v>280</v>
      </c>
      <c r="T10" s="172" t="s">
        <v>328</v>
      </c>
      <c r="U10" s="173"/>
      <c r="V10" s="173"/>
      <c r="W10" s="12" t="s">
        <v>279</v>
      </c>
      <c r="X10" s="12" t="s">
        <v>280</v>
      </c>
      <c r="Y10" s="12"/>
      <c r="Z10" s="12"/>
    </row>
    <row r="11" spans="1:26" x14ac:dyDescent="0.25">
      <c r="A11" s="8" t="s">
        <v>271</v>
      </c>
      <c r="B11" s="12" t="s">
        <v>278</v>
      </c>
      <c r="C11" s="12" t="s">
        <v>260</v>
      </c>
      <c r="D11" s="12" t="s">
        <v>275</v>
      </c>
      <c r="E11" s="12"/>
      <c r="F11" s="25" t="s">
        <v>274</v>
      </c>
      <c r="H11" s="8"/>
      <c r="I11" s="12">
        <v>1</v>
      </c>
      <c r="J11" s="12" t="str" cm="1">
        <f t="array" ref="J11:L16">Table_Spouse_Canadian_Experince[]</f>
        <v>None or less than a year</v>
      </c>
      <c r="K11" s="12">
        <v>0</v>
      </c>
      <c r="L11" s="12">
        <v>0</v>
      </c>
      <c r="M11" s="12" t="str">
        <f>IF(Main!$C$18 ='KPI''s'!J11,Main!$H$18, "")</f>
        <v/>
      </c>
      <c r="N11" s="25" t="str">
        <f>IF(M11 = "","",J11)</f>
        <v/>
      </c>
      <c r="P11" s="8" t="s">
        <v>7</v>
      </c>
      <c r="Q11" s="12">
        <f t="shared" ref="Q11:Q30" si="0">VALUE(_xlfn.TEXTBEFORE(P11," "))</f>
        <v>17</v>
      </c>
      <c r="R11" s="12">
        <v>0</v>
      </c>
      <c r="S11" s="25">
        <v>0</v>
      </c>
      <c r="U11" s="12"/>
      <c r="V11" s="12">
        <v>3</v>
      </c>
      <c r="W11" s="12">
        <v>0</v>
      </c>
      <c r="X11" s="12">
        <v>0</v>
      </c>
      <c r="Y11" s="12"/>
      <c r="Z11" s="12"/>
    </row>
    <row r="12" spans="1:26" x14ac:dyDescent="0.25">
      <c r="A12" s="10" t="s">
        <v>1</v>
      </c>
      <c r="B12" s="23" t="e">
        <f>VALUE(_xlfn.TEXTBEFORE(Main!C7," "))</f>
        <v>#N/A</v>
      </c>
      <c r="C12" s="12">
        <f>Main!H7</f>
        <v>0</v>
      </c>
      <c r="D12" s="12">
        <f>MAX(Table_Age[])</f>
        <v>110</v>
      </c>
      <c r="E12" s="12"/>
      <c r="F12" s="25">
        <f>IF(OR((D12-C12)&lt;0, C12 = 0),0,D12-C12)</f>
        <v>0</v>
      </c>
      <c r="H12" s="8"/>
      <c r="I12" s="12">
        <v>2</v>
      </c>
      <c r="J12" s="12" t="str">
        <v>1 year</v>
      </c>
      <c r="K12" s="12">
        <v>5</v>
      </c>
      <c r="L12" s="12">
        <v>0</v>
      </c>
      <c r="M12" s="12" t="str">
        <f>IF(Main!$C$18 ='KPI''s'!J12,Main!$H$18, "")</f>
        <v/>
      </c>
      <c r="N12" s="25" t="str">
        <f t="shared" ref="N12:N16" si="1">IF(M12 = "","",J12)</f>
        <v/>
      </c>
      <c r="P12" s="8" t="s">
        <v>8</v>
      </c>
      <c r="Q12" s="12">
        <f t="shared" si="0"/>
        <v>18</v>
      </c>
      <c r="R12" s="12">
        <v>90</v>
      </c>
      <c r="S12" s="25">
        <v>99</v>
      </c>
      <c r="U12" s="12"/>
      <c r="V12" s="12">
        <v>4</v>
      </c>
      <c r="W12" s="12">
        <v>6</v>
      </c>
      <c r="X12" s="12">
        <v>6</v>
      </c>
      <c r="Y12" s="12"/>
      <c r="Z12" s="12"/>
    </row>
    <row r="13" spans="1:26" x14ac:dyDescent="0.25">
      <c r="A13" s="10" t="s">
        <v>257</v>
      </c>
      <c r="B13" s="23"/>
      <c r="C13" s="12">
        <f>Main!H11</f>
        <v>0</v>
      </c>
      <c r="D13" s="12">
        <f>MAX(Table_First_language_proficiency[]) *4</f>
        <v>136</v>
      </c>
      <c r="E13" s="12"/>
      <c r="F13" s="25">
        <f t="shared" ref="F13:F20" si="2">IF(OR((D13-C13)&lt;0, C13 = 0),0,D13-C13)</f>
        <v>0</v>
      </c>
      <c r="H13" s="8"/>
      <c r="I13" s="12">
        <v>3</v>
      </c>
      <c r="J13" s="12" t="str">
        <v>2 years</v>
      </c>
      <c r="K13" s="12">
        <v>7</v>
      </c>
      <c r="L13" s="12">
        <v>0</v>
      </c>
      <c r="M13" s="12" t="str">
        <f>IF(Main!$C$18 ='KPI''s'!J13,Main!$H$18, "")</f>
        <v/>
      </c>
      <c r="N13" s="25" t="str">
        <f t="shared" si="1"/>
        <v/>
      </c>
      <c r="P13" s="8" t="s">
        <v>9</v>
      </c>
      <c r="Q13" s="12">
        <f t="shared" si="0"/>
        <v>19</v>
      </c>
      <c r="R13" s="12">
        <v>95</v>
      </c>
      <c r="S13" s="25">
        <v>105</v>
      </c>
      <c r="U13" s="12"/>
      <c r="V13" s="12">
        <v>5</v>
      </c>
      <c r="W13" s="12">
        <v>6</v>
      </c>
      <c r="X13" s="12">
        <v>6</v>
      </c>
      <c r="Y13" s="12"/>
      <c r="Z13" s="12"/>
    </row>
    <row r="14" spans="1:26" x14ac:dyDescent="0.25">
      <c r="A14" s="10" t="s">
        <v>258</v>
      </c>
      <c r="B14" s="23"/>
      <c r="C14" s="12">
        <f>Main!H12</f>
        <v>0</v>
      </c>
      <c r="D14" s="12">
        <f>MAX(Table_Second_language_proficiency[]) *4</f>
        <v>24</v>
      </c>
      <c r="E14" s="12"/>
      <c r="F14" s="25">
        <f t="shared" si="2"/>
        <v>0</v>
      </c>
      <c r="H14" s="8"/>
      <c r="I14" s="12">
        <v>4</v>
      </c>
      <c r="J14" s="12" t="str">
        <v>3 years</v>
      </c>
      <c r="K14" s="12">
        <v>8</v>
      </c>
      <c r="L14" s="12">
        <v>0</v>
      </c>
      <c r="M14" s="12"/>
      <c r="N14" s="25"/>
      <c r="P14" s="8" t="s">
        <v>10</v>
      </c>
      <c r="Q14" s="12">
        <f t="shared" si="0"/>
        <v>20</v>
      </c>
      <c r="R14" s="12">
        <v>100</v>
      </c>
      <c r="S14" s="25">
        <v>110</v>
      </c>
      <c r="U14" s="12"/>
      <c r="V14" s="12">
        <v>6</v>
      </c>
      <c r="W14" s="12">
        <v>8</v>
      </c>
      <c r="X14" s="12">
        <v>9</v>
      </c>
      <c r="Y14" s="12"/>
      <c r="Z14" s="12"/>
    </row>
    <row r="15" spans="1:26" x14ac:dyDescent="0.25">
      <c r="A15" s="10" t="s">
        <v>259</v>
      </c>
      <c r="B15" s="23"/>
      <c r="C15" s="12">
        <f>Main!H9</f>
        <v>0</v>
      </c>
      <c r="D15" s="12">
        <f>MAX(Table_Core_Canadian_Experince[])</f>
        <v>80</v>
      </c>
      <c r="E15" s="12"/>
      <c r="F15" s="25">
        <f t="shared" si="2"/>
        <v>0</v>
      </c>
      <c r="H15" s="8"/>
      <c r="I15" s="12">
        <v>5</v>
      </c>
      <c r="J15" s="12" t="str">
        <v>4 years</v>
      </c>
      <c r="K15" s="12">
        <v>9</v>
      </c>
      <c r="L15" s="12">
        <v>0</v>
      </c>
      <c r="M15" s="12" t="str">
        <f>IF(Main!$C$18 ='KPI''s'!J15,Main!$H$18, "")</f>
        <v/>
      </c>
      <c r="N15" s="25" t="str">
        <f t="shared" si="1"/>
        <v/>
      </c>
      <c r="P15" s="8" t="s">
        <v>11</v>
      </c>
      <c r="Q15" s="12">
        <f t="shared" si="0"/>
        <v>30</v>
      </c>
      <c r="R15" s="12">
        <v>95</v>
      </c>
      <c r="S15" s="25">
        <v>105</v>
      </c>
      <c r="U15" s="12"/>
      <c r="V15" s="12">
        <v>7</v>
      </c>
      <c r="W15" s="12">
        <v>16</v>
      </c>
      <c r="X15" s="12">
        <v>17</v>
      </c>
      <c r="Y15" s="12"/>
      <c r="Z15" s="12"/>
    </row>
    <row r="16" spans="1:26" x14ac:dyDescent="0.25">
      <c r="A16" s="10" t="s">
        <v>262</v>
      </c>
      <c r="B16" s="23"/>
      <c r="C16" s="12">
        <f>Main!H28</f>
        <v>0</v>
      </c>
      <c r="D16" s="12">
        <f>MAX(Foreign_work_Experince___CLB[])</f>
        <v>50</v>
      </c>
      <c r="E16" s="12"/>
      <c r="F16" s="25">
        <f t="shared" si="2"/>
        <v>0</v>
      </c>
      <c r="H16" s="8"/>
      <c r="I16" s="12">
        <v>6</v>
      </c>
      <c r="J16" s="12" t="str">
        <v>5 years or more</v>
      </c>
      <c r="K16" s="12">
        <v>10</v>
      </c>
      <c r="L16" s="12">
        <v>0</v>
      </c>
      <c r="M16" s="12" t="str">
        <f>IF(Main!$C$18 ='KPI''s'!J16,Main!$H$18, "")</f>
        <v/>
      </c>
      <c r="N16" s="25" t="str">
        <f t="shared" si="1"/>
        <v/>
      </c>
      <c r="P16" s="8" t="s">
        <v>12</v>
      </c>
      <c r="Q16" s="12">
        <f t="shared" si="0"/>
        <v>31</v>
      </c>
      <c r="R16" s="12">
        <v>90</v>
      </c>
      <c r="S16" s="25">
        <v>99</v>
      </c>
      <c r="U16" s="12"/>
      <c r="V16" s="12">
        <v>8</v>
      </c>
      <c r="W16" s="12">
        <v>22</v>
      </c>
      <c r="X16" s="12">
        <v>23</v>
      </c>
      <c r="Y16" s="12"/>
      <c r="Z16" s="12"/>
    </row>
    <row r="17" spans="1:27" x14ac:dyDescent="0.25">
      <c r="A17" s="10" t="s">
        <v>263</v>
      </c>
      <c r="B17" s="23"/>
      <c r="C17" s="12">
        <f>Main!H29</f>
        <v>0</v>
      </c>
      <c r="D17" s="12">
        <f>MAX(Table_Foreign_work_experience__Canadian_work_experience[])</f>
        <v>50</v>
      </c>
      <c r="E17" s="12"/>
      <c r="F17" s="25">
        <f t="shared" si="2"/>
        <v>0</v>
      </c>
      <c r="H17" s="8"/>
      <c r="I17" s="12" t="s">
        <v>313</v>
      </c>
      <c r="J17" s="12" t="e">
        <f>_xlfn.XLOOKUP(Main!C18,J11:J16,I11:I16)</f>
        <v>#N/A</v>
      </c>
      <c r="K17" s="12">
        <f>Main!H18</f>
        <v>0</v>
      </c>
      <c r="L17" s="12"/>
      <c r="M17" s="12"/>
      <c r="N17" s="25"/>
      <c r="P17" s="8" t="s">
        <v>13</v>
      </c>
      <c r="Q17" s="12">
        <f t="shared" si="0"/>
        <v>32</v>
      </c>
      <c r="R17" s="12">
        <v>85</v>
      </c>
      <c r="S17" s="25">
        <v>94</v>
      </c>
      <c r="U17" s="12"/>
      <c r="V17" s="12">
        <v>9</v>
      </c>
      <c r="W17" s="12">
        <v>29</v>
      </c>
      <c r="X17" s="12">
        <v>31</v>
      </c>
      <c r="Y17" s="12"/>
      <c r="Z17" s="12"/>
    </row>
    <row r="18" spans="1:27" x14ac:dyDescent="0.25">
      <c r="A18" s="10" t="s">
        <v>267</v>
      </c>
      <c r="B18" s="23"/>
      <c r="C18" s="12">
        <f>Main!H8</f>
        <v>0</v>
      </c>
      <c r="D18" s="12">
        <f>MAX(Table_Level_of_Education[])</f>
        <v>150</v>
      </c>
      <c r="E18" s="12"/>
      <c r="F18" s="25">
        <f t="shared" si="2"/>
        <v>0</v>
      </c>
      <c r="H18" s="8"/>
      <c r="I18" s="12"/>
      <c r="J18" s="12"/>
      <c r="K18" s="12"/>
      <c r="L18" s="12"/>
      <c r="M18" s="12"/>
      <c r="N18" s="25"/>
      <c r="P18" s="8" t="s">
        <v>14</v>
      </c>
      <c r="Q18" s="12">
        <f t="shared" si="0"/>
        <v>33</v>
      </c>
      <c r="R18" s="12">
        <v>80</v>
      </c>
      <c r="S18" s="25">
        <v>88</v>
      </c>
      <c r="U18" s="12"/>
      <c r="V18" s="12">
        <v>10</v>
      </c>
      <c r="W18" s="12">
        <v>32</v>
      </c>
      <c r="X18" s="12">
        <v>34</v>
      </c>
      <c r="Y18" s="12"/>
      <c r="Z18" s="12"/>
    </row>
    <row r="19" spans="1:27" x14ac:dyDescent="0.25">
      <c r="A19" s="10" t="s">
        <v>111</v>
      </c>
      <c r="B19" s="23"/>
      <c r="C19" s="12">
        <f>Main!H33</f>
        <v>0</v>
      </c>
      <c r="D19" s="12">
        <f>MAX(Table_CLB___Post_Secondary_Degree[])</f>
        <v>50</v>
      </c>
      <c r="E19" s="12"/>
      <c r="F19" s="25">
        <f t="shared" si="2"/>
        <v>0</v>
      </c>
      <c r="H19" s="8"/>
      <c r="I19" s="12"/>
      <c r="J19" s="12" t="s">
        <v>285</v>
      </c>
      <c r="K19" s="12"/>
      <c r="L19" s="12"/>
      <c r="M19" s="12"/>
      <c r="N19" s="25"/>
      <c r="P19" s="8" t="s">
        <v>15</v>
      </c>
      <c r="Q19" s="12">
        <f t="shared" si="0"/>
        <v>34</v>
      </c>
      <c r="R19" s="12">
        <v>75</v>
      </c>
      <c r="S19" s="25">
        <v>83</v>
      </c>
      <c r="U19" s="12"/>
      <c r="V19" s="12">
        <v>11</v>
      </c>
      <c r="W19" s="12">
        <v>32</v>
      </c>
      <c r="X19" s="12">
        <v>34</v>
      </c>
      <c r="Y19" s="12"/>
      <c r="Z19" s="12"/>
    </row>
    <row r="20" spans="1:27" ht="15.75" thickBot="1" x14ac:dyDescent="0.3">
      <c r="A20" s="22" t="s">
        <v>264</v>
      </c>
      <c r="B20" s="160"/>
      <c r="C20" s="21">
        <f>Main!H34</f>
        <v>0</v>
      </c>
      <c r="D20" s="21">
        <f>MAX(Table_Canadian_experince___Post_Secondary_Degree[])</f>
        <v>50</v>
      </c>
      <c r="E20" s="21"/>
      <c r="F20" s="26">
        <f t="shared" si="2"/>
        <v>0</v>
      </c>
      <c r="H20" s="8"/>
      <c r="I20" s="12">
        <v>1</v>
      </c>
      <c r="J20" s="12" t="str" cm="1">
        <f t="array" ref="J20:L23">Table_Spouse_langauge_benchmark[]</f>
        <v>CLB 4 or less</v>
      </c>
      <c r="K20" s="12">
        <v>0</v>
      </c>
      <c r="L20" s="12">
        <v>0</v>
      </c>
      <c r="M20" s="12"/>
      <c r="N20" s="25"/>
      <c r="P20" s="8" t="s">
        <v>16</v>
      </c>
      <c r="Q20" s="12">
        <f t="shared" si="0"/>
        <v>35</v>
      </c>
      <c r="R20" s="12">
        <v>70</v>
      </c>
      <c r="S20" s="25">
        <v>77</v>
      </c>
      <c r="U20" s="12"/>
      <c r="V20" s="12">
        <v>12</v>
      </c>
      <c r="W20" s="12">
        <v>32</v>
      </c>
      <c r="X20" s="12">
        <v>34</v>
      </c>
      <c r="Y20" s="12"/>
      <c r="Z20" s="12"/>
    </row>
    <row r="21" spans="1:27" ht="15.75" thickBot="1" x14ac:dyDescent="0.3">
      <c r="A21" s="1"/>
      <c r="B21" s="1"/>
      <c r="H21" s="8"/>
      <c r="I21" s="12">
        <v>2</v>
      </c>
      <c r="J21" s="12" t="str">
        <v>CLB 5 or 6</v>
      </c>
      <c r="K21" s="12">
        <v>1</v>
      </c>
      <c r="L21" s="12">
        <v>0</v>
      </c>
      <c r="M21" s="12"/>
      <c r="N21" s="25"/>
      <c r="P21" s="8" t="s">
        <v>17</v>
      </c>
      <c r="Q21" s="12">
        <f t="shared" si="0"/>
        <v>36</v>
      </c>
      <c r="R21" s="12">
        <v>65</v>
      </c>
      <c r="S21" s="25">
        <v>72</v>
      </c>
      <c r="U21" s="179" t="s">
        <v>283</v>
      </c>
      <c r="V21" s="180"/>
      <c r="W21" s="181"/>
      <c r="X21" s="179" t="s">
        <v>284</v>
      </c>
      <c r="Y21" s="180"/>
      <c r="Z21" s="181"/>
    </row>
    <row r="22" spans="1:27" x14ac:dyDescent="0.25">
      <c r="A22" s="161" t="s">
        <v>272</v>
      </c>
      <c r="B22" s="162"/>
      <c r="C22" s="159"/>
      <c r="D22" s="159"/>
      <c r="E22" s="159"/>
      <c r="F22" s="145"/>
      <c r="H22" s="8"/>
      <c r="I22" s="12">
        <v>3</v>
      </c>
      <c r="J22" s="12" t="str">
        <v>CLB 7 or 8</v>
      </c>
      <c r="K22" s="12">
        <v>3</v>
      </c>
      <c r="L22" s="12">
        <v>0</v>
      </c>
      <c r="M22" s="12"/>
      <c r="N22" s="25"/>
      <c r="P22" s="8" t="s">
        <v>18</v>
      </c>
      <c r="Q22" s="12">
        <f t="shared" si="0"/>
        <v>37</v>
      </c>
      <c r="R22" s="12">
        <v>60</v>
      </c>
      <c r="S22" s="25">
        <v>66</v>
      </c>
      <c r="U22" s="12"/>
      <c r="V22" s="9"/>
      <c r="W22" s="9"/>
      <c r="X22" s="9"/>
      <c r="Y22" s="9">
        <f>IF(IsMarried?,W18,X18)</f>
        <v>34</v>
      </c>
      <c r="Z22" s="12"/>
    </row>
    <row r="23" spans="1:27" x14ac:dyDescent="0.25">
      <c r="A23" s="10" t="s">
        <v>267</v>
      </c>
      <c r="B23" s="23"/>
      <c r="C23" s="12">
        <f>Main!H17</f>
        <v>0</v>
      </c>
      <c r="D23" s="12">
        <f>MAX(Table_Spouse_level_of_education[])</f>
        <v>10</v>
      </c>
      <c r="E23" s="12"/>
      <c r="F23" s="25">
        <f>IF(OR((D23-C23)&lt;0, C23 = 0),0,D23-C23)</f>
        <v>0</v>
      </c>
      <c r="H23" s="8"/>
      <c r="I23" s="12">
        <v>4</v>
      </c>
      <c r="J23" s="12" t="str">
        <v>CLB 9 or more</v>
      </c>
      <c r="K23" s="12">
        <v>5</v>
      </c>
      <c r="L23" s="12">
        <v>0</v>
      </c>
      <c r="M23" s="12"/>
      <c r="N23" s="25"/>
      <c r="P23" s="8" t="s">
        <v>19</v>
      </c>
      <c r="Q23" s="12">
        <f t="shared" si="0"/>
        <v>38</v>
      </c>
      <c r="R23" s="12">
        <v>55</v>
      </c>
      <c r="S23" s="25">
        <v>61</v>
      </c>
      <c r="U23" s="23"/>
      <c r="V23" s="23" t="s">
        <v>285</v>
      </c>
      <c r="W23" s="23" t="s">
        <v>288</v>
      </c>
      <c r="X23" s="23" t="s">
        <v>286</v>
      </c>
      <c r="Y23" s="23" t="s">
        <v>289</v>
      </c>
      <c r="Z23" s="23" t="s">
        <v>274</v>
      </c>
      <c r="AA23" s="178" t="s">
        <v>328</v>
      </c>
    </row>
    <row r="24" spans="1:27" x14ac:dyDescent="0.25">
      <c r="A24" s="10" t="s">
        <v>257</v>
      </c>
      <c r="B24" s="23"/>
      <c r="C24" s="12">
        <f>Main!H20</f>
        <v>0</v>
      </c>
      <c r="D24" s="12">
        <f>MAX(Table_Spouse_langauge_benchmark[])</f>
        <v>5</v>
      </c>
      <c r="E24" s="12"/>
      <c r="F24" s="25">
        <f t="shared" ref="F24:F25" si="3">IF(OR((D24-C24)&lt;0, C24 = 0),0,D24-C24)</f>
        <v>0</v>
      </c>
      <c r="H24" s="8"/>
      <c r="I24" s="12" t="s">
        <v>313</v>
      </c>
      <c r="J24" s="12" t="s">
        <v>92</v>
      </c>
      <c r="K24" s="12" t="s">
        <v>93</v>
      </c>
      <c r="L24" s="12" t="s">
        <v>90</v>
      </c>
      <c r="M24" s="12" t="s">
        <v>91</v>
      </c>
      <c r="N24" s="25"/>
      <c r="P24" s="8" t="s">
        <v>20</v>
      </c>
      <c r="Q24" s="12">
        <f t="shared" si="0"/>
        <v>39</v>
      </c>
      <c r="R24" s="12">
        <v>50</v>
      </c>
      <c r="S24" s="25">
        <v>55</v>
      </c>
      <c r="U24" s="174" t="s">
        <v>168</v>
      </c>
      <c r="V24" s="12" t="e">
        <f>_xlfn.XLOOKUP('Language CLB Calculations'!D8,'Language CLB Calculations'!G15:G22,'Language CLB Calculations'!J15:J22)</f>
        <v>#N/A</v>
      </c>
      <c r="W24" s="12" t="e" cm="1">
        <f t="array" ref="W24">GetPointsFor('Language CLB Calculations'!D8,Table_First_language_proficiency[],IsMarried?)</f>
        <v>#N/A</v>
      </c>
      <c r="X24" s="12" t="e">
        <f>V24 &lt; 10</f>
        <v>#N/A</v>
      </c>
      <c r="Y24" s="12">
        <f>$Y$22</f>
        <v>34</v>
      </c>
      <c r="Z24" s="12" t="e">
        <f>Y24-W24</f>
        <v>#N/A</v>
      </c>
    </row>
    <row r="25" spans="1:27" ht="15.75" thickBot="1" x14ac:dyDescent="0.3">
      <c r="A25" s="22" t="s">
        <v>273</v>
      </c>
      <c r="B25" s="160"/>
      <c r="C25" s="21">
        <f>Main!H18</f>
        <v>0</v>
      </c>
      <c r="D25" s="21">
        <f>MAX(Table_Spouse_Canadian_Experince[])</f>
        <v>10</v>
      </c>
      <c r="E25" s="21"/>
      <c r="F25" s="26">
        <f t="shared" si="3"/>
        <v>0</v>
      </c>
      <c r="H25" s="8"/>
      <c r="I25" s="12"/>
      <c r="J25" s="12" t="e">
        <f>_xlfn.XLOOKUP('Language CLB Calculations'!D10,'KPI''s'!$J$20:$J$23,'KPI''s'!$I$20:$I$23)</f>
        <v>#N/A</v>
      </c>
      <c r="K25" s="12" t="e">
        <f>_xlfn.XLOOKUP('Language CLB Calculations'!E10,'KPI''s'!$J$20:$J$23,'KPI''s'!$I$20:$I$23)</f>
        <v>#N/A</v>
      </c>
      <c r="L25" s="12" t="e">
        <f>_xlfn.XLOOKUP('Language CLB Calculations'!F10,'KPI''s'!$J$20:$J$23,'KPI''s'!$I$20:$I$23)</f>
        <v>#N/A</v>
      </c>
      <c r="M25" s="12" t="e">
        <f>_xlfn.XLOOKUP('Language CLB Calculations'!G10,'KPI''s'!$J$20:$J$23,'KPI''s'!$I$20:$I$23)</f>
        <v>#N/A</v>
      </c>
      <c r="N25" s="25"/>
      <c r="P25" s="8" t="s">
        <v>21</v>
      </c>
      <c r="Q25" s="12">
        <f t="shared" si="0"/>
        <v>40</v>
      </c>
      <c r="R25" s="12">
        <v>45</v>
      </c>
      <c r="S25" s="25">
        <v>50</v>
      </c>
      <c r="U25" s="174" t="s">
        <v>169</v>
      </c>
      <c r="V25" s="12" t="e">
        <f>_xlfn.XLOOKUP('Language CLB Calculations'!E8,'Language CLB Calculations'!G15:G22,'Language CLB Calculations'!J15:J22)</f>
        <v>#N/A</v>
      </c>
      <c r="W25" s="12" t="e" cm="1">
        <f t="array" ref="W25">GetPointsFor('Language CLB Calculations'!E8,Table_First_language_proficiency[],IsMarried?)</f>
        <v>#N/A</v>
      </c>
      <c r="X25" s="12" t="e">
        <f t="shared" ref="X25:X27" si="4">V25 &lt; 10</f>
        <v>#N/A</v>
      </c>
      <c r="Y25" s="12">
        <f>$Y$22</f>
        <v>34</v>
      </c>
      <c r="Z25" s="12" t="e">
        <f>Y25-W25</f>
        <v>#N/A</v>
      </c>
    </row>
    <row r="26" spans="1:27" ht="15.75" thickBot="1" x14ac:dyDescent="0.3">
      <c r="A26" s="1"/>
      <c r="B26" s="1"/>
      <c r="H26" s="8"/>
      <c r="I26" s="12"/>
      <c r="J26" s="12" t="e">
        <f>_xlfn.XLOOKUP(J25,$I$20:$I$23,$K$20:$K$23)</f>
        <v>#N/A</v>
      </c>
      <c r="K26" s="12" t="e">
        <f>_xlfn.XLOOKUP(K25,$I$20:$I$23,$K$20:$K$23)</f>
        <v>#N/A</v>
      </c>
      <c r="L26" s="12" t="e">
        <f>_xlfn.XLOOKUP(L25,$I$20:$I$23,$K$20:$K$23)</f>
        <v>#N/A</v>
      </c>
      <c r="M26" s="12" t="e">
        <f>_xlfn.XLOOKUP(M25,$I$20:$I$23,$K$20:$K$23)</f>
        <v>#N/A</v>
      </c>
      <c r="N26" s="25"/>
      <c r="P26" s="8" t="s">
        <v>22</v>
      </c>
      <c r="Q26" s="12">
        <f t="shared" si="0"/>
        <v>41</v>
      </c>
      <c r="R26" s="12">
        <v>35</v>
      </c>
      <c r="S26" s="25">
        <v>39</v>
      </c>
      <c r="U26" s="174" t="s">
        <v>170</v>
      </c>
      <c r="V26" s="12" t="e">
        <f>_xlfn.XLOOKUP('Language CLB Calculations'!F8,'Language CLB Calculations'!G15:G22,'Language CLB Calculations'!J15:J22)</f>
        <v>#N/A</v>
      </c>
      <c r="W26" s="12" t="e" cm="1">
        <f t="array" ref="W26">GetPointsFor('Language CLB Calculations'!F8,Table_First_language_proficiency[],IsMarried?)</f>
        <v>#N/A</v>
      </c>
      <c r="X26" s="12" t="e">
        <f t="shared" si="4"/>
        <v>#N/A</v>
      </c>
      <c r="Y26" s="12">
        <f>$Y$22</f>
        <v>34</v>
      </c>
      <c r="Z26" s="12" t="e">
        <f>Y26-W26</f>
        <v>#N/A</v>
      </c>
    </row>
    <row r="27" spans="1:27" x14ac:dyDescent="0.25">
      <c r="A27" s="161" t="s">
        <v>147</v>
      </c>
      <c r="B27" s="163"/>
      <c r="C27" s="164"/>
      <c r="D27" s="164"/>
      <c r="E27" s="164"/>
      <c r="F27" s="165"/>
      <c r="H27" s="8"/>
      <c r="I27" s="12"/>
      <c r="J27" s="12" t="s">
        <v>325</v>
      </c>
      <c r="K27" s="12"/>
      <c r="L27" s="12"/>
      <c r="M27" s="12"/>
      <c r="N27" s="25"/>
      <c r="P27" s="8" t="s">
        <v>23</v>
      </c>
      <c r="Q27" s="12">
        <f t="shared" si="0"/>
        <v>42</v>
      </c>
      <c r="R27" s="12">
        <v>25</v>
      </c>
      <c r="S27" s="25">
        <v>28</v>
      </c>
      <c r="U27" s="174" t="s">
        <v>171</v>
      </c>
      <c r="V27" s="12" t="e">
        <f>_xlfn.XLOOKUP('Language CLB Calculations'!G8,'Language CLB Calculations'!G15:G22,'Language CLB Calculations'!J15:J22)</f>
        <v>#N/A</v>
      </c>
      <c r="W27" s="12" t="e" cm="1">
        <f t="array" ref="W27">GetPointsFor('Language CLB Calculations'!G8,Table_First_language_proficiency[],IsMarried?)</f>
        <v>#N/A</v>
      </c>
      <c r="X27" s="12" t="e">
        <f t="shared" si="4"/>
        <v>#N/A</v>
      </c>
      <c r="Y27" s="12">
        <f>$Y$22</f>
        <v>34</v>
      </c>
      <c r="Z27" s="12" t="e">
        <f>Y27-W27</f>
        <v>#N/A</v>
      </c>
    </row>
    <row r="28" spans="1:27" x14ac:dyDescent="0.25">
      <c r="A28" s="10" t="str" cm="1">
        <f t="array" ref="A28:A31">Main!B37:B40</f>
        <v>Provincial Nomination</v>
      </c>
      <c r="B28" s="23"/>
      <c r="C28" s="12" cm="1">
        <f t="array" ref="C28:C31">Main!H37:H40</f>
        <v>0</v>
      </c>
      <c r="D28" s="12">
        <f>'Official Score Data'!K32</f>
        <v>600</v>
      </c>
      <c r="E28" s="12"/>
      <c r="F28" s="25">
        <f>IF(OR((D28-C28)&lt;0, C28 = 0),0,D28-C28)</f>
        <v>0</v>
      </c>
      <c r="H28" s="8">
        <v>1</v>
      </c>
      <c r="I28" s="12" t="s">
        <v>2</v>
      </c>
      <c r="J28" s="12" t="str" cm="1">
        <f t="array" ref="J28:L35">Table_Spouse_level_of_education[]</f>
        <v>Less than secondary school (high school)</v>
      </c>
      <c r="K28" s="12">
        <v>0</v>
      </c>
      <c r="L28" s="12">
        <v>0</v>
      </c>
      <c r="M28" s="12"/>
      <c r="N28" s="25"/>
      <c r="P28" s="8" t="s">
        <v>24</v>
      </c>
      <c r="Q28" s="12">
        <f t="shared" si="0"/>
        <v>43</v>
      </c>
      <c r="R28" s="12">
        <v>15</v>
      </c>
      <c r="S28" s="25">
        <v>17</v>
      </c>
      <c r="T28" t="s">
        <v>328</v>
      </c>
      <c r="U28" s="174" t="s">
        <v>287</v>
      </c>
      <c r="V28" s="12"/>
      <c r="W28" s="12" t="e">
        <f>SUM(W24:W27)</f>
        <v>#N/A</v>
      </c>
      <c r="X28" s="12"/>
      <c r="Y28" s="12">
        <f t="shared" ref="Y28" si="5">SUM(Y24:Y27)</f>
        <v>136</v>
      </c>
      <c r="Z28" s="12"/>
    </row>
    <row r="29" spans="1:27" x14ac:dyDescent="0.25">
      <c r="A29" s="10" t="str">
        <v>Study in Canada</v>
      </c>
      <c r="B29" s="23"/>
      <c r="C29" s="12">
        <v>0</v>
      </c>
      <c r="D29" s="12">
        <f>'Official Score Data'!K31</f>
        <v>30</v>
      </c>
      <c r="E29" s="12"/>
      <c r="F29" s="25">
        <f t="shared" ref="F29:F32" si="6">IF(OR((D29-C29)&lt;0, C29 = 0),0,D29-C29)</f>
        <v>0</v>
      </c>
      <c r="H29" s="8">
        <v>2</v>
      </c>
      <c r="I29" s="12" t="s">
        <v>76</v>
      </c>
      <c r="J29" s="12" t="str">
        <v>Secondary school (high school graduation)</v>
      </c>
      <c r="K29" s="12">
        <v>2</v>
      </c>
      <c r="L29" s="12">
        <v>0</v>
      </c>
      <c r="M29" s="12"/>
      <c r="N29" s="25"/>
      <c r="P29" s="8" t="s">
        <v>25</v>
      </c>
      <c r="Q29" s="12">
        <f t="shared" si="0"/>
        <v>44</v>
      </c>
      <c r="R29" s="12">
        <v>5</v>
      </c>
      <c r="S29" s="25">
        <v>6</v>
      </c>
    </row>
    <row r="30" spans="1:27" ht="15.75" thickBot="1" x14ac:dyDescent="0.3">
      <c r="A30" s="8" t="str">
        <v>Sibling in Canada</v>
      </c>
      <c r="B30" s="12"/>
      <c r="C30" s="12">
        <v>0</v>
      </c>
      <c r="D30" s="12">
        <f>'Official Score Data'!K26</f>
        <v>15</v>
      </c>
      <c r="E30" s="12"/>
      <c r="F30" s="25">
        <f t="shared" si="6"/>
        <v>0</v>
      </c>
      <c r="H30" s="8">
        <v>3</v>
      </c>
      <c r="I30" s="12" t="s">
        <v>300</v>
      </c>
      <c r="J30" s="12" t="str">
        <v>One-year program at a university, college, trade or technical school, or other institute</v>
      </c>
      <c r="K30" s="12">
        <v>6</v>
      </c>
      <c r="L30" s="12">
        <v>0</v>
      </c>
      <c r="M30" s="12"/>
      <c r="N30" s="25"/>
      <c r="P30" s="11" t="s">
        <v>26</v>
      </c>
      <c r="Q30" s="21">
        <f t="shared" si="0"/>
        <v>45</v>
      </c>
      <c r="R30" s="21">
        <v>0</v>
      </c>
      <c r="S30" s="26">
        <v>0</v>
      </c>
    </row>
    <row r="31" spans="1:27" x14ac:dyDescent="0.25">
      <c r="A31" s="8" t="str">
        <v>French Language Skills</v>
      </c>
      <c r="B31" s="12"/>
      <c r="C31" s="12">
        <v>0</v>
      </c>
      <c r="D31" s="12">
        <f>'Official Score Data'!K28</f>
        <v>50</v>
      </c>
      <c r="E31" s="12"/>
      <c r="F31" s="25">
        <f t="shared" si="6"/>
        <v>0</v>
      </c>
      <c r="H31" s="8">
        <v>4</v>
      </c>
      <c r="I31" s="12" t="s">
        <v>303</v>
      </c>
      <c r="J31" s="12" t="str">
        <v>Two-year program at a university, college, trade or technical in school, or other institute</v>
      </c>
      <c r="K31" s="12">
        <v>7</v>
      </c>
      <c r="L31" s="12">
        <v>0</v>
      </c>
      <c r="M31" s="12"/>
      <c r="N31" s="25"/>
    </row>
    <row r="32" spans="1:27" ht="15.75" thickBot="1" x14ac:dyDescent="0.3">
      <c r="A32" s="11" t="s">
        <v>156</v>
      </c>
      <c r="B32" s="21"/>
      <c r="C32" s="21">
        <f>Main!H30</f>
        <v>0</v>
      </c>
      <c r="D32" s="21">
        <f>MAX(Table_Certificate_of_Qualification[])</f>
        <v>50</v>
      </c>
      <c r="E32" s="21"/>
      <c r="F32" s="26">
        <f t="shared" si="6"/>
        <v>0</v>
      </c>
      <c r="H32" s="8">
        <v>5</v>
      </c>
      <c r="I32" s="12" t="s">
        <v>302</v>
      </c>
      <c r="J32" s="12" t="str">
        <v>Bachelor's degree OR  a three or more year program at a university, college, trade or technical school, or other institute</v>
      </c>
      <c r="K32" s="12">
        <v>8</v>
      </c>
      <c r="L32" s="12">
        <v>0</v>
      </c>
      <c r="M32" s="12"/>
      <c r="N32" s="25"/>
    </row>
    <row r="33" spans="1:18" x14ac:dyDescent="0.25">
      <c r="H33" s="8">
        <v>6</v>
      </c>
      <c r="I33" s="12" t="s">
        <v>301</v>
      </c>
      <c r="J33" s="12" t="str">
        <v>Two or more certificates, diplomas, or degrees. One must be for a program of three or more years</v>
      </c>
      <c r="K33" s="12">
        <v>9</v>
      </c>
      <c r="L33" s="12">
        <v>0</v>
      </c>
      <c r="M33" s="12"/>
      <c r="N33" s="25"/>
    </row>
    <row r="34" spans="1:18" x14ac:dyDescent="0.25">
      <c r="A34" s="1"/>
      <c r="B34" s="1"/>
      <c r="H34" s="8">
        <v>7</v>
      </c>
      <c r="I34" s="12" t="s">
        <v>304</v>
      </c>
      <c r="J34" s="12" t="str">
        <v>Master's degree, or professional degree needed to practice in a licensed profession (For “professional degree”, the degree program must have been in: medicine, veterinary medicine, dentistry, optometry, law, chiropractic medicine, or pharmacy.)</v>
      </c>
      <c r="K34" s="12">
        <v>10</v>
      </c>
      <c r="L34" s="12">
        <v>0</v>
      </c>
      <c r="M34" s="12"/>
      <c r="N34" s="25"/>
    </row>
    <row r="35" spans="1:18" x14ac:dyDescent="0.25">
      <c r="A35" s="1"/>
      <c r="B35" s="1"/>
      <c r="H35" s="8">
        <v>8</v>
      </c>
      <c r="I35" s="12" t="s">
        <v>80</v>
      </c>
      <c r="J35" s="12" t="str">
        <v>Doctoral level university degree (PhD)</v>
      </c>
      <c r="K35" s="12">
        <v>10</v>
      </c>
      <c r="L35" s="12">
        <v>0</v>
      </c>
      <c r="M35" s="12"/>
      <c r="N35" s="25"/>
    </row>
    <row r="36" spans="1:18" ht="15.75" thickBot="1" x14ac:dyDescent="0.3">
      <c r="A36" s="1"/>
      <c r="B36" s="1"/>
      <c r="H36" s="11"/>
      <c r="I36" s="21" t="s">
        <v>313</v>
      </c>
      <c r="J36" s="21" t="e">
        <f>_xlfn.XLOOKUP(Main!C17,J28:J35,H28:H35)</f>
        <v>#N/A</v>
      </c>
      <c r="K36" s="21">
        <f>Main!H17</f>
        <v>0</v>
      </c>
      <c r="L36" s="21"/>
      <c r="M36" s="21"/>
      <c r="N36" s="26"/>
    </row>
    <row r="40" spans="1:18" ht="15.75" thickBot="1" x14ac:dyDescent="0.3"/>
    <row r="41" spans="1:18" x14ac:dyDescent="0.25">
      <c r="A41" s="127" t="s">
        <v>290</v>
      </c>
      <c r="B41" s="119"/>
      <c r="C41" s="119"/>
      <c r="D41" s="119"/>
      <c r="E41" s="119"/>
      <c r="F41" s="128"/>
      <c r="H41" s="111" t="s">
        <v>316</v>
      </c>
      <c r="I41" s="51"/>
      <c r="J41" s="118"/>
      <c r="K41" s="119"/>
      <c r="L41" s="119"/>
      <c r="M41" s="120"/>
      <c r="N41" s="115" t="s">
        <v>316</v>
      </c>
      <c r="O41" s="115"/>
      <c r="P41" s="115"/>
      <c r="Q41" s="115"/>
      <c r="R41" s="116"/>
    </row>
    <row r="42" spans="1:18" x14ac:dyDescent="0.25">
      <c r="A42" s="8"/>
      <c r="B42" s="12"/>
      <c r="C42" s="12" t="s">
        <v>279</v>
      </c>
      <c r="D42" s="12" t="s">
        <v>280</v>
      </c>
      <c r="E42" s="12"/>
      <c r="F42" s="25"/>
      <c r="H42" s="112"/>
      <c r="I42" s="42" t="s">
        <v>317</v>
      </c>
      <c r="J42" s="114" t="s">
        <v>315</v>
      </c>
      <c r="K42" s="114"/>
      <c r="L42" s="114"/>
      <c r="M42" s="114"/>
      <c r="N42" s="124"/>
      <c r="O42" s="40" t="s">
        <v>315</v>
      </c>
      <c r="P42" s="40"/>
      <c r="Q42" s="40"/>
      <c r="R42" s="50"/>
    </row>
    <row r="43" spans="1:18" x14ac:dyDescent="0.25">
      <c r="A43" s="8"/>
      <c r="B43" s="12">
        <v>3</v>
      </c>
      <c r="C43" s="12" cm="1">
        <f t="array" ref="C43">_xlfn.XLOOKUP(_xlfn.XLOOKUP(B43,'Language CLB Calculations'!$J$15:$J$22,'Language CLB Calculations'!$H$15:$H$22),INDEX(Table_Second_language_proficiency[],,1),INDEX(Table_Second_language_proficiency[],,2))</f>
        <v>0</v>
      </c>
      <c r="D43" s="12" cm="1">
        <f t="array" ref="D43">_xlfn.XLOOKUP(_xlfn.XLOOKUP(B43,'Language CLB Calculations'!$J$15:$J$22,'Language CLB Calculations'!$H$15:$H$22),INDEX(Table_Second_language_proficiency[],,1),INDEX(Table_Second_language_proficiency[],,3))</f>
        <v>0</v>
      </c>
      <c r="E43" s="12"/>
      <c r="F43" s="25"/>
      <c r="H43" s="112"/>
      <c r="I43" s="42"/>
      <c r="J43" s="41" t="s">
        <v>49</v>
      </c>
      <c r="K43" s="41" t="s">
        <v>292</v>
      </c>
      <c r="L43" s="41" t="s">
        <v>293</v>
      </c>
      <c r="M43" s="49" t="s">
        <v>313</v>
      </c>
      <c r="N43" s="125"/>
      <c r="O43" s="39"/>
      <c r="P43" s="41" t="s">
        <v>318</v>
      </c>
      <c r="Q43" s="41" t="s">
        <v>319</v>
      </c>
      <c r="R43" s="47" t="s">
        <v>313</v>
      </c>
    </row>
    <row r="44" spans="1:18" x14ac:dyDescent="0.25">
      <c r="A44" s="8"/>
      <c r="B44" s="12">
        <v>4</v>
      </c>
      <c r="C44" s="12" cm="1">
        <f t="array" ref="C44">_xlfn.XLOOKUP(_xlfn.XLOOKUP(B44,'Language CLB Calculations'!$J$15:$J$22,'Language CLB Calculations'!$H$15:$H$22),INDEX(Table_Second_language_proficiency[],,1),INDEX(Table_Second_language_proficiency[],,2))</f>
        <v>0</v>
      </c>
      <c r="D44" s="12" cm="1">
        <f t="array" ref="D44">_xlfn.XLOOKUP(_xlfn.XLOOKUP(B44,'Language CLB Calculations'!$J$15:$J$22,'Language CLB Calculations'!$H$15:$H$22),INDEX(Table_Second_language_proficiency[],,1),INDEX(Table_Second_language_proficiency[],,3))</f>
        <v>0</v>
      </c>
      <c r="E44" s="12"/>
      <c r="F44" s="25"/>
      <c r="H44" s="112"/>
      <c r="I44" s="42" t="s">
        <v>106</v>
      </c>
      <c r="J44" s="39" t="str" cm="1">
        <f t="array" ref="J44:L46">Foreign_work_Experince___CLB[]</f>
        <v>No foreign work experience</v>
      </c>
      <c r="K44" s="39">
        <v>0</v>
      </c>
      <c r="L44" s="39">
        <v>0</v>
      </c>
      <c r="M44" s="39" t="e">
        <f>IF(_xlfn.XLOOKUP(Main!$C$13,'KPI''s'!$J$44:$J$46,'KPI''s'!$I$44:$I$46) = I44, Main!$H$28,"")</f>
        <v>#N/A</v>
      </c>
      <c r="N44" s="125"/>
      <c r="O44" s="39" t="str" cm="1">
        <f t="array" ref="O44:Q46" xml:space="preserve"> Table_Foreign_work_experience__Canadian_work_experience[]</f>
        <v>No foreign work experience</v>
      </c>
      <c r="P44" s="39">
        <v>0</v>
      </c>
      <c r="Q44" s="39">
        <v>0</v>
      </c>
      <c r="R44" s="43" t="e">
        <f>IF(_xlfn.XLOOKUP(Main!$C$13,$O$44:$O$46,'KPI''s'!$I$44:$I$46) = I44, Main!$H$29,"")</f>
        <v>#N/A</v>
      </c>
    </row>
    <row r="45" spans="1:18" x14ac:dyDescent="0.25">
      <c r="A45" s="8"/>
      <c r="B45" s="12">
        <v>5</v>
      </c>
      <c r="C45" s="12" cm="1">
        <f t="array" ref="C45">_xlfn.XLOOKUP(_xlfn.XLOOKUP(B45,'Language CLB Calculations'!$J$15:$J$22,'Language CLB Calculations'!$H$15:$H$22),INDEX(Table_Second_language_proficiency[],,1),INDEX(Table_Second_language_proficiency[],,2))</f>
        <v>1</v>
      </c>
      <c r="D45" s="12" cm="1">
        <f t="array" ref="D45">_xlfn.XLOOKUP(_xlfn.XLOOKUP(B45,'Language CLB Calculations'!$J$15:$J$22,'Language CLB Calculations'!$H$15:$H$22),INDEX(Table_Second_language_proficiency[],,1),INDEX(Table_Second_language_proficiency[],,3))</f>
        <v>1</v>
      </c>
      <c r="E45" s="12"/>
      <c r="F45" s="25"/>
      <c r="H45" s="112"/>
      <c r="I45" s="42" t="s">
        <v>298</v>
      </c>
      <c r="J45" s="39" t="str">
        <v>1 or 2 years of foreign work experience</v>
      </c>
      <c r="K45" s="39">
        <v>13</v>
      </c>
      <c r="L45" s="39">
        <v>25</v>
      </c>
      <c r="M45" s="39" t="e">
        <f>IF(_xlfn.XLOOKUP(Main!$C$13,'KPI''s'!$J$44:$J$46,'KPI''s'!$I$44:$I$46) = I45, Main!$H$28,"")</f>
        <v>#N/A</v>
      </c>
      <c r="N45" s="125"/>
      <c r="O45" s="39" t="str">
        <v>1 or 2 years of foreign work experience</v>
      </c>
      <c r="P45" s="39">
        <v>13</v>
      </c>
      <c r="Q45" s="39">
        <v>25</v>
      </c>
      <c r="R45" s="43" t="e">
        <f>IF(_xlfn.XLOOKUP(Main!$C$13,$O$44:$O$46,'KPI''s'!$I$44:$I$46) = I45, Main!$H$29,"")</f>
        <v>#N/A</v>
      </c>
    </row>
    <row r="46" spans="1:18" x14ac:dyDescent="0.25">
      <c r="A46" s="8"/>
      <c r="B46" s="12">
        <v>6</v>
      </c>
      <c r="C46" s="12" cm="1">
        <f t="array" ref="C46">_xlfn.XLOOKUP(_xlfn.XLOOKUP(B46,'Language CLB Calculations'!$J$15:$J$22,'Language CLB Calculations'!$H$15:$H$22),INDEX(Table_Second_language_proficiency[],,1),INDEX(Table_Second_language_proficiency[],,2))</f>
        <v>1</v>
      </c>
      <c r="D46" s="12" cm="1">
        <f t="array" ref="D46">_xlfn.XLOOKUP(_xlfn.XLOOKUP(B46,'Language CLB Calculations'!$J$15:$J$22,'Language CLB Calculations'!$H$15:$H$22),INDEX(Table_Second_language_proficiency[],,1),INDEX(Table_Second_language_proficiency[],,3))</f>
        <v>1</v>
      </c>
      <c r="E46" s="12"/>
      <c r="F46" s="25"/>
      <c r="H46" s="112"/>
      <c r="I46" s="42" t="s">
        <v>299</v>
      </c>
      <c r="J46" s="39" t="str">
        <v>3 years or more of foreign work experience</v>
      </c>
      <c r="K46" s="39">
        <v>25</v>
      </c>
      <c r="L46" s="39">
        <v>50</v>
      </c>
      <c r="M46" s="39" t="e">
        <f>IF(_xlfn.XLOOKUP(Main!$C$13,'KPI''s'!$J$44:$J$46,'KPI''s'!$I$44:$I$46) = I46, Main!$H$28,"")</f>
        <v>#N/A</v>
      </c>
      <c r="N46" s="125"/>
      <c r="O46" s="39" t="str">
        <v>3 years or more of foreign work experience</v>
      </c>
      <c r="P46" s="39">
        <v>25</v>
      </c>
      <c r="Q46" s="39">
        <v>50</v>
      </c>
      <c r="R46" s="43" t="e">
        <f>IF(_xlfn.XLOOKUP(Main!$C$13,$O$44:$O$46,'KPI''s'!$I$44:$I$46) = I46, Main!$H$29,"")</f>
        <v>#N/A</v>
      </c>
    </row>
    <row r="47" spans="1:18" x14ac:dyDescent="0.25">
      <c r="A47" s="8"/>
      <c r="B47" s="12">
        <v>7</v>
      </c>
      <c r="C47" s="12" cm="1">
        <f t="array" ref="C47">_xlfn.XLOOKUP(_xlfn.XLOOKUP(B47,'Language CLB Calculations'!$J$15:$J$22,'Language CLB Calculations'!$H$15:$H$22),INDEX(Table_Second_language_proficiency[],,1),INDEX(Table_Second_language_proficiency[],,2))</f>
        <v>3</v>
      </c>
      <c r="D47" s="12" cm="1">
        <f t="array" ref="D47">_xlfn.XLOOKUP(_xlfn.XLOOKUP(B47,'Language CLB Calculations'!$J$15:$J$22,'Language CLB Calculations'!$H$15:$H$22),INDEX(Table_Second_language_proficiency[],,1),INDEX(Table_Second_language_proficiency[],,3))</f>
        <v>3</v>
      </c>
      <c r="E47" s="12"/>
      <c r="F47" s="25"/>
      <c r="H47" s="112"/>
      <c r="I47" s="42"/>
      <c r="J47" s="121"/>
      <c r="K47" s="122"/>
      <c r="L47" s="122"/>
      <c r="M47" s="123"/>
      <c r="N47" s="125"/>
      <c r="O47" s="40"/>
      <c r="P47" s="114"/>
      <c r="Q47" s="114"/>
      <c r="R47" s="117"/>
    </row>
    <row r="48" spans="1:18" x14ac:dyDescent="0.25">
      <c r="A48" s="8"/>
      <c r="B48" s="12">
        <v>8</v>
      </c>
      <c r="C48" s="12" cm="1">
        <f t="array" ref="C48">_xlfn.XLOOKUP(_xlfn.XLOOKUP(B48,'Language CLB Calculations'!$J$15:$J$22,'Language CLB Calculations'!$H$15:$H$22),INDEX(Table_Second_language_proficiency[],,1),INDEX(Table_Second_language_proficiency[],,2))</f>
        <v>3</v>
      </c>
      <c r="D48" s="12" cm="1">
        <f t="array" ref="D48">_xlfn.XLOOKUP(_xlfn.XLOOKUP(B48,'Language CLB Calculations'!$J$15:$J$22,'Language CLB Calculations'!$H$15:$H$22),INDEX(Table_Second_language_proficiency[],,1),INDEX(Table_Second_language_proficiency[],,3))</f>
        <v>3</v>
      </c>
      <c r="E48" s="12"/>
      <c r="F48" s="25"/>
      <c r="H48" s="112"/>
      <c r="I48" s="42"/>
      <c r="J48" s="41" t="s">
        <v>109</v>
      </c>
      <c r="K48" s="41" t="s">
        <v>292</v>
      </c>
      <c r="L48" s="41" t="s">
        <v>293</v>
      </c>
      <c r="M48" s="49" t="s">
        <v>313</v>
      </c>
      <c r="N48" s="125"/>
      <c r="O48" s="39"/>
      <c r="P48" s="41" t="s">
        <v>318</v>
      </c>
      <c r="Q48" s="41" t="s">
        <v>319</v>
      </c>
      <c r="R48" s="47" t="s">
        <v>313</v>
      </c>
    </row>
    <row r="49" spans="1:18" x14ac:dyDescent="0.25">
      <c r="A49" s="8"/>
      <c r="B49" s="12">
        <v>9</v>
      </c>
      <c r="C49" s="12" cm="1">
        <f t="array" ref="C49">_xlfn.XLOOKUP(_xlfn.XLOOKUP(B49,'Language CLB Calculations'!$J$15:$J$22,'Language CLB Calculations'!$H$15:$H$22),INDEX(Table_Second_language_proficiency[],,1),INDEX(Table_Second_language_proficiency[],,2))</f>
        <v>6</v>
      </c>
      <c r="D49" s="12" cm="1">
        <f t="array" ref="D49">_xlfn.XLOOKUP(_xlfn.XLOOKUP(B49,'Language CLB Calculations'!$J$15:$J$22,'Language CLB Calculations'!$H$15:$H$22),INDEX(Table_Second_language_proficiency[],,1),INDEX(Table_Second_language_proficiency[],,3))</f>
        <v>6</v>
      </c>
      <c r="E49" s="12"/>
      <c r="F49" s="25"/>
      <c r="H49" s="112"/>
      <c r="I49" s="42" t="s">
        <v>296</v>
      </c>
      <c r="J49" s="39" t="str" cm="1">
        <f t="array" ref="J49:L53">Table_CLB___Post_Secondary_Degree[]</f>
        <v>Secondary school (high school) credential or less</v>
      </c>
      <c r="K49" s="39">
        <v>0</v>
      </c>
      <c r="L49" s="39">
        <v>0</v>
      </c>
      <c r="M49" s="39" t="e" cm="1">
        <f t="array" ref="M49">IF(_xlfn.XLOOKUP(_xlfn.XLOOKUP(Main!$C$8,_xlfn.ANCHORARRAY('Education  Comparision'!$A$4),'Education  Comparision'!$B$4:$B$11),'KPI''s'!$J$49:$J$53,'KPI''s'!$I$49:$I$53) =I49,Main!H33,"")</f>
        <v>#N/A</v>
      </c>
      <c r="N49" s="125"/>
      <c r="O49" s="39" t="str" cm="1">
        <f t="array" ref="O49:Q53">Table_Canadian_experince___Post_Secondary_Degree[]</f>
        <v>Secondary school (high school) credential or less</v>
      </c>
      <c r="P49" s="39">
        <v>0</v>
      </c>
      <c r="Q49" s="39">
        <v>0</v>
      </c>
      <c r="R49" s="43" t="e" cm="1">
        <f t="array" ref="R49">IF(_xlfn.XLOOKUP(_xlfn.XLOOKUP(Main!$C$8,_xlfn.ANCHORARRAY('Education  Comparision'!$A$4),'Education  Comparision'!$B$4:$B$11),$O$49:$O$53,'KPI''s'!$I$49:$I$53) = I49,Main!$H$34,"")</f>
        <v>#N/A</v>
      </c>
    </row>
    <row r="50" spans="1:18" x14ac:dyDescent="0.25">
      <c r="A50" s="8"/>
      <c r="B50" s="12">
        <v>10</v>
      </c>
      <c r="C50" s="12" cm="1">
        <f t="array" ref="C50">_xlfn.XLOOKUP(_xlfn.XLOOKUP(B50,'Language CLB Calculations'!$J$15:$J$22,'Language CLB Calculations'!$H$15:$H$22),INDEX(Table_Second_language_proficiency[],,1),INDEX(Table_Second_language_proficiency[],,2))</f>
        <v>6</v>
      </c>
      <c r="D50" s="12" cm="1">
        <f t="array" ref="D50">_xlfn.XLOOKUP(_xlfn.XLOOKUP(B50,'Language CLB Calculations'!$J$15:$J$22,'Language CLB Calculations'!$H$15:$H$22),INDEX(Table_Second_language_proficiency[],,1),INDEX(Table_Second_language_proficiency[],,3))</f>
        <v>6</v>
      </c>
      <c r="E50" s="12"/>
      <c r="F50" s="25"/>
      <c r="H50" s="112"/>
      <c r="I50" s="42" t="s">
        <v>291</v>
      </c>
      <c r="J50" s="39" t="str">
        <v>Post-secondary program credential of one year or longer</v>
      </c>
      <c r="K50" s="39">
        <v>13</v>
      </c>
      <c r="L50" s="39">
        <v>25</v>
      </c>
      <c r="M50" s="39" t="e" cm="1">
        <f t="array" ref="M50">IF(_xlfn.XLOOKUP(_xlfn.XLOOKUP(Main!$C$8,_xlfn.ANCHORARRAY('Education  Comparision'!$A$4),'Education  Comparision'!$B$4:$B$11),'KPI''s'!$J$49:$J$53,'KPI''s'!$I$49:$I$53) =I50,Main!$H$33,"")</f>
        <v>#N/A</v>
      </c>
      <c r="N50" s="125"/>
      <c r="O50" s="39" t="str">
        <v>Post-secondary program credential of one year or longer</v>
      </c>
      <c r="P50" s="39">
        <v>13</v>
      </c>
      <c r="Q50" s="39">
        <v>25</v>
      </c>
      <c r="R50" s="43" t="e" cm="1">
        <f t="array" ref="R50">IF(_xlfn.XLOOKUP(_xlfn.XLOOKUP(Main!$C$8,_xlfn.ANCHORARRAY('Education  Comparision'!$A$4),'Education  Comparision'!$B$4:$B$11),$O$49:$O$53,'KPI''s'!$I$49:$I$53) = I50,Main!$H$34,"")</f>
        <v>#N/A</v>
      </c>
    </row>
    <row r="51" spans="1:18" x14ac:dyDescent="0.25">
      <c r="A51" s="8"/>
      <c r="B51" s="12">
        <v>11</v>
      </c>
      <c r="C51" s="12">
        <f>C50</f>
        <v>6</v>
      </c>
      <c r="D51" s="12">
        <f>D49</f>
        <v>6</v>
      </c>
      <c r="E51" s="12"/>
      <c r="F51" s="25"/>
      <c r="H51" s="112"/>
      <c r="I51" s="42" t="s">
        <v>297</v>
      </c>
      <c r="J51" s="39" t="str">
        <v>Two or more post-secondary program credentials AND at least one of these credentials was issued on completion of a post-secondary program of three years or longer</v>
      </c>
      <c r="K51" s="39">
        <v>25</v>
      </c>
      <c r="L51" s="39">
        <v>50</v>
      </c>
      <c r="M51" s="39" t="e" cm="1">
        <f t="array" ref="M51">IF(_xlfn.XLOOKUP(_xlfn.XLOOKUP(Main!$C$8,_xlfn.ANCHORARRAY('Education  Comparision'!$A$4),'Education  Comparision'!$B$4:$B$11),'KPI''s'!$J$49:$J$53,'KPI''s'!$I$49:$I$53) =I51,Main!H35,"")</f>
        <v>#N/A</v>
      </c>
      <c r="N51" s="125"/>
      <c r="O51" s="39" t="str">
        <v>Two or more post-secondary program credentials AND at least one of these credentials was issued on completion of a post-secondary program of three years or longer</v>
      </c>
      <c r="P51" s="39">
        <v>25</v>
      </c>
      <c r="Q51" s="39">
        <v>50</v>
      </c>
      <c r="R51" s="43" t="e" cm="1">
        <f t="array" ref="R51">IF(_xlfn.XLOOKUP(_xlfn.XLOOKUP(Main!$C$8,_xlfn.ANCHORARRAY('Education  Comparision'!$A$4),'Education  Comparision'!$B$4:$B$11),$O$49:$O$53,'KPI''s'!$I$49:$I$53) = I51,Main!$H$34,"")</f>
        <v>#N/A</v>
      </c>
    </row>
    <row r="52" spans="1:18" x14ac:dyDescent="0.25">
      <c r="A52" s="8"/>
      <c r="B52" s="12">
        <v>12</v>
      </c>
      <c r="C52" s="12">
        <f>C50</f>
        <v>6</v>
      </c>
      <c r="D52" s="12">
        <f>D50</f>
        <v>6</v>
      </c>
      <c r="E52" s="12"/>
      <c r="F52" s="25"/>
      <c r="H52" s="112"/>
      <c r="I52" s="42" t="s">
        <v>294</v>
      </c>
      <c r="J52" s="39" t="str">
        <v>A university-level credential at the master’s level or at the level of an entry-to-practice professional degree for an occupation listed in the National Occupational Classification matrix at Skill Level A for which licensing by a provincial regulatory body is required</v>
      </c>
      <c r="K52" s="39">
        <v>25</v>
      </c>
      <c r="L52" s="39">
        <v>50</v>
      </c>
      <c r="M52" s="39" t="e" cm="1">
        <f t="array" ref="M52">IF(_xlfn.XLOOKUP(_xlfn.XLOOKUP(Main!$C$8,_xlfn.ANCHORARRAY('Education  Comparision'!$A$4),'Education  Comparision'!$B$4:$B$11),'KPI''s'!$J$49:$J$53,'KPI''s'!$I$49:$I$53) =I52,Main!H36,"")</f>
        <v>#N/A</v>
      </c>
      <c r="N52" s="125"/>
      <c r="O52" s="39" t="str">
        <v>A university-level credential at the master’s level or at the level of an entry-to-practice professional degree for an occupation listed in the National Occupational Classification matrix at Skill Level A for which licensing by a provincial regulatory body is required</v>
      </c>
      <c r="P52" s="39">
        <v>25</v>
      </c>
      <c r="Q52" s="39">
        <v>50</v>
      </c>
      <c r="R52" s="43" t="e" cm="1">
        <f t="array" ref="R52">IF(_xlfn.XLOOKUP(_xlfn.XLOOKUP(Main!$C$8,_xlfn.ANCHORARRAY('Education  Comparision'!$A$4),'Education  Comparision'!$B$4:$B$11),$O$49:$O$53,'KPI''s'!$I$49:$I$53) = I52,Main!$H$34,"")</f>
        <v>#N/A</v>
      </c>
    </row>
    <row r="53" spans="1:18" ht="15.75" thickBot="1" x14ac:dyDescent="0.3">
      <c r="A53" s="8"/>
      <c r="B53" s="79" t="s">
        <v>283</v>
      </c>
      <c r="C53" s="79"/>
      <c r="D53" s="79" t="s">
        <v>284</v>
      </c>
      <c r="E53" s="79"/>
      <c r="F53" s="25"/>
      <c r="H53" s="113"/>
      <c r="I53" s="44" t="s">
        <v>295</v>
      </c>
      <c r="J53" s="45" t="str">
        <v>A university-level credential at the doctoral level</v>
      </c>
      <c r="K53" s="45">
        <v>25</v>
      </c>
      <c r="L53" s="45">
        <v>50</v>
      </c>
      <c r="M53" s="45" t="e" cm="1">
        <f t="array" ref="M53">IF(_xlfn.XLOOKUP(_xlfn.XLOOKUP(Main!$C$8,_xlfn.ANCHORARRAY('Education  Comparision'!$A$4),'Education  Comparision'!$B$4:$B$11),'KPI''s'!$J$49:$J$53,'KPI''s'!$I$49:$I$53) =I53,Main!H33,"")</f>
        <v>#N/A</v>
      </c>
      <c r="N53" s="126"/>
      <c r="O53" s="45" t="str">
        <v>A university-level credential at the doctoral level</v>
      </c>
      <c r="P53" s="45">
        <v>25</v>
      </c>
      <c r="Q53" s="45">
        <v>50</v>
      </c>
      <c r="R53" s="46" t="e" cm="1">
        <f t="array" ref="R53">IF(_xlfn.XLOOKUP(_xlfn.XLOOKUP(Main!$C$8,_xlfn.ANCHORARRAY('Education  Comparision'!$A$4),'Education  Comparision'!$B$4:$B$11),$O$49:$O$53,'KPI''s'!$I$49:$I$53) = I53,Main!$H$34,"")</f>
        <v>#N/A</v>
      </c>
    </row>
    <row r="54" spans="1:18" ht="15.75" thickBot="1" x14ac:dyDescent="0.3">
      <c r="A54" s="8"/>
      <c r="B54" s="9"/>
      <c r="C54" s="9"/>
      <c r="D54" s="9"/>
      <c r="E54" s="9">
        <f>IF(IsMarried?,C50,D50)</f>
        <v>6</v>
      </c>
      <c r="F54" s="25"/>
    </row>
    <row r="55" spans="1:18" x14ac:dyDescent="0.25">
      <c r="A55" s="10"/>
      <c r="B55" s="23" t="s">
        <v>285</v>
      </c>
      <c r="C55" s="23" t="s">
        <v>288</v>
      </c>
      <c r="D55" s="23" t="s">
        <v>286</v>
      </c>
      <c r="E55" s="23" t="s">
        <v>289</v>
      </c>
      <c r="F55" s="175" t="s">
        <v>274</v>
      </c>
      <c r="H55" s="183" t="s">
        <v>307</v>
      </c>
      <c r="I55" s="184" t="s">
        <v>308</v>
      </c>
      <c r="J55" s="184" t="s">
        <v>73</v>
      </c>
      <c r="K55" s="184" t="s">
        <v>279</v>
      </c>
      <c r="L55" s="191" t="s">
        <v>280</v>
      </c>
      <c r="M55" s="172"/>
      <c r="N55" s="183" t="s">
        <v>309</v>
      </c>
      <c r="O55" s="184"/>
      <c r="P55" s="184"/>
      <c r="Q55" s="185"/>
    </row>
    <row r="56" spans="1:18" x14ac:dyDescent="0.25">
      <c r="A56" s="176" t="s">
        <v>168</v>
      </c>
      <c r="B56" s="12" t="e">
        <f>_xlfn.XLOOKUP('Language CLB Calculations'!D9,'Language CLB Calculations'!$H$15:$H$22,'Language CLB Calculations'!$J$15:$J$22)</f>
        <v>#N/A</v>
      </c>
      <c r="C56" s="12" t="e" cm="1">
        <f t="array" ref="C56">GetPointsFor('Language CLB Calculations'!D9,Table_Second_language_proficiency[],IsMarried?)</f>
        <v>#N/A</v>
      </c>
      <c r="D56" s="12" t="e">
        <f>B56 &lt; 10</f>
        <v>#N/A</v>
      </c>
      <c r="E56" s="12">
        <f>$E$54</f>
        <v>6</v>
      </c>
      <c r="F56" s="25" t="e">
        <f>E56-C56</f>
        <v>#N/A</v>
      </c>
      <c r="H56" s="151">
        <v>1</v>
      </c>
      <c r="I56" s="151" t="str" cm="1">
        <f t="array" ref="I56:I63">INDEX(Table_Level_of_Education[],,1)</f>
        <v>Less than secondary school (high school)</v>
      </c>
      <c r="J56" s="151" t="s">
        <v>2</v>
      </c>
      <c r="K56" s="151">
        <v>0</v>
      </c>
      <c r="L56" s="151">
        <v>0</v>
      </c>
      <c r="M56" s="172"/>
      <c r="N56" s="186"/>
      <c r="O56" s="151" t="s">
        <v>38</v>
      </c>
      <c r="P56" s="151" t="s">
        <v>39</v>
      </c>
      <c r="Q56" s="187" t="s">
        <v>40</v>
      </c>
      <c r="R56" t="s">
        <v>328</v>
      </c>
    </row>
    <row r="57" spans="1:18" x14ac:dyDescent="0.25">
      <c r="A57" s="176" t="s">
        <v>169</v>
      </c>
      <c r="B57" s="12" t="e">
        <f>_xlfn.XLOOKUP('Language CLB Calculations'!E9,'Language CLB Calculations'!$H$15:$H$22,'Language CLB Calculations'!$J$15:$J$22)</f>
        <v>#N/A</v>
      </c>
      <c r="C57" s="12" t="e" cm="1">
        <f t="array" ref="C57">GetPointsFor('Language CLB Calculations'!E9,Table_Second_language_proficiency[],IsMarried?)</f>
        <v>#N/A</v>
      </c>
      <c r="D57" s="12" t="e">
        <f t="shared" ref="D57:D59" si="7">B57 &lt; 10</f>
        <v>#N/A</v>
      </c>
      <c r="E57" s="12">
        <f>$E$54</f>
        <v>6</v>
      </c>
      <c r="F57" s="25" t="e">
        <f t="shared" ref="F57:F59" si="8">E57-C57</f>
        <v>#N/A</v>
      </c>
      <c r="H57" s="151">
        <v>2</v>
      </c>
      <c r="I57" s="151" t="str">
        <v>Secondary diploma (high school graduation)</v>
      </c>
      <c r="J57" s="151" t="s">
        <v>76</v>
      </c>
      <c r="K57" s="151">
        <v>28</v>
      </c>
      <c r="L57" s="151">
        <v>30</v>
      </c>
      <c r="M57" s="172"/>
      <c r="N57" s="186">
        <v>1</v>
      </c>
      <c r="O57" s="151" t="s">
        <v>31</v>
      </c>
      <c r="P57" s="151">
        <v>0</v>
      </c>
      <c r="Q57" s="187">
        <v>0</v>
      </c>
    </row>
    <row r="58" spans="1:18" x14ac:dyDescent="0.25">
      <c r="A58" s="176" t="s">
        <v>170</v>
      </c>
      <c r="B58" s="12" t="e">
        <f>_xlfn.XLOOKUP('Language CLB Calculations'!F9,'Language CLB Calculations'!$H$15:$H$22,'Language CLB Calculations'!$J$15:$J$22)</f>
        <v>#N/A</v>
      </c>
      <c r="C58" s="12" t="e" cm="1">
        <f t="array" ref="C58">GetPointsFor('Language CLB Calculations'!F9,Table_Second_language_proficiency[],IsMarried?)</f>
        <v>#N/A</v>
      </c>
      <c r="D58" s="12" t="e">
        <f t="shared" si="7"/>
        <v>#N/A</v>
      </c>
      <c r="E58" s="12">
        <f>$E$54</f>
        <v>6</v>
      </c>
      <c r="F58" s="25" t="e">
        <f t="shared" si="8"/>
        <v>#N/A</v>
      </c>
      <c r="H58" s="151">
        <v>3</v>
      </c>
      <c r="I58" s="151" t="str">
        <v>One-year degree, diploma or certificate from  a university, college, trade or technical school, or other institute</v>
      </c>
      <c r="J58" s="151" t="s">
        <v>300</v>
      </c>
      <c r="K58" s="151">
        <v>84</v>
      </c>
      <c r="L58" s="151">
        <v>90</v>
      </c>
      <c r="M58" s="172"/>
      <c r="N58" s="186">
        <v>2</v>
      </c>
      <c r="O58" s="151" t="s">
        <v>32</v>
      </c>
      <c r="P58" s="151">
        <v>35</v>
      </c>
      <c r="Q58" s="187">
        <v>40</v>
      </c>
    </row>
    <row r="59" spans="1:18" x14ac:dyDescent="0.25">
      <c r="A59" s="176" t="s">
        <v>171</v>
      </c>
      <c r="B59" s="12" t="e">
        <f>_xlfn.XLOOKUP('Language CLB Calculations'!G9,'Language CLB Calculations'!$H$15:$H$22,'Language CLB Calculations'!$J$15:$J$22)</f>
        <v>#N/A</v>
      </c>
      <c r="C59" s="12" t="e" cm="1">
        <f t="array" ref="C59">GetPointsFor('Language CLB Calculations'!G9,Table_Second_language_proficiency[],IsMarried?)</f>
        <v>#N/A</v>
      </c>
      <c r="D59" s="12" t="e">
        <f t="shared" si="7"/>
        <v>#N/A</v>
      </c>
      <c r="E59" s="12">
        <f>$E$54</f>
        <v>6</v>
      </c>
      <c r="F59" s="25" t="e">
        <f t="shared" si="8"/>
        <v>#N/A</v>
      </c>
      <c r="H59" s="151">
        <v>4</v>
      </c>
      <c r="I59" s="151" t="str">
        <v>Two-year program at a university, college, trade or technical school, or other institute</v>
      </c>
      <c r="J59" s="151" t="s">
        <v>303</v>
      </c>
      <c r="K59" s="151">
        <v>91</v>
      </c>
      <c r="L59" s="151">
        <v>98</v>
      </c>
      <c r="M59" s="172"/>
      <c r="N59" s="186">
        <v>3</v>
      </c>
      <c r="O59" s="151" t="s">
        <v>33</v>
      </c>
      <c r="P59" s="151">
        <v>46</v>
      </c>
      <c r="Q59" s="187">
        <v>53</v>
      </c>
    </row>
    <row r="60" spans="1:18" ht="15.75" thickBot="1" x14ac:dyDescent="0.3">
      <c r="A60" s="177" t="s">
        <v>287</v>
      </c>
      <c r="B60" s="21"/>
      <c r="C60" s="21" t="e">
        <f>SUM(C56:C59)</f>
        <v>#N/A</v>
      </c>
      <c r="D60" s="21"/>
      <c r="E60" s="21">
        <f t="shared" ref="E60" si="9">SUM(E56:E59)</f>
        <v>24</v>
      </c>
      <c r="F60" s="26"/>
      <c r="H60" s="151">
        <v>5</v>
      </c>
      <c r="I60" s="151" t="str">
        <v>Bachelor's degree OR  a three or more year program at a university, college, trade or technical school, or other institute</v>
      </c>
      <c r="J60" s="151" t="s">
        <v>302</v>
      </c>
      <c r="K60" s="151">
        <v>112</v>
      </c>
      <c r="L60" s="151">
        <v>120</v>
      </c>
      <c r="M60" s="172"/>
      <c r="N60" s="186">
        <v>4</v>
      </c>
      <c r="O60" s="151" t="s">
        <v>34</v>
      </c>
      <c r="P60" s="151">
        <v>56</v>
      </c>
      <c r="Q60" s="187">
        <v>64</v>
      </c>
    </row>
    <row r="61" spans="1:18" ht="15.75" thickBot="1" x14ac:dyDescent="0.3">
      <c r="H61" s="151">
        <v>6</v>
      </c>
      <c r="I61" s="151" t="str">
        <v>Two or more certificates, diplomas, or degrees. One must be for a program of three or more years</v>
      </c>
      <c r="J61" s="151" t="s">
        <v>301</v>
      </c>
      <c r="K61" s="151">
        <v>119</v>
      </c>
      <c r="L61" s="151">
        <v>128</v>
      </c>
      <c r="M61" s="172"/>
      <c r="N61" s="186">
        <v>5</v>
      </c>
      <c r="O61" s="151" t="s">
        <v>35</v>
      </c>
      <c r="P61" s="151">
        <v>63</v>
      </c>
      <c r="Q61" s="187">
        <v>72</v>
      </c>
    </row>
    <row r="62" spans="1:18" x14ac:dyDescent="0.25">
      <c r="A62" s="51" t="s">
        <v>147</v>
      </c>
      <c r="B62" s="145"/>
      <c r="H62" s="151">
        <v>7</v>
      </c>
      <c r="I62" s="151" t="str">
        <v>Master's degree, OR professional degree needed to practice in a licensed profession (For “professional degree,” the degree program must have been in: medicine, veterinary medicine, dentistry, optometry, law, chiropractic medicine, or pharmacy.)</v>
      </c>
      <c r="J62" s="151" t="s">
        <v>304</v>
      </c>
      <c r="K62" s="151">
        <v>126</v>
      </c>
      <c r="L62" s="151">
        <v>135</v>
      </c>
      <c r="M62" s="172"/>
      <c r="N62" s="186">
        <v>6</v>
      </c>
      <c r="O62" s="151" t="s">
        <v>36</v>
      </c>
      <c r="P62" s="151">
        <v>70</v>
      </c>
      <c r="Q62" s="187">
        <v>80</v>
      </c>
    </row>
    <row r="63" spans="1:18" x14ac:dyDescent="0.25">
      <c r="A63" s="8" t="str" cm="1">
        <f t="array" ref="A63:B68">Table_Additional_Points[]</f>
        <v>Brother or sister living in Canada who is a citizen or permanent resident of Canada</v>
      </c>
      <c r="B63" s="25">
        <v>15</v>
      </c>
      <c r="H63" s="151">
        <v>8</v>
      </c>
      <c r="I63" s="151" t="str">
        <v>Doctoral level university degree (Ph.D.)</v>
      </c>
      <c r="J63" s="151" t="s">
        <v>80</v>
      </c>
      <c r="K63" s="151">
        <v>140</v>
      </c>
      <c r="L63" s="151">
        <v>150</v>
      </c>
      <c r="M63" s="172"/>
      <c r="N63" s="186" t="s">
        <v>310</v>
      </c>
      <c r="O63" s="151" t="str">
        <f>Main!C9</f>
        <v>Select</v>
      </c>
      <c r="P63" s="151">
        <f>Main!H9</f>
        <v>0</v>
      </c>
      <c r="Q63" s="187"/>
    </row>
    <row r="64" spans="1:18" x14ac:dyDescent="0.25">
      <c r="A64" s="8" t="str">
        <v>Scored NCLC 7 or higher on all four French language skills and scored CLB 4 or lower in English (or didn’t take an English test)</v>
      </c>
      <c r="B64" s="25">
        <v>25</v>
      </c>
      <c r="H64" s="151"/>
      <c r="I64" s="151"/>
      <c r="J64" s="151"/>
      <c r="K64" s="151"/>
      <c r="L64" s="151"/>
      <c r="M64" s="172"/>
      <c r="N64" s="186" t="s">
        <v>311</v>
      </c>
      <c r="O64" s="151" t="e" cm="1">
        <f t="array" ref="O64">_xlfn.XLOOKUP(Table_Core_Canadian_Experince15[[#Totals],[Canadian work experience]],Table_Core_Canadian_Experince15[Canadian work experience],N57:N62)</f>
        <v>#N/A</v>
      </c>
      <c r="P64" s="151"/>
      <c r="Q64" s="187"/>
    </row>
    <row r="65" spans="1:18" x14ac:dyDescent="0.25">
      <c r="A65" s="8" t="str">
        <v>Scored NCLC 7 or higher on all four French language skills and scored CLB 5 or higher on all four English skills</v>
      </c>
      <c r="B65" s="25">
        <v>50</v>
      </c>
      <c r="H65" s="151"/>
      <c r="I65" s="151" t="s">
        <v>314</v>
      </c>
      <c r="J65" s="151" t="e" cm="1">
        <f t="array" ref="J65">_xlfn.XLOOKUP(Main!C8,_xlfn.ANCHORARRAY('KPI''s'!I56),H56:H63)</f>
        <v>#N/A</v>
      </c>
      <c r="K65" s="151" t="e" cm="1">
        <f t="array" ref="K65">_xlfn.XLOOKUP(J65,H56:H63,IF(IsMarried?,Table_Level_of_Education14[With a common-law partner],Table_Level_of_Education14[Without  common-law partner]))</f>
        <v>#N/A</v>
      </c>
      <c r="L65" s="151">
        <v>28</v>
      </c>
      <c r="M65" s="172"/>
      <c r="N65" s="186"/>
      <c r="O65" s="151" t="e" cm="1">
        <f t="array" ref="O65">_xlfn._xlws.FILTER(Table_Core_Canadian_Experince15[],ROW(Table_Core_Canadian_Experince15[Canadian work experience])&gt;=MATCH(O64,N57:N62,0)+ROW(INDEX(Table_Core_Canadian_Experince15[Canadian work experience],1))-1)</f>
        <v>#N/A</v>
      </c>
      <c r="P65" s="151"/>
      <c r="Q65" s="187"/>
    </row>
    <row r="66" spans="1:18" x14ac:dyDescent="0.25">
      <c r="A66" s="8" t="str">
        <v>Post-secondary education in Canada - credential of one or two years</v>
      </c>
      <c r="B66" s="25">
        <v>15</v>
      </c>
      <c r="H66" s="151"/>
      <c r="I66" s="151" t="s">
        <v>306</v>
      </c>
      <c r="J66" s="151"/>
      <c r="K66" s="182" t="s">
        <v>279</v>
      </c>
      <c r="L66" s="182" t="s">
        <v>280</v>
      </c>
      <c r="M66" s="192" t="s">
        <v>328</v>
      </c>
      <c r="N66" s="186"/>
      <c r="O66" s="151"/>
      <c r="P66" s="151"/>
      <c r="Q66" s="187"/>
    </row>
    <row r="67" spans="1:18" s="1" customFormat="1" x14ac:dyDescent="0.25">
      <c r="A67" s="8" t="str">
        <v>Post-secondary education in Canada - credential three years or longer</v>
      </c>
      <c r="B67" s="25">
        <v>30</v>
      </c>
      <c r="H67" s="151"/>
      <c r="I67" s="151"/>
      <c r="J67" s="151" t="e" cm="1">
        <f t="array" ref="J67">_xlfn._xlws.FILTER(Table_Level_of_Education14[],ROW(Table_Level_of_Education14[Level of Education])&gt;=MATCH(J65,H56:H63,0)+ROW(INDEX(Table_Level_of_Education14[Level of Education],1))-1)</f>
        <v>#N/A</v>
      </c>
      <c r="K67" s="151"/>
      <c r="L67" s="151"/>
      <c r="M67" s="172"/>
      <c r="N67" s="186"/>
      <c r="O67" s="151"/>
      <c r="P67" s="151"/>
      <c r="Q67" s="187"/>
      <c r="R67" s="1" t="s">
        <v>328</v>
      </c>
    </row>
    <row r="68" spans="1:18" ht="15.75" thickBot="1" x14ac:dyDescent="0.3">
      <c r="A68" s="11" t="str">
        <v>Provincial or territorial nomination</v>
      </c>
      <c r="B68" s="26">
        <v>600</v>
      </c>
      <c r="H68" s="151"/>
      <c r="I68" s="151"/>
      <c r="J68" s="151"/>
      <c r="K68" s="151"/>
      <c r="L68" s="151"/>
      <c r="M68" s="172"/>
      <c r="N68" s="186"/>
      <c r="O68" s="151"/>
      <c r="P68" s="151"/>
      <c r="Q68" s="187"/>
    </row>
    <row r="69" spans="1:18" x14ac:dyDescent="0.25">
      <c r="H69" s="151"/>
      <c r="I69" s="151"/>
      <c r="J69" s="151"/>
      <c r="K69" s="151"/>
      <c r="L69" s="151"/>
      <c r="M69" s="172"/>
      <c r="N69" s="186"/>
      <c r="O69" s="151"/>
      <c r="P69" s="151"/>
      <c r="Q69" s="187"/>
    </row>
    <row r="70" spans="1:18" x14ac:dyDescent="0.25">
      <c r="H70" s="151"/>
      <c r="I70" s="151"/>
      <c r="J70" s="151"/>
      <c r="K70" s="151"/>
      <c r="L70" s="151"/>
      <c r="M70" s="172"/>
      <c r="N70" s="186"/>
      <c r="O70" s="151"/>
      <c r="P70" s="151"/>
      <c r="Q70" s="187"/>
    </row>
    <row r="71" spans="1:18" x14ac:dyDescent="0.25">
      <c r="H71" s="151"/>
      <c r="I71" s="151"/>
      <c r="J71" s="151"/>
      <c r="K71" s="151"/>
      <c r="L71" s="151"/>
      <c r="M71" s="172"/>
      <c r="N71" s="186"/>
      <c r="O71" s="151"/>
      <c r="P71" s="151"/>
      <c r="Q71" s="187"/>
    </row>
    <row r="72" spans="1:18" ht="15.75" thickBot="1" x14ac:dyDescent="0.3">
      <c r="H72" s="151"/>
      <c r="I72" s="151"/>
      <c r="J72" s="151"/>
      <c r="K72" s="151"/>
      <c r="L72" s="151"/>
      <c r="M72" s="172"/>
      <c r="N72" s="188"/>
      <c r="O72" s="189"/>
      <c r="P72" s="189"/>
      <c r="Q72" s="190"/>
    </row>
    <row r="75" spans="1:18" x14ac:dyDescent="0.25">
      <c r="D75" s="109"/>
      <c r="E75" s="109"/>
      <c r="F75" s="109"/>
      <c r="G75" s="109"/>
      <c r="H75" s="109"/>
      <c r="I75" s="109"/>
      <c r="J75" s="109"/>
      <c r="K75" s="109"/>
      <c r="L75" s="109"/>
      <c r="M75" s="109"/>
    </row>
    <row r="89" spans="3:13" x14ac:dyDescent="0.25"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</row>
    <row r="98" spans="2:11" x14ac:dyDescent="0.25">
      <c r="B98" s="148"/>
      <c r="C98" s="148"/>
      <c r="D98" s="148"/>
      <c r="E98" s="148"/>
      <c r="F98" s="148"/>
      <c r="G98" s="148"/>
      <c r="H98" s="148"/>
      <c r="I98" s="148"/>
      <c r="J98" s="148"/>
      <c r="K98" s="148"/>
    </row>
    <row r="117" spans="2:11" x14ac:dyDescent="0.25">
      <c r="B117" s="148"/>
      <c r="C117" s="148"/>
      <c r="D117" s="148"/>
      <c r="E117" s="148"/>
      <c r="F117" s="148"/>
      <c r="G117" s="148"/>
      <c r="H117" s="148"/>
      <c r="I117" s="148"/>
      <c r="J117" s="148"/>
      <c r="K117" s="148"/>
    </row>
  </sheetData>
  <sortState xmlns:xlrd2="http://schemas.microsoft.com/office/spreadsheetml/2017/richdata2" ref="V11:V18">
    <sortCondition ref="V11:V18"/>
  </sortState>
  <mergeCells count="19">
    <mergeCell ref="X21:Z21"/>
    <mergeCell ref="U21:W21"/>
    <mergeCell ref="H41:H53"/>
    <mergeCell ref="D75:M75"/>
    <mergeCell ref="J42:M42"/>
    <mergeCell ref="N41:O41"/>
    <mergeCell ref="P41:R41"/>
    <mergeCell ref="P47:R47"/>
    <mergeCell ref="J41:M41"/>
    <mergeCell ref="J47:M47"/>
    <mergeCell ref="N42:N53"/>
    <mergeCell ref="D53:E53"/>
    <mergeCell ref="B53:C53"/>
    <mergeCell ref="A8:F9"/>
    <mergeCell ref="H9:N9"/>
    <mergeCell ref="A2:Z3"/>
    <mergeCell ref="P9:S9"/>
    <mergeCell ref="U9:Z9"/>
    <mergeCell ref="A41:F41"/>
  </mergeCells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2391-4B58-4D5A-B3FF-DDB88DD674BC}">
  <sheetPr codeName="Sheet2"/>
  <dimension ref="A1:B5"/>
  <sheetViews>
    <sheetView zoomScale="280" zoomScaleNormal="280" workbookViewId="0">
      <selection activeCell="E14" sqref="E14"/>
    </sheetView>
  </sheetViews>
  <sheetFormatPr defaultRowHeight="15" x14ac:dyDescent="0.25"/>
  <cols>
    <col min="1" max="1" width="11" bestFit="1" customWidth="1"/>
  </cols>
  <sheetData>
    <row r="1" spans="1:2" x14ac:dyDescent="0.25">
      <c r="A1" t="s">
        <v>114</v>
      </c>
      <c r="B1" t="s">
        <v>158</v>
      </c>
    </row>
    <row r="2" spans="1:2" x14ac:dyDescent="0.25">
      <c r="A2" t="s">
        <v>139</v>
      </c>
      <c r="B2" t="b">
        <f xml:space="preserve"> IF(Main!C6 = 'Data Validation'!A6,TRUE, FALSE)</f>
        <v>0</v>
      </c>
    </row>
    <row r="3" spans="1:2" x14ac:dyDescent="0.25">
      <c r="A3" t="s">
        <v>115</v>
      </c>
      <c r="B3" t="e">
        <f>_xlfn.XLOOKUP(Main!C9,'Canadian Experince Comparision'!A2:A7,'Canadian Experince Comparision'!B2:B7) &gt;=2</f>
        <v>#N/A</v>
      </c>
    </row>
    <row r="4" spans="1:2" x14ac:dyDescent="0.25">
      <c r="A4" t="s">
        <v>116</v>
      </c>
      <c r="B4" t="e">
        <f>_xlfn.XLOOKUP(Main!C9,'Canadian Experince Comparision'!A2:A7,'Canadian Experince Comparision'!B2:B7) &gt;=1</f>
        <v>#N/A</v>
      </c>
    </row>
    <row r="5" spans="1:2" x14ac:dyDescent="0.25">
      <c r="A5" s="109" t="s">
        <v>335</v>
      </c>
      <c r="B5" s="109"/>
    </row>
  </sheetData>
  <mergeCells count="1">
    <mergeCell ref="A5:B5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0C160-3D93-40AF-86F8-EBC4FF1558A3}">
  <sheetPr codeName="Sheet3"/>
  <dimension ref="A1:O43"/>
  <sheetViews>
    <sheetView zoomScale="164" workbookViewId="0">
      <selection activeCell="M24" sqref="M24"/>
    </sheetView>
  </sheetViews>
  <sheetFormatPr defaultColWidth="12.7109375" defaultRowHeight="15" x14ac:dyDescent="0.25"/>
  <cols>
    <col min="8" max="8" width="14.42578125" customWidth="1"/>
    <col min="11" max="11" width="11.28515625" customWidth="1"/>
    <col min="12" max="12" width="7.5703125" customWidth="1"/>
  </cols>
  <sheetData>
    <row r="1" spans="1:15" s="137" customFormat="1" ht="26.25" customHeight="1" x14ac:dyDescent="0.25"/>
    <row r="2" spans="1:15" s="137" customFormat="1" x14ac:dyDescent="0.25"/>
    <row r="3" spans="1:15" s="137" customFormat="1" ht="16.5" customHeight="1" x14ac:dyDescent="0.25"/>
    <row r="4" spans="1:15" s="24" customFormat="1" ht="18.75" customHeight="1" thickBot="1" x14ac:dyDescent="0.45"/>
    <row r="5" spans="1:15" x14ac:dyDescent="0.25">
      <c r="A5" s="127"/>
      <c r="B5" s="119"/>
      <c r="C5" s="119"/>
      <c r="D5" s="119"/>
      <c r="E5" s="119"/>
      <c r="F5" s="119"/>
      <c r="G5" s="119"/>
      <c r="H5" s="128"/>
      <c r="K5" t="s">
        <v>255</v>
      </c>
      <c r="M5" t="s">
        <v>250</v>
      </c>
    </row>
    <row r="6" spans="1:15" ht="15.75" thickBot="1" x14ac:dyDescent="0.3">
      <c r="A6" s="135" t="s">
        <v>249</v>
      </c>
      <c r="B6" s="133"/>
      <c r="C6" s="134"/>
      <c r="D6" s="132" t="s">
        <v>246</v>
      </c>
      <c r="E6" s="133"/>
      <c r="F6" s="133"/>
      <c r="G6" s="134"/>
      <c r="H6" s="27"/>
      <c r="K6" t="s">
        <v>253</v>
      </c>
      <c r="L6" t="str">
        <f>$K$6</f>
        <v>English</v>
      </c>
      <c r="M6" t="s">
        <v>95</v>
      </c>
    </row>
    <row r="7" spans="1:15" x14ac:dyDescent="0.25">
      <c r="A7" s="136"/>
      <c r="B7" s="115"/>
      <c r="C7" s="115"/>
      <c r="D7" s="15" t="s">
        <v>168</v>
      </c>
      <c r="E7" s="15" t="s">
        <v>169</v>
      </c>
      <c r="F7" s="15" t="s">
        <v>170</v>
      </c>
      <c r="G7" s="15" t="s">
        <v>171</v>
      </c>
      <c r="H7" s="17" t="s">
        <v>84</v>
      </c>
      <c r="K7" t="s">
        <v>254</v>
      </c>
      <c r="L7" t="str">
        <f t="shared" ref="L7:L8" si="0">$K$6</f>
        <v>English</v>
      </c>
      <c r="M7" t="s">
        <v>96</v>
      </c>
    </row>
    <row r="8" spans="1:15" x14ac:dyDescent="0.25">
      <c r="A8" s="129" t="s">
        <v>243</v>
      </c>
      <c r="B8" s="130"/>
      <c r="C8" s="23" t="str">
        <f>FirstLanguageType</f>
        <v>Select</v>
      </c>
      <c r="D8" s="9" t="e" cm="1">
        <f t="array" ref="D8">_xlfn.XLOOKUP(Main!D11,'Language CLB Calculations'!B15:B22,_xlfn.ANCHORARRAY($A$15))</f>
        <v>#N/A</v>
      </c>
      <c r="E8" s="9" t="e" cm="1">
        <f t="array" ref="E8">_xlfn.XLOOKUP(Main!E11,'Language CLB Calculations'!C15:C22,_xlfn.ANCHORARRAY($A$15))</f>
        <v>#N/A</v>
      </c>
      <c r="F8" s="9" t="e" cm="1">
        <f t="array" ref="F8">_xlfn.XLOOKUP(Main!F11,'Language CLB Calculations'!D15:D22,_xlfn.ANCHORARRAY($A$15))</f>
        <v>#N/A</v>
      </c>
      <c r="G8" s="9" t="e" cm="1">
        <f t="array" ref="G8">_xlfn.XLOOKUP(Main!G11,'Language CLB Calculations'!E15:E22,_xlfn.ANCHORARRAY($A$15))</f>
        <v>#N/A</v>
      </c>
      <c r="H8" s="13" t="e">
        <f>IF(C8=M11,0,SUM(
GetPointsFor(D8,Table_First_language_proficiency[],IsMarried?),
GetPointsFor(E8,Table_First_language_proficiency[],IsMarried?),
GetPointsFor(F8,Table_First_language_proficiency[],IsMarried?),
GetPointsFor(G8,Table_First_language_proficiency[],IsMarried?)
))</f>
        <v>#N/A</v>
      </c>
      <c r="L8" t="str">
        <f t="shared" si="0"/>
        <v>English</v>
      </c>
      <c r="M8" t="s">
        <v>97</v>
      </c>
    </row>
    <row r="9" spans="1:15" x14ac:dyDescent="0.25">
      <c r="A9" s="129" t="s">
        <v>244</v>
      </c>
      <c r="B9" s="130"/>
      <c r="C9" s="23" t="str">
        <f>SecondLanguageType</f>
        <v>Select</v>
      </c>
      <c r="D9" s="9" t="e" cm="1">
        <f t="array" ref="D9">_xlfn.XLOOKUP(Main!D12,'Language CLB Calculations'!B25:B32,_xlfn.ANCHORARRAY('Language CLB Calculations'!$A$25))</f>
        <v>#N/A</v>
      </c>
      <c r="E9" s="9" t="e" cm="1">
        <f t="array" ref="E9">_xlfn.XLOOKUP(Main!E12,'Language CLB Calculations'!C25:C32,_xlfn.ANCHORARRAY('Language CLB Calculations'!$A$25))</f>
        <v>#N/A</v>
      </c>
      <c r="F9" s="9" t="e" cm="1">
        <f t="array" ref="F9">_xlfn.XLOOKUP(Main!F12,'Language CLB Calculations'!D25:D32,_xlfn.ANCHORARRAY('Language CLB Calculations'!$A$25))</f>
        <v>#N/A</v>
      </c>
      <c r="G9" s="9" t="e" cm="1">
        <f t="array" ref="G9">_xlfn.XLOOKUP(Main!G12,'Language CLB Calculations'!E25:E32,_xlfn.ANCHORARRAY('Language CLB Calculations'!$A$25))</f>
        <v>#N/A</v>
      </c>
      <c r="H9" s="13" t="e">
        <f>IF(C9=M11,0,SUM(
GetPointsFor(D9,Table_Second_language_proficiency[],IsMarried?),
GetPointsFor(E9,Table_Second_language_proficiency[],IsMarried?),
GetPointsFor(F9,Table_Second_language_proficiency[],IsMarried?),
GetPointsFor(G9,Table_Second_language_proficiency[],IsMarried?)
)
)</f>
        <v>#N/A</v>
      </c>
      <c r="L9" t="str">
        <f>$K$7</f>
        <v>French</v>
      </c>
      <c r="M9" t="s">
        <v>98</v>
      </c>
    </row>
    <row r="10" spans="1:15" x14ac:dyDescent="0.25">
      <c r="A10" s="129" t="s">
        <v>245</v>
      </c>
      <c r="B10" s="130"/>
      <c r="C10" s="23" t="str">
        <f>Main!C20</f>
        <v>Select</v>
      </c>
      <c r="D10" s="9" t="e" cm="1">
        <f t="array" ref="D10">_xlfn.XLOOKUP(Main!D20,'Language CLB Calculations'!B36:B43,_xlfn.ANCHORARRAY('Language CLB Calculations'!$A$36))</f>
        <v>#N/A</v>
      </c>
      <c r="E10" s="9" t="e" cm="1">
        <f t="array" ref="E10">_xlfn.XLOOKUP(Main!E20,'Language CLB Calculations'!C36:C43,_xlfn.ANCHORARRAY('Language CLB Calculations'!$A$36))</f>
        <v>#N/A</v>
      </c>
      <c r="F10" s="9" t="e" cm="1">
        <f t="array" ref="F10">_xlfn.XLOOKUP(Main!F20,'Language CLB Calculations'!D36:D43,_xlfn.ANCHORARRAY('Language CLB Calculations'!$A$36))</f>
        <v>#N/A</v>
      </c>
      <c r="G10" s="9" t="e" cm="1">
        <f t="array" ref="G10">_xlfn.XLOOKUP(Main!G20,'Language CLB Calculations'!E36:E43,_xlfn.ANCHORARRAY('Language CLB Calculations'!$A$36))</f>
        <v>#N/A</v>
      </c>
      <c r="H10" s="13" t="e">
        <f>SUM(
GetPointsFor(D10,Table_Spouse_langauge_benchmark[],IsMarried?),
GetPointsFor(E10,Table_Spouse_langauge_benchmark[],IsMarried?),
GetPointsFor(F10,Table_Spouse_langauge_benchmark[],IsMarried?),
GetPointsFor(G10,Table_Spouse_langauge_benchmark[],IsMarried?)
)</f>
        <v>#N/A</v>
      </c>
      <c r="L10" t="str">
        <f>$K$7</f>
        <v>French</v>
      </c>
      <c r="M10" t="s">
        <v>99</v>
      </c>
    </row>
    <row r="11" spans="1:15" ht="15.75" thickBot="1" x14ac:dyDescent="0.3">
      <c r="A11" s="11" t="s">
        <v>256</v>
      </c>
      <c r="B11" s="21"/>
      <c r="C11" s="141"/>
      <c r="D11" s="142"/>
      <c r="E11" s="142"/>
      <c r="F11" s="142"/>
      <c r="G11" s="143"/>
      <c r="H11" s="16" cm="1">
        <f t="array" ref="H11">IFERROR(IF(FFGREATERTHANALLFORANLANGUAGE(K7,7)*FFGREATERTHANALLFORANLANGUAGE(K6,5), 'Official Score Data'!K28,'Official Score Data'!K27),0)</f>
        <v>0</v>
      </c>
      <c r="M11" t="s">
        <v>106</v>
      </c>
    </row>
    <row r="12" spans="1:15" ht="15.75" thickBot="1" x14ac:dyDescent="0.3"/>
    <row r="13" spans="1:15" ht="17.25" customHeight="1" thickBot="1" x14ac:dyDescent="0.45">
      <c r="A13" s="138" t="s">
        <v>242</v>
      </c>
      <c r="B13" s="139"/>
      <c r="C13" s="139"/>
      <c r="D13" s="139"/>
      <c r="E13" s="140"/>
      <c r="F13" s="20"/>
      <c r="G13" s="136" t="s">
        <v>251</v>
      </c>
      <c r="H13" s="115"/>
      <c r="I13" s="115"/>
      <c r="J13" s="31"/>
      <c r="O13" s="20"/>
    </row>
    <row r="14" spans="1:15" x14ac:dyDescent="0.25">
      <c r="A14" s="127" t="str">
        <f xml:space="preserve"> _xlfn.TEXTJOIN("",TRUE,"First Language"," ","-"," ",C8)</f>
        <v>First Language - Select</v>
      </c>
      <c r="B14" s="119"/>
      <c r="C14" s="119"/>
      <c r="D14" s="119"/>
      <c r="E14" s="128"/>
      <c r="F14" s="7"/>
      <c r="G14" s="8" t="s">
        <v>243</v>
      </c>
      <c r="H14" s="12" t="s">
        <v>244</v>
      </c>
      <c r="I14" s="12" t="s">
        <v>245</v>
      </c>
      <c r="J14" s="25" t="s">
        <v>252</v>
      </c>
    </row>
    <row r="15" spans="1:15" x14ac:dyDescent="0.25">
      <c r="A15" s="10" t="str" cm="1">
        <f t="array" ref="A15:A22">G15:G22</f>
        <v>CLB 10 or more</v>
      </c>
      <c r="B15" s="9" t="e" cm="1">
        <f t="array" ref="B15">_xlfn.IFS(
C8=M6, _xlfn.DROP(Table_Celpip_Table[],,1),
C8=M7, _xlfn.DROP(Table_IELTS_Table[],,1),
C8=M8, _xlfn.DROP(Table_PTE_Table[],,1),
C8=M9, _xlfn.DROP(Table_TEF_Table[],,1),
C8=M10, _xlfn.DROP(Table_TCF_Table[],,1)
)</f>
        <v>#N/A</v>
      </c>
      <c r="C15" s="9"/>
      <c r="D15" s="9"/>
      <c r="E15" s="13"/>
      <c r="F15" s="7"/>
      <c r="G15" s="10" t="s">
        <v>70</v>
      </c>
      <c r="H15" s="12" t="s">
        <v>30</v>
      </c>
      <c r="I15" s="12" t="s">
        <v>30</v>
      </c>
      <c r="J15" s="25">
        <v>10</v>
      </c>
    </row>
    <row r="16" spans="1:15" x14ac:dyDescent="0.25">
      <c r="A16" s="10" t="str">
        <v>CLB 9</v>
      </c>
      <c r="B16" s="9"/>
      <c r="C16" s="9"/>
      <c r="D16" s="9"/>
      <c r="E16" s="13"/>
      <c r="G16" s="10" t="s">
        <v>69</v>
      </c>
      <c r="H16" s="12" t="s">
        <v>30</v>
      </c>
      <c r="I16" s="12" t="s">
        <v>30</v>
      </c>
      <c r="J16" s="25">
        <v>9</v>
      </c>
      <c r="K16" s="7"/>
      <c r="N16">
        <f>IFERROR(H11,0)</f>
        <v>0</v>
      </c>
    </row>
    <row r="17" spans="1:13" x14ac:dyDescent="0.25">
      <c r="A17" s="10" t="str">
        <v>CLB 8</v>
      </c>
      <c r="B17" s="9"/>
      <c r="C17" s="9"/>
      <c r="D17" s="9"/>
      <c r="E17" s="13"/>
      <c r="G17" s="10" t="s">
        <v>68</v>
      </c>
      <c r="H17" s="12" t="s">
        <v>29</v>
      </c>
      <c r="I17" s="12" t="s">
        <v>29</v>
      </c>
      <c r="J17" s="25">
        <v>8</v>
      </c>
    </row>
    <row r="18" spans="1:13" x14ac:dyDescent="0.25">
      <c r="A18" s="10" t="str">
        <v>CLB 7</v>
      </c>
      <c r="B18" s="9"/>
      <c r="C18" s="9"/>
      <c r="D18" s="9"/>
      <c r="E18" s="13"/>
      <c r="G18" s="10" t="s">
        <v>67</v>
      </c>
      <c r="H18" s="12" t="s">
        <v>29</v>
      </c>
      <c r="I18" s="12" t="s">
        <v>29</v>
      </c>
      <c r="J18" s="25">
        <v>7</v>
      </c>
    </row>
    <row r="19" spans="1:13" x14ac:dyDescent="0.25">
      <c r="A19" s="10" t="str">
        <v>CLB 6</v>
      </c>
      <c r="B19" s="9"/>
      <c r="C19" s="9"/>
      <c r="D19" s="9"/>
      <c r="E19" s="13"/>
      <c r="G19" s="10" t="s">
        <v>66</v>
      </c>
      <c r="H19" s="12" t="s">
        <v>28</v>
      </c>
      <c r="I19" s="12" t="s">
        <v>28</v>
      </c>
      <c r="J19" s="25">
        <v>6</v>
      </c>
      <c r="M19" t="s">
        <v>281</v>
      </c>
    </row>
    <row r="20" spans="1:13" x14ac:dyDescent="0.25">
      <c r="A20" s="10" t="str">
        <v>CLB 5</v>
      </c>
      <c r="B20" s="9"/>
      <c r="C20" s="9"/>
      <c r="D20" s="9"/>
      <c r="E20" s="13"/>
      <c r="G20" s="10" t="s">
        <v>160</v>
      </c>
      <c r="H20" s="12" t="s">
        <v>28</v>
      </c>
      <c r="I20" s="12" t="s">
        <v>28</v>
      </c>
      <c r="J20" s="25">
        <v>5</v>
      </c>
      <c r="M20" t="e" cm="1" vm="1">
        <f t="array" ref="M20">_xlfn.LAMBDA(_xlpm.CellValue,_xlpm.Table,_xlpm.Condition,_xlfn.XLOOKUP(_xlpm.CellValue,INDEX(_xlpm.Table,,1),IF(_xlpm.Condition,INDEX(_xlpm.Table,,2),INDEX(_xlpm.Table,,3))))</f>
        <v>#VALUE!</v>
      </c>
    </row>
    <row r="21" spans="1:13" x14ac:dyDescent="0.25">
      <c r="A21" s="10" t="str">
        <v>CLB 4</v>
      </c>
      <c r="B21" s="9"/>
      <c r="C21" s="9"/>
      <c r="D21" s="9"/>
      <c r="E21" s="13"/>
      <c r="G21" s="8" t="s">
        <v>159</v>
      </c>
      <c r="H21" s="12" t="s">
        <v>27</v>
      </c>
      <c r="I21" s="12" t="s">
        <v>27</v>
      </c>
      <c r="J21" s="25">
        <v>4</v>
      </c>
    </row>
    <row r="22" spans="1:13" ht="15.75" thickBot="1" x14ac:dyDescent="0.3">
      <c r="A22" s="22" t="str">
        <v>Less than CLB 4</v>
      </c>
      <c r="B22" s="14"/>
      <c r="C22" s="14"/>
      <c r="D22" s="14"/>
      <c r="E22" s="16"/>
      <c r="G22" s="11" t="s">
        <v>65</v>
      </c>
      <c r="H22" s="21" t="s">
        <v>27</v>
      </c>
      <c r="I22" s="21" t="s">
        <v>27</v>
      </c>
      <c r="J22" s="26">
        <v>3</v>
      </c>
    </row>
    <row r="23" spans="1:13" ht="15.75" thickBot="1" x14ac:dyDescent="0.3">
      <c r="A23" s="7"/>
      <c r="B23" s="7"/>
      <c r="C23" s="7"/>
      <c r="D23" s="7"/>
      <c r="E23" s="7"/>
      <c r="G23" s="131" t="s">
        <v>282</v>
      </c>
      <c r="H23" s="131"/>
      <c r="I23" s="131"/>
      <c r="J23" s="131"/>
    </row>
    <row r="24" spans="1:13" x14ac:dyDescent="0.25">
      <c r="A24" s="127" t="str">
        <f xml:space="preserve"> _xlfn.TEXTJOIN("",TRUE,"Second Language"," ","-"," ",C9)</f>
        <v>Second Language - Select</v>
      </c>
      <c r="B24" s="119"/>
      <c r="C24" s="119"/>
      <c r="D24" s="119"/>
      <c r="E24" s="128"/>
    </row>
    <row r="25" spans="1:13" x14ac:dyDescent="0.25">
      <c r="A25" s="10" t="str" cm="1">
        <f t="array" ref="A25:A32">H15:H22</f>
        <v>CLB 9 or more</v>
      </c>
      <c r="B25" s="9" t="e" cm="1">
        <f t="array" ref="B25">_xlfn.IFS(
C9=M6, _xlfn.DROP(Table_Celpip_Table[],,1),
C9=M7, _xlfn.DROP(Table_IELTS_Table[],,1),
C9=M8, _xlfn.DROP(Table_PTE_Table[],,1),
C9=M9, _xlfn.DROP(Table_TEF_Table[],,1),
C9=M10, _xlfn.DROP(Table_TCF_Table[],,1)
)</f>
        <v>#N/A</v>
      </c>
      <c r="C25" s="9"/>
      <c r="D25" s="9"/>
      <c r="E25" s="13"/>
    </row>
    <row r="26" spans="1:13" x14ac:dyDescent="0.25">
      <c r="A26" s="10" t="str">
        <v>CLB 9 or more</v>
      </c>
      <c r="B26" s="7"/>
      <c r="C26" s="9"/>
      <c r="D26" s="9"/>
      <c r="E26" s="13"/>
    </row>
    <row r="27" spans="1:13" x14ac:dyDescent="0.25">
      <c r="A27" s="10" t="str">
        <v>CLB 7 or 8</v>
      </c>
      <c r="B27" s="9"/>
      <c r="C27" s="9"/>
      <c r="D27" s="9"/>
      <c r="E27" s="13"/>
    </row>
    <row r="28" spans="1:13" x14ac:dyDescent="0.25">
      <c r="A28" s="10" t="str">
        <v>CLB 7 or 8</v>
      </c>
      <c r="B28" s="9"/>
      <c r="C28" s="9"/>
      <c r="D28" s="9"/>
      <c r="E28" s="13"/>
    </row>
    <row r="29" spans="1:13" x14ac:dyDescent="0.25">
      <c r="A29" s="10" t="str">
        <v>CLB 5 or 6</v>
      </c>
      <c r="B29" s="9"/>
      <c r="C29" s="9"/>
      <c r="D29" s="9"/>
      <c r="E29" s="13"/>
    </row>
    <row r="30" spans="1:13" x14ac:dyDescent="0.25">
      <c r="A30" s="10" t="str">
        <v>CLB 5 or 6</v>
      </c>
      <c r="B30" s="9"/>
      <c r="C30" s="9"/>
      <c r="D30" s="9"/>
      <c r="E30" s="13"/>
    </row>
    <row r="31" spans="1:13" x14ac:dyDescent="0.25">
      <c r="A31" s="10" t="str">
        <v>CLB 4 or less</v>
      </c>
      <c r="B31" s="9"/>
      <c r="C31" s="9"/>
      <c r="D31" s="9"/>
      <c r="E31" s="13"/>
    </row>
    <row r="32" spans="1:13" ht="15.75" thickBot="1" x14ac:dyDescent="0.3">
      <c r="A32" s="22" t="str">
        <v>CLB 4 or less</v>
      </c>
      <c r="B32" s="14"/>
      <c r="C32" s="14"/>
      <c r="D32" s="14"/>
      <c r="E32" s="16"/>
    </row>
    <row r="33" spans="1:5" x14ac:dyDescent="0.25">
      <c r="A33" s="7"/>
      <c r="B33" s="7"/>
      <c r="C33" s="7"/>
      <c r="D33" s="7"/>
      <c r="E33" s="7"/>
    </row>
    <row r="34" spans="1:5" ht="15.75" thickBot="1" x14ac:dyDescent="0.3">
      <c r="A34" s="7"/>
      <c r="B34" s="7"/>
      <c r="C34" s="7"/>
      <c r="D34" s="7"/>
      <c r="E34" s="7"/>
    </row>
    <row r="35" spans="1:5" x14ac:dyDescent="0.25">
      <c r="A35" s="127" t="str">
        <f xml:space="preserve"> _xlfn.TEXTJOIN("",TRUE,"Spouse First Language"," ","-"," ",C10)</f>
        <v>Spouse First Language - Select</v>
      </c>
      <c r="B35" s="119"/>
      <c r="C35" s="119"/>
      <c r="D35" s="119"/>
      <c r="E35" s="128"/>
    </row>
    <row r="36" spans="1:5" x14ac:dyDescent="0.25">
      <c r="A36" s="10" t="str" cm="1">
        <f t="array" ref="A36:A43">I15:I22</f>
        <v>CLB 9 or more</v>
      </c>
      <c r="B36" s="9" t="e" cm="1">
        <f t="array" ref="B36">_xlfn.IFS(
C10=M6, _xlfn.DROP(Table_Celpip_Table[],,1),
C10=M7, _xlfn.DROP(Table_IELTS_Table[],,1),
C10=M8, _xlfn.DROP(Table_PTE_Table[],,1),
C10=M9, _xlfn.DROP(Table_TEF_Table[],,1),
C10=M10, _xlfn.DROP(Table_TCF_Table[],,1)
)</f>
        <v>#N/A</v>
      </c>
      <c r="C36" s="9"/>
      <c r="D36" s="9"/>
      <c r="E36" s="13"/>
    </row>
    <row r="37" spans="1:5" x14ac:dyDescent="0.25">
      <c r="A37" s="10" t="str">
        <v>CLB 9 or more</v>
      </c>
      <c r="B37" s="9"/>
      <c r="C37" s="9"/>
      <c r="D37" s="9"/>
      <c r="E37" s="13"/>
    </row>
    <row r="38" spans="1:5" x14ac:dyDescent="0.25">
      <c r="A38" s="10" t="str">
        <v>CLB 7 or 8</v>
      </c>
      <c r="B38" s="9"/>
      <c r="C38" s="9"/>
      <c r="D38" s="9"/>
      <c r="E38" s="13"/>
    </row>
    <row r="39" spans="1:5" x14ac:dyDescent="0.25">
      <c r="A39" s="10" t="str">
        <v>CLB 7 or 8</v>
      </c>
      <c r="B39" s="9"/>
      <c r="C39" s="9"/>
      <c r="D39" s="9"/>
      <c r="E39" s="13"/>
    </row>
    <row r="40" spans="1:5" x14ac:dyDescent="0.25">
      <c r="A40" s="10" t="str">
        <v>CLB 5 or 6</v>
      </c>
      <c r="B40" s="9"/>
      <c r="C40" s="9"/>
      <c r="D40" s="9"/>
      <c r="E40" s="13"/>
    </row>
    <row r="41" spans="1:5" x14ac:dyDescent="0.25">
      <c r="A41" s="10" t="str">
        <v>CLB 5 or 6</v>
      </c>
      <c r="B41" s="9"/>
      <c r="C41" s="9"/>
      <c r="D41" s="9"/>
      <c r="E41" s="13"/>
    </row>
    <row r="42" spans="1:5" x14ac:dyDescent="0.25">
      <c r="A42" s="10" t="str">
        <v>CLB 4 or less</v>
      </c>
      <c r="B42" s="9"/>
      <c r="C42" s="9"/>
      <c r="D42" s="9"/>
      <c r="E42" s="13"/>
    </row>
    <row r="43" spans="1:5" ht="15.75" thickBot="1" x14ac:dyDescent="0.3">
      <c r="A43" s="22" t="str">
        <v>CLB 4 or less</v>
      </c>
      <c r="B43" s="14"/>
      <c r="C43" s="14"/>
      <c r="D43" s="14"/>
      <c r="E43" s="16"/>
    </row>
  </sheetData>
  <sortState xmlns:xlrd2="http://schemas.microsoft.com/office/spreadsheetml/2017/richdata2" ref="I16:I18">
    <sortCondition descending="1" ref="I15:I18"/>
  </sortState>
  <mergeCells count="15">
    <mergeCell ref="G23:J23"/>
    <mergeCell ref="D6:G6"/>
    <mergeCell ref="A6:C6"/>
    <mergeCell ref="A7:C7"/>
    <mergeCell ref="A1:XFD3"/>
    <mergeCell ref="A13:E13"/>
    <mergeCell ref="A5:H5"/>
    <mergeCell ref="G13:I13"/>
    <mergeCell ref="C11:G11"/>
    <mergeCell ref="A24:E24"/>
    <mergeCell ref="A35:E35"/>
    <mergeCell ref="A8:B8"/>
    <mergeCell ref="A9:B9"/>
    <mergeCell ref="A10:B10"/>
    <mergeCell ref="A14:E14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E47E2-ACBF-4A3B-BAA9-EF9EFD126075}">
  <sheetPr codeName="Sheet4"/>
  <dimension ref="A1:C7"/>
  <sheetViews>
    <sheetView zoomScale="175" zoomScaleNormal="175" workbookViewId="0">
      <selection activeCell="B14" sqref="B14"/>
    </sheetView>
  </sheetViews>
  <sheetFormatPr defaultRowHeight="15" x14ac:dyDescent="0.25"/>
  <cols>
    <col min="1" max="1" width="24.85546875" bestFit="1" customWidth="1"/>
  </cols>
  <sheetData>
    <row r="1" spans="1:3" x14ac:dyDescent="0.25">
      <c r="A1" s="51" t="str" cm="1">
        <f t="array" ref="A1:A7">Table_Core_Canadian_Experince[[#All],[Canadian work experience]]</f>
        <v>Canadian work experience</v>
      </c>
      <c r="B1" s="145" t="s">
        <v>113</v>
      </c>
      <c r="C1" t="s">
        <v>328</v>
      </c>
    </row>
    <row r="2" spans="1:3" x14ac:dyDescent="0.25">
      <c r="A2" s="8" t="str">
        <v>None or less than a year</v>
      </c>
      <c r="B2" s="25">
        <v>0</v>
      </c>
    </row>
    <row r="3" spans="1:3" x14ac:dyDescent="0.25">
      <c r="A3" s="8" t="str">
        <v>1 year</v>
      </c>
      <c r="B3" s="25">
        <v>1</v>
      </c>
    </row>
    <row r="4" spans="1:3" x14ac:dyDescent="0.25">
      <c r="A4" s="8" t="str">
        <v>2 years</v>
      </c>
      <c r="B4" s="25">
        <v>2</v>
      </c>
    </row>
    <row r="5" spans="1:3" x14ac:dyDescent="0.25">
      <c r="A5" s="8" t="str">
        <v>3 years</v>
      </c>
      <c r="B5" s="25">
        <v>3</v>
      </c>
    </row>
    <row r="6" spans="1:3" x14ac:dyDescent="0.25">
      <c r="A6" s="8" t="str">
        <v>4 years</v>
      </c>
      <c r="B6" s="25">
        <v>4</v>
      </c>
    </row>
    <row r="7" spans="1:3" ht="15.75" thickBot="1" x14ac:dyDescent="0.3">
      <c r="A7" s="11" t="str">
        <v>5 years or more</v>
      </c>
      <c r="B7" s="26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14C01-E32C-4A2E-9723-8C7C121D0799}">
  <sheetPr codeName="Sheet6"/>
  <dimension ref="B1:X58"/>
  <sheetViews>
    <sheetView topLeftCell="A40" zoomScale="190" zoomScaleNormal="190" workbookViewId="0">
      <selection activeCell="J69" sqref="J69"/>
    </sheetView>
  </sheetViews>
  <sheetFormatPr defaultRowHeight="15" x14ac:dyDescent="0.25"/>
  <cols>
    <col min="2" max="2" width="16.140625" customWidth="1"/>
    <col min="3" max="3" width="11.28515625" bestFit="1" customWidth="1"/>
    <col min="4" max="4" width="10" bestFit="1" customWidth="1"/>
    <col min="5" max="6" width="11.28515625" bestFit="1" customWidth="1"/>
  </cols>
  <sheetData>
    <row r="1" spans="2:24" ht="15" customHeight="1" x14ac:dyDescent="0.25">
      <c r="B1" s="144" t="s">
        <v>334</v>
      </c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</row>
    <row r="2" spans="2:24" ht="15" customHeight="1" x14ac:dyDescent="0.25"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</row>
    <row r="3" spans="2:24" x14ac:dyDescent="0.25">
      <c r="B3" t="s">
        <v>1</v>
      </c>
      <c r="C3" t="s">
        <v>5</v>
      </c>
      <c r="D3" t="s">
        <v>6</v>
      </c>
      <c r="F3" t="s">
        <v>73</v>
      </c>
      <c r="G3" t="s">
        <v>74</v>
      </c>
      <c r="H3" t="s">
        <v>75</v>
      </c>
      <c r="J3" t="s">
        <v>100</v>
      </c>
      <c r="K3" t="s">
        <v>63</v>
      </c>
      <c r="L3" t="s">
        <v>64</v>
      </c>
      <c r="N3" t="s">
        <v>101</v>
      </c>
      <c r="O3" t="s">
        <v>71</v>
      </c>
      <c r="P3" t="s">
        <v>72</v>
      </c>
      <c r="R3" t="s">
        <v>126</v>
      </c>
      <c r="S3" t="s">
        <v>127</v>
      </c>
      <c r="T3" t="s">
        <v>128</v>
      </c>
      <c r="V3" t="s">
        <v>129</v>
      </c>
      <c r="W3" t="s">
        <v>130</v>
      </c>
      <c r="X3" t="s">
        <v>128</v>
      </c>
    </row>
    <row r="4" spans="2:24" x14ac:dyDescent="0.25">
      <c r="B4" t="s">
        <v>7</v>
      </c>
      <c r="C4">
        <v>0</v>
      </c>
      <c r="D4">
        <v>0</v>
      </c>
      <c r="F4" t="s">
        <v>2</v>
      </c>
      <c r="G4">
        <v>0</v>
      </c>
      <c r="H4">
        <v>0</v>
      </c>
      <c r="J4" s="3" t="s">
        <v>65</v>
      </c>
      <c r="K4">
        <v>0</v>
      </c>
      <c r="L4">
        <v>0</v>
      </c>
      <c r="N4" t="s">
        <v>27</v>
      </c>
      <c r="O4">
        <v>0</v>
      </c>
      <c r="P4">
        <v>0</v>
      </c>
      <c r="R4" t="s">
        <v>31</v>
      </c>
      <c r="S4">
        <v>0</v>
      </c>
      <c r="T4">
        <v>0</v>
      </c>
      <c r="V4" t="s">
        <v>27</v>
      </c>
      <c r="W4">
        <v>0</v>
      </c>
      <c r="X4">
        <v>0</v>
      </c>
    </row>
    <row r="5" spans="2:24" x14ac:dyDescent="0.25">
      <c r="B5" t="s">
        <v>26</v>
      </c>
      <c r="C5">
        <v>0</v>
      </c>
      <c r="D5">
        <v>0</v>
      </c>
      <c r="F5" t="s">
        <v>76</v>
      </c>
      <c r="G5">
        <v>28</v>
      </c>
      <c r="H5">
        <v>30</v>
      </c>
      <c r="J5" s="3" t="s">
        <v>166</v>
      </c>
      <c r="K5">
        <v>6</v>
      </c>
      <c r="L5">
        <v>6</v>
      </c>
      <c r="N5" t="s">
        <v>28</v>
      </c>
      <c r="O5">
        <v>1</v>
      </c>
      <c r="P5">
        <v>1</v>
      </c>
      <c r="R5" t="s">
        <v>32</v>
      </c>
      <c r="S5">
        <v>5</v>
      </c>
      <c r="T5">
        <v>0</v>
      </c>
      <c r="V5" t="s">
        <v>28</v>
      </c>
      <c r="W5">
        <v>1</v>
      </c>
      <c r="X5">
        <v>0</v>
      </c>
    </row>
    <row r="6" spans="2:24" x14ac:dyDescent="0.25">
      <c r="B6" t="s">
        <v>25</v>
      </c>
      <c r="C6">
        <v>5</v>
      </c>
      <c r="D6">
        <v>6</v>
      </c>
      <c r="F6" t="s">
        <v>77</v>
      </c>
      <c r="G6">
        <v>84</v>
      </c>
      <c r="H6">
        <v>90</v>
      </c>
      <c r="J6" s="4" t="s">
        <v>66</v>
      </c>
      <c r="K6">
        <v>8</v>
      </c>
      <c r="L6">
        <v>9</v>
      </c>
      <c r="N6" t="s">
        <v>29</v>
      </c>
      <c r="O6">
        <v>3</v>
      </c>
      <c r="P6">
        <v>3</v>
      </c>
      <c r="R6" t="s">
        <v>33</v>
      </c>
      <c r="S6">
        <v>7</v>
      </c>
      <c r="T6">
        <v>0</v>
      </c>
      <c r="V6" t="s">
        <v>29</v>
      </c>
      <c r="W6">
        <v>3</v>
      </c>
      <c r="X6">
        <v>0</v>
      </c>
    </row>
    <row r="7" spans="2:24" x14ac:dyDescent="0.25">
      <c r="B7" t="s">
        <v>24</v>
      </c>
      <c r="C7">
        <v>15</v>
      </c>
      <c r="D7">
        <v>17</v>
      </c>
      <c r="F7" t="s">
        <v>78</v>
      </c>
      <c r="G7">
        <v>91</v>
      </c>
      <c r="H7">
        <v>98</v>
      </c>
      <c r="J7" s="5" t="s">
        <v>67</v>
      </c>
      <c r="K7">
        <v>16</v>
      </c>
      <c r="L7">
        <v>17</v>
      </c>
      <c r="N7" t="s">
        <v>30</v>
      </c>
      <c r="O7">
        <v>6</v>
      </c>
      <c r="P7">
        <v>6</v>
      </c>
      <c r="R7" t="s">
        <v>34</v>
      </c>
      <c r="S7">
        <v>8</v>
      </c>
      <c r="T7">
        <v>0</v>
      </c>
      <c r="V7" t="s">
        <v>30</v>
      </c>
      <c r="W7">
        <v>5</v>
      </c>
      <c r="X7">
        <v>0</v>
      </c>
    </row>
    <row r="8" spans="2:24" x14ac:dyDescent="0.25">
      <c r="B8" t="s">
        <v>23</v>
      </c>
      <c r="C8">
        <v>25</v>
      </c>
      <c r="D8">
        <v>28</v>
      </c>
      <c r="F8" t="s">
        <v>3</v>
      </c>
      <c r="G8">
        <v>112</v>
      </c>
      <c r="H8">
        <v>120</v>
      </c>
      <c r="J8" s="4" t="s">
        <v>68</v>
      </c>
      <c r="K8">
        <v>22</v>
      </c>
      <c r="L8">
        <v>23</v>
      </c>
      <c r="R8" t="s">
        <v>35</v>
      </c>
      <c r="S8">
        <v>9</v>
      </c>
      <c r="T8">
        <v>0</v>
      </c>
    </row>
    <row r="9" spans="2:24" x14ac:dyDescent="0.25">
      <c r="B9" t="s">
        <v>22</v>
      </c>
      <c r="C9">
        <v>35</v>
      </c>
      <c r="D9">
        <v>39</v>
      </c>
      <c r="F9" t="s">
        <v>4</v>
      </c>
      <c r="G9">
        <v>119</v>
      </c>
      <c r="H9">
        <v>128</v>
      </c>
      <c r="J9" s="5" t="s">
        <v>69</v>
      </c>
      <c r="K9">
        <v>29</v>
      </c>
      <c r="L9">
        <v>31</v>
      </c>
      <c r="R9" t="s">
        <v>36</v>
      </c>
      <c r="S9">
        <v>10</v>
      </c>
      <c r="T9">
        <v>0</v>
      </c>
    </row>
    <row r="10" spans="2:24" x14ac:dyDescent="0.25">
      <c r="B10" t="s">
        <v>21</v>
      </c>
      <c r="C10">
        <v>45</v>
      </c>
      <c r="D10">
        <v>50</v>
      </c>
      <c r="F10" t="s">
        <v>79</v>
      </c>
      <c r="G10">
        <v>126</v>
      </c>
      <c r="H10">
        <v>135</v>
      </c>
      <c r="J10" s="4" t="s">
        <v>70</v>
      </c>
      <c r="K10">
        <v>32</v>
      </c>
      <c r="L10">
        <v>34</v>
      </c>
    </row>
    <row r="11" spans="2:24" x14ac:dyDescent="0.25">
      <c r="B11" t="s">
        <v>20</v>
      </c>
      <c r="C11">
        <v>50</v>
      </c>
      <c r="D11">
        <v>55</v>
      </c>
      <c r="F11" t="s">
        <v>80</v>
      </c>
      <c r="G11">
        <v>140</v>
      </c>
      <c r="H11">
        <v>150</v>
      </c>
    </row>
    <row r="12" spans="2:24" x14ac:dyDescent="0.25">
      <c r="B12" t="s">
        <v>19</v>
      </c>
      <c r="C12">
        <v>55</v>
      </c>
      <c r="D12">
        <v>61</v>
      </c>
    </row>
    <row r="13" spans="2:24" x14ac:dyDescent="0.25">
      <c r="B13" t="s">
        <v>18</v>
      </c>
      <c r="C13">
        <v>60</v>
      </c>
      <c r="D13">
        <v>66</v>
      </c>
    </row>
    <row r="14" spans="2:24" x14ac:dyDescent="0.25">
      <c r="B14" t="s">
        <v>17</v>
      </c>
      <c r="C14">
        <v>65</v>
      </c>
      <c r="D14">
        <v>72</v>
      </c>
      <c r="F14" t="s">
        <v>38</v>
      </c>
      <c r="G14" t="s">
        <v>39</v>
      </c>
      <c r="H14" t="s">
        <v>40</v>
      </c>
      <c r="J14" t="s">
        <v>49</v>
      </c>
      <c r="K14" t="s">
        <v>107</v>
      </c>
      <c r="L14" t="s">
        <v>108</v>
      </c>
      <c r="N14" t="s">
        <v>49</v>
      </c>
      <c r="O14" t="s">
        <v>53</v>
      </c>
      <c r="P14" t="s">
        <v>54</v>
      </c>
      <c r="R14" t="s">
        <v>131</v>
      </c>
      <c r="S14" t="s">
        <v>132</v>
      </c>
      <c r="T14" t="s">
        <v>133</v>
      </c>
    </row>
    <row r="15" spans="2:24" x14ac:dyDescent="0.25">
      <c r="B15" t="s">
        <v>16</v>
      </c>
      <c r="C15">
        <v>70</v>
      </c>
      <c r="D15">
        <v>77</v>
      </c>
      <c r="F15" t="s">
        <v>31</v>
      </c>
      <c r="G15">
        <v>0</v>
      </c>
      <c r="H15">
        <v>0</v>
      </c>
      <c r="J15" t="s">
        <v>50</v>
      </c>
      <c r="K15">
        <v>0</v>
      </c>
      <c r="L15">
        <v>0</v>
      </c>
      <c r="N15" t="s">
        <v>50</v>
      </c>
      <c r="O15">
        <v>0</v>
      </c>
      <c r="P15">
        <v>0</v>
      </c>
      <c r="R15" t="s">
        <v>2</v>
      </c>
      <c r="S15">
        <v>0</v>
      </c>
      <c r="T15" s="2">
        <v>0</v>
      </c>
    </row>
    <row r="16" spans="2:24" x14ac:dyDescent="0.25">
      <c r="B16" t="s">
        <v>15</v>
      </c>
      <c r="C16">
        <v>75</v>
      </c>
      <c r="D16">
        <v>83</v>
      </c>
      <c r="F16" t="s">
        <v>32</v>
      </c>
      <c r="G16">
        <v>35</v>
      </c>
      <c r="H16">
        <v>40</v>
      </c>
      <c r="J16" t="s">
        <v>51</v>
      </c>
      <c r="K16">
        <v>13</v>
      </c>
      <c r="L16">
        <v>25</v>
      </c>
      <c r="N16" t="s">
        <v>51</v>
      </c>
      <c r="O16">
        <v>13</v>
      </c>
      <c r="P16">
        <v>25</v>
      </c>
      <c r="R16" t="s">
        <v>134</v>
      </c>
      <c r="S16">
        <v>2</v>
      </c>
      <c r="T16" s="2">
        <v>0</v>
      </c>
    </row>
    <row r="17" spans="2:20" x14ac:dyDescent="0.25">
      <c r="B17" t="s">
        <v>14</v>
      </c>
      <c r="C17">
        <v>80</v>
      </c>
      <c r="D17">
        <v>88</v>
      </c>
      <c r="F17" t="s">
        <v>33</v>
      </c>
      <c r="G17">
        <v>46</v>
      </c>
      <c r="H17">
        <v>53</v>
      </c>
      <c r="J17" t="s">
        <v>52</v>
      </c>
      <c r="K17">
        <v>25</v>
      </c>
      <c r="L17">
        <v>50</v>
      </c>
      <c r="N17" t="s">
        <v>52</v>
      </c>
      <c r="O17">
        <v>25</v>
      </c>
      <c r="P17">
        <v>50</v>
      </c>
      <c r="R17" t="s">
        <v>135</v>
      </c>
      <c r="S17">
        <v>6</v>
      </c>
      <c r="T17" s="2">
        <v>0</v>
      </c>
    </row>
    <row r="18" spans="2:20" x14ac:dyDescent="0.25">
      <c r="B18" t="s">
        <v>13</v>
      </c>
      <c r="C18">
        <v>85</v>
      </c>
      <c r="D18">
        <v>94</v>
      </c>
      <c r="F18" t="s">
        <v>34</v>
      </c>
      <c r="G18">
        <v>56</v>
      </c>
      <c r="H18">
        <v>64</v>
      </c>
      <c r="R18" t="s">
        <v>136</v>
      </c>
      <c r="S18">
        <v>7</v>
      </c>
      <c r="T18" s="2">
        <v>0</v>
      </c>
    </row>
    <row r="19" spans="2:20" x14ac:dyDescent="0.25">
      <c r="B19" t="s">
        <v>8</v>
      </c>
      <c r="C19">
        <v>90</v>
      </c>
      <c r="D19">
        <v>99</v>
      </c>
      <c r="F19" t="s">
        <v>35</v>
      </c>
      <c r="G19">
        <v>63</v>
      </c>
      <c r="H19">
        <v>72</v>
      </c>
      <c r="R19" t="s">
        <v>3</v>
      </c>
      <c r="S19">
        <v>8</v>
      </c>
      <c r="T19" s="2">
        <v>0</v>
      </c>
    </row>
    <row r="20" spans="2:20" x14ac:dyDescent="0.25">
      <c r="B20" t="s">
        <v>12</v>
      </c>
      <c r="C20">
        <v>90</v>
      </c>
      <c r="D20">
        <v>99</v>
      </c>
      <c r="F20" t="s">
        <v>36</v>
      </c>
      <c r="G20">
        <v>70</v>
      </c>
      <c r="H20">
        <v>80</v>
      </c>
      <c r="R20" t="s">
        <v>4</v>
      </c>
      <c r="S20">
        <v>9</v>
      </c>
      <c r="T20" s="2">
        <v>0</v>
      </c>
    </row>
    <row r="21" spans="2:20" x14ac:dyDescent="0.25">
      <c r="B21" t="s">
        <v>9</v>
      </c>
      <c r="C21">
        <v>95</v>
      </c>
      <c r="D21">
        <v>105</v>
      </c>
      <c r="R21" t="s">
        <v>137</v>
      </c>
      <c r="S21">
        <v>10</v>
      </c>
      <c r="T21" s="2">
        <v>0</v>
      </c>
    </row>
    <row r="22" spans="2:20" x14ac:dyDescent="0.25">
      <c r="B22" t="s">
        <v>11</v>
      </c>
      <c r="C22">
        <v>95</v>
      </c>
      <c r="D22">
        <v>105</v>
      </c>
      <c r="R22" t="s">
        <v>138</v>
      </c>
      <c r="S22">
        <v>10</v>
      </c>
      <c r="T22" s="2">
        <v>0</v>
      </c>
    </row>
    <row r="23" spans="2:20" x14ac:dyDescent="0.25">
      <c r="B23" t="s">
        <v>10</v>
      </c>
      <c r="C23">
        <v>100</v>
      </c>
      <c r="D23">
        <v>110</v>
      </c>
    </row>
    <row r="25" spans="2:20" x14ac:dyDescent="0.25">
      <c r="B25" t="s">
        <v>152</v>
      </c>
      <c r="C25" t="s">
        <v>153</v>
      </c>
      <c r="D25" t="s">
        <v>154</v>
      </c>
      <c r="F25" t="s">
        <v>56</v>
      </c>
      <c r="G25" t="s">
        <v>57</v>
      </c>
      <c r="J25" t="s">
        <v>56</v>
      </c>
      <c r="K25" t="s">
        <v>57</v>
      </c>
      <c r="N25" t="s">
        <v>109</v>
      </c>
      <c r="O25" t="s">
        <v>110</v>
      </c>
      <c r="P25" t="s">
        <v>41</v>
      </c>
      <c r="R25" t="s">
        <v>37</v>
      </c>
      <c r="S25" t="s">
        <v>47</v>
      </c>
      <c r="T25" t="s">
        <v>48</v>
      </c>
    </row>
    <row r="26" spans="2:20" x14ac:dyDescent="0.25">
      <c r="B26" t="s">
        <v>155</v>
      </c>
      <c r="C26">
        <v>25</v>
      </c>
      <c r="D26">
        <v>50</v>
      </c>
      <c r="F26" t="s">
        <v>58</v>
      </c>
      <c r="G26">
        <v>15</v>
      </c>
      <c r="J26" t="s">
        <v>58</v>
      </c>
      <c r="K26">
        <v>15</v>
      </c>
      <c r="N26" t="s">
        <v>42</v>
      </c>
      <c r="O26">
        <v>0</v>
      </c>
      <c r="P26">
        <v>0</v>
      </c>
      <c r="R26" t="s">
        <v>42</v>
      </c>
      <c r="S26">
        <v>0</v>
      </c>
      <c r="T26">
        <v>0</v>
      </c>
    </row>
    <row r="27" spans="2:20" x14ac:dyDescent="0.25">
      <c r="F27" t="s">
        <v>59</v>
      </c>
      <c r="G27">
        <v>25</v>
      </c>
      <c r="J27" t="s">
        <v>59</v>
      </c>
      <c r="K27">
        <v>25</v>
      </c>
      <c r="N27" t="s">
        <v>43</v>
      </c>
      <c r="O27">
        <v>13</v>
      </c>
      <c r="P27">
        <v>25</v>
      </c>
      <c r="R27" t="s">
        <v>43</v>
      </c>
      <c r="S27">
        <v>13</v>
      </c>
      <c r="T27">
        <v>25</v>
      </c>
    </row>
    <row r="28" spans="2:20" x14ac:dyDescent="0.25">
      <c r="F28" t="s">
        <v>60</v>
      </c>
      <c r="G28">
        <v>50</v>
      </c>
      <c r="J28" t="s">
        <v>60</v>
      </c>
      <c r="K28">
        <v>50</v>
      </c>
      <c r="N28" t="s">
        <v>44</v>
      </c>
      <c r="O28">
        <v>25</v>
      </c>
      <c r="P28">
        <v>50</v>
      </c>
      <c r="R28" t="s">
        <v>44</v>
      </c>
      <c r="S28">
        <v>25</v>
      </c>
      <c r="T28">
        <v>50</v>
      </c>
    </row>
    <row r="29" spans="2:20" x14ac:dyDescent="0.25">
      <c r="F29" t="s">
        <v>61</v>
      </c>
      <c r="G29">
        <v>15</v>
      </c>
      <c r="J29" t="s">
        <v>321</v>
      </c>
      <c r="K29">
        <v>0</v>
      </c>
      <c r="N29" t="s">
        <v>45</v>
      </c>
      <c r="O29">
        <v>25</v>
      </c>
      <c r="P29">
        <v>50</v>
      </c>
      <c r="R29" t="s">
        <v>45</v>
      </c>
      <c r="S29">
        <v>25</v>
      </c>
      <c r="T29">
        <v>50</v>
      </c>
    </row>
    <row r="30" spans="2:20" x14ac:dyDescent="0.25">
      <c r="F30" t="s">
        <v>62</v>
      </c>
      <c r="G30">
        <v>30</v>
      </c>
      <c r="J30" t="s">
        <v>61</v>
      </c>
      <c r="K30">
        <v>15</v>
      </c>
      <c r="N30" t="s">
        <v>46</v>
      </c>
      <c r="O30">
        <v>25</v>
      </c>
      <c r="P30">
        <v>50</v>
      </c>
      <c r="R30" t="s">
        <v>46</v>
      </c>
      <c r="S30">
        <v>25</v>
      </c>
      <c r="T30">
        <v>50</v>
      </c>
    </row>
    <row r="31" spans="2:20" x14ac:dyDescent="0.25">
      <c r="F31" t="s">
        <v>55</v>
      </c>
      <c r="G31">
        <v>600</v>
      </c>
      <c r="J31" t="s">
        <v>62</v>
      </c>
      <c r="K31">
        <v>30</v>
      </c>
    </row>
    <row r="32" spans="2:20" x14ac:dyDescent="0.25">
      <c r="J32" t="s">
        <v>55</v>
      </c>
      <c r="K32">
        <v>600</v>
      </c>
    </row>
    <row r="35" spans="2:18" x14ac:dyDescent="0.25">
      <c r="B35" s="109" t="s">
        <v>165</v>
      </c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  <c r="P35" s="109"/>
      <c r="Q35" s="109"/>
      <c r="R35" s="109"/>
    </row>
    <row r="37" spans="2:18" x14ac:dyDescent="0.25">
      <c r="B37" t="s">
        <v>172</v>
      </c>
      <c r="H37" s="7" t="s">
        <v>96</v>
      </c>
      <c r="I37" s="7"/>
      <c r="J37" s="7"/>
      <c r="K37" s="7"/>
      <c r="L37" s="7"/>
      <c r="N37" s="7" t="s">
        <v>173</v>
      </c>
      <c r="O37" s="7"/>
      <c r="P37" s="7"/>
      <c r="Q37" s="7"/>
      <c r="R37" s="7"/>
    </row>
    <row r="38" spans="2:18" x14ac:dyDescent="0.25">
      <c r="B38" s="7" t="s">
        <v>167</v>
      </c>
      <c r="C38" s="7" t="s">
        <v>168</v>
      </c>
      <c r="D38" s="7" t="s">
        <v>169</v>
      </c>
      <c r="E38" s="7" t="s">
        <v>170</v>
      </c>
      <c r="F38" s="7" t="s">
        <v>171</v>
      </c>
      <c r="H38" s="7" t="s">
        <v>167</v>
      </c>
      <c r="I38" s="7" t="s">
        <v>168</v>
      </c>
      <c r="J38" s="7" t="s">
        <v>169</v>
      </c>
      <c r="K38" s="7" t="s">
        <v>170</v>
      </c>
      <c r="L38" s="7" t="s">
        <v>171</v>
      </c>
      <c r="N38" s="7" t="s">
        <v>167</v>
      </c>
      <c r="O38" s="7" t="s">
        <v>168</v>
      </c>
      <c r="P38" s="7" t="s">
        <v>169</v>
      </c>
      <c r="Q38" s="7" t="s">
        <v>170</v>
      </c>
      <c r="R38" s="7" t="s">
        <v>171</v>
      </c>
    </row>
    <row r="39" spans="2:18" x14ac:dyDescent="0.25">
      <c r="B39" s="7">
        <v>10</v>
      </c>
      <c r="C39" s="19" t="s">
        <v>248</v>
      </c>
      <c r="D39" s="19" t="s">
        <v>248</v>
      </c>
      <c r="E39" s="19" t="s">
        <v>248</v>
      </c>
      <c r="F39" s="19" t="s">
        <v>248</v>
      </c>
      <c r="H39" s="7">
        <v>10</v>
      </c>
      <c r="I39" s="7" t="s">
        <v>324</v>
      </c>
      <c r="J39" s="7" t="s">
        <v>322</v>
      </c>
      <c r="K39" s="7" t="s">
        <v>323</v>
      </c>
      <c r="L39" s="7" t="s">
        <v>322</v>
      </c>
      <c r="N39" s="7">
        <v>10</v>
      </c>
      <c r="O39" s="7" t="s">
        <v>174</v>
      </c>
      <c r="P39" s="7" t="s">
        <v>175</v>
      </c>
      <c r="Q39" s="7" t="s">
        <v>176</v>
      </c>
      <c r="R39" s="7" t="s">
        <v>176</v>
      </c>
    </row>
    <row r="40" spans="2:18" x14ac:dyDescent="0.25">
      <c r="B40" s="7">
        <v>9</v>
      </c>
      <c r="C40" s="7">
        <v>9</v>
      </c>
      <c r="D40" s="7">
        <v>9</v>
      </c>
      <c r="E40" s="7">
        <v>9</v>
      </c>
      <c r="F40" s="7">
        <v>9</v>
      </c>
      <c r="H40" s="7">
        <v>9</v>
      </c>
      <c r="I40" s="7">
        <v>7</v>
      </c>
      <c r="J40" s="7">
        <v>7</v>
      </c>
      <c r="K40" s="7">
        <v>8</v>
      </c>
      <c r="L40" s="7">
        <v>7</v>
      </c>
      <c r="N40" s="7">
        <v>9</v>
      </c>
      <c r="O40" s="7" t="s">
        <v>177</v>
      </c>
      <c r="P40" s="7" t="s">
        <v>178</v>
      </c>
      <c r="Q40" s="7" t="s">
        <v>179</v>
      </c>
      <c r="R40" s="7" t="s">
        <v>180</v>
      </c>
    </row>
    <row r="41" spans="2:18" x14ac:dyDescent="0.25">
      <c r="B41" s="7">
        <v>8</v>
      </c>
      <c r="C41" s="7">
        <v>8</v>
      </c>
      <c r="D41" s="7">
        <v>8</v>
      </c>
      <c r="E41" s="7">
        <v>8</v>
      </c>
      <c r="F41" s="7">
        <v>8</v>
      </c>
      <c r="H41" s="7">
        <v>8</v>
      </c>
      <c r="I41" s="7">
        <v>6.5</v>
      </c>
      <c r="J41" s="7">
        <v>6.5</v>
      </c>
      <c r="K41" s="7">
        <v>7.5</v>
      </c>
      <c r="L41" s="7">
        <v>6.5</v>
      </c>
      <c r="N41" s="7">
        <v>8</v>
      </c>
      <c r="O41" s="7" t="s">
        <v>181</v>
      </c>
      <c r="P41" s="7" t="s">
        <v>182</v>
      </c>
      <c r="Q41" s="7" t="s">
        <v>183</v>
      </c>
      <c r="R41" s="7" t="s">
        <v>184</v>
      </c>
    </row>
    <row r="42" spans="2:18" x14ac:dyDescent="0.25">
      <c r="B42" s="7">
        <v>7</v>
      </c>
      <c r="C42" s="7">
        <v>7</v>
      </c>
      <c r="D42" s="7">
        <v>7</v>
      </c>
      <c r="E42" s="7">
        <v>7</v>
      </c>
      <c r="F42" s="7">
        <v>7</v>
      </c>
      <c r="H42" s="7">
        <v>7</v>
      </c>
      <c r="I42" s="7">
        <v>6</v>
      </c>
      <c r="J42" s="7">
        <v>6</v>
      </c>
      <c r="K42" s="7">
        <v>6</v>
      </c>
      <c r="L42" s="7">
        <v>6</v>
      </c>
      <c r="N42" s="7">
        <v>7</v>
      </c>
      <c r="O42" s="7" t="s">
        <v>185</v>
      </c>
      <c r="P42" s="7" t="s">
        <v>186</v>
      </c>
      <c r="Q42" s="7" t="s">
        <v>187</v>
      </c>
      <c r="R42" s="7" t="s">
        <v>188</v>
      </c>
    </row>
    <row r="43" spans="2:18" x14ac:dyDescent="0.25">
      <c r="B43" s="7">
        <v>6</v>
      </c>
      <c r="C43" s="7">
        <v>6</v>
      </c>
      <c r="D43" s="7">
        <v>6</v>
      </c>
      <c r="E43" s="7">
        <v>6</v>
      </c>
      <c r="F43" s="7">
        <v>6</v>
      </c>
      <c r="H43" s="7">
        <v>6</v>
      </c>
      <c r="I43" s="7">
        <v>5</v>
      </c>
      <c r="J43" s="7">
        <v>5.5</v>
      </c>
      <c r="K43" s="7">
        <v>5.5</v>
      </c>
      <c r="L43" s="7">
        <v>5.5</v>
      </c>
      <c r="N43" s="7">
        <v>6</v>
      </c>
      <c r="O43" s="7" t="s">
        <v>189</v>
      </c>
      <c r="P43" s="7" t="s">
        <v>185</v>
      </c>
      <c r="Q43" s="7" t="s">
        <v>190</v>
      </c>
      <c r="R43" s="7" t="s">
        <v>191</v>
      </c>
    </row>
    <row r="44" spans="2:18" x14ac:dyDescent="0.25">
      <c r="B44" s="7">
        <v>5</v>
      </c>
      <c r="C44" s="7">
        <v>5</v>
      </c>
      <c r="D44" s="7">
        <v>5</v>
      </c>
      <c r="E44" s="7">
        <v>5</v>
      </c>
      <c r="F44" s="7">
        <v>5</v>
      </c>
      <c r="H44" s="7">
        <v>5</v>
      </c>
      <c r="I44" s="7">
        <v>4</v>
      </c>
      <c r="J44" s="7">
        <v>5</v>
      </c>
      <c r="K44" s="7">
        <v>5</v>
      </c>
      <c r="L44" s="7">
        <v>5</v>
      </c>
      <c r="N44" s="7">
        <v>5</v>
      </c>
      <c r="O44" s="7" t="s">
        <v>192</v>
      </c>
      <c r="P44" s="7" t="s">
        <v>189</v>
      </c>
      <c r="Q44" s="7" t="s">
        <v>193</v>
      </c>
      <c r="R44" s="7" t="s">
        <v>194</v>
      </c>
    </row>
    <row r="45" spans="2:18" x14ac:dyDescent="0.25">
      <c r="B45" s="7">
        <v>4</v>
      </c>
      <c r="C45" s="7">
        <v>4</v>
      </c>
      <c r="D45" s="7">
        <v>4</v>
      </c>
      <c r="E45" s="7">
        <v>4</v>
      </c>
      <c r="F45" s="7">
        <v>4</v>
      </c>
      <c r="H45" s="7">
        <v>4</v>
      </c>
      <c r="I45" s="7">
        <v>3.5</v>
      </c>
      <c r="J45" s="7">
        <v>4</v>
      </c>
      <c r="K45" s="7">
        <v>4.5</v>
      </c>
      <c r="L45" s="7">
        <v>4</v>
      </c>
      <c r="N45" s="7">
        <v>4</v>
      </c>
      <c r="O45" s="7" t="s">
        <v>195</v>
      </c>
      <c r="P45" s="7" t="s">
        <v>196</v>
      </c>
      <c r="Q45" s="7" t="s">
        <v>197</v>
      </c>
      <c r="R45" s="7" t="s">
        <v>192</v>
      </c>
    </row>
    <row r="46" spans="2:18" x14ac:dyDescent="0.25">
      <c r="B46" s="7">
        <v>3</v>
      </c>
      <c r="C46" s="7" t="s">
        <v>247</v>
      </c>
      <c r="D46" s="7" t="s">
        <v>247</v>
      </c>
      <c r="E46" s="7" t="s">
        <v>247</v>
      </c>
      <c r="F46" s="7" t="s">
        <v>247</v>
      </c>
      <c r="H46" s="7">
        <v>3</v>
      </c>
      <c r="I46" s="7" t="str">
        <f xml:space="preserve"> _xlfn.TEXTJOIN("",TRUE,"0","-",I45)</f>
        <v>0-3.5</v>
      </c>
      <c r="J46" s="7" t="str">
        <f t="shared" ref="J46:L46" si="0" xml:space="preserve"> _xlfn.TEXTJOIN("",TRUE,"0","-",J45)</f>
        <v>0-4</v>
      </c>
      <c r="K46" s="7" t="str">
        <f t="shared" si="0"/>
        <v>0-4.5</v>
      </c>
      <c r="L46" s="7" t="str">
        <f t="shared" si="0"/>
        <v>0-4</v>
      </c>
      <c r="N46" s="7">
        <v>3</v>
      </c>
      <c r="O46" s="7" t="str">
        <f>_xlfn.TEXTJOIN("",TRUE,"0","-",_xlfn.TEXTBEFORE(O45,"-"))</f>
        <v>0-33</v>
      </c>
      <c r="P46" s="7" t="str">
        <f t="shared" ref="P46:R46" si="1">_xlfn.TEXTJOIN("",TRUE,"0","-",_xlfn.TEXTBEFORE(P45,"-"))</f>
        <v>0-41</v>
      </c>
      <c r="Q46" s="7" t="str">
        <f t="shared" si="1"/>
        <v>0-28</v>
      </c>
      <c r="R46" s="7" t="str">
        <f t="shared" si="1"/>
        <v>0-42</v>
      </c>
    </row>
    <row r="47" spans="2:18" x14ac:dyDescent="0.25">
      <c r="B47" s="7"/>
      <c r="C47" s="7"/>
      <c r="D47" s="7"/>
      <c r="E47" s="7"/>
      <c r="F47" s="7"/>
    </row>
    <row r="48" spans="2:18" x14ac:dyDescent="0.25">
      <c r="B48" s="7" t="s">
        <v>241</v>
      </c>
      <c r="C48" s="7"/>
      <c r="D48" s="7"/>
      <c r="E48" s="7"/>
      <c r="F48" s="7"/>
      <c r="H48" s="7" t="s">
        <v>198</v>
      </c>
      <c r="I48" s="7"/>
      <c r="J48" s="7"/>
      <c r="K48" s="7"/>
      <c r="L48" s="7"/>
    </row>
    <row r="49" spans="2:12" x14ac:dyDescent="0.25">
      <c r="B49" s="7" t="s">
        <v>199</v>
      </c>
      <c r="C49" s="7" t="s">
        <v>168</v>
      </c>
      <c r="D49" s="7" t="s">
        <v>169</v>
      </c>
      <c r="E49" s="7" t="s">
        <v>170</v>
      </c>
      <c r="F49" s="7" t="s">
        <v>171</v>
      </c>
      <c r="H49" s="7" t="s">
        <v>199</v>
      </c>
      <c r="I49" s="7" t="s">
        <v>168</v>
      </c>
      <c r="J49" s="7" t="s">
        <v>169</v>
      </c>
      <c r="K49" s="7" t="s">
        <v>170</v>
      </c>
      <c r="L49" s="7" t="s">
        <v>171</v>
      </c>
    </row>
    <row r="50" spans="2:12" x14ac:dyDescent="0.25">
      <c r="B50" s="7">
        <v>10</v>
      </c>
      <c r="C50" s="18" t="s">
        <v>221</v>
      </c>
      <c r="D50" s="7" t="s">
        <v>222</v>
      </c>
      <c r="E50" s="7" t="s">
        <v>221</v>
      </c>
      <c r="F50" s="7" t="s">
        <v>222</v>
      </c>
      <c r="H50" s="7">
        <v>10</v>
      </c>
      <c r="I50" s="7" t="s">
        <v>200</v>
      </c>
      <c r="J50" s="7" t="s">
        <v>201</v>
      </c>
      <c r="K50" s="7" t="s">
        <v>200</v>
      </c>
      <c r="L50" s="7" t="s">
        <v>202</v>
      </c>
    </row>
    <row r="51" spans="2:12" x14ac:dyDescent="0.25">
      <c r="B51" s="7">
        <v>9</v>
      </c>
      <c r="C51" s="7" t="s">
        <v>223</v>
      </c>
      <c r="D51" s="7" t="s">
        <v>224</v>
      </c>
      <c r="E51" s="7" t="s">
        <v>225</v>
      </c>
      <c r="F51" s="7" t="s">
        <v>224</v>
      </c>
      <c r="H51" s="7">
        <v>9</v>
      </c>
      <c r="I51" s="7" t="s">
        <v>203</v>
      </c>
      <c r="J51" s="7" t="s">
        <v>204</v>
      </c>
      <c r="K51" s="7" t="s">
        <v>203</v>
      </c>
      <c r="L51" s="7" t="s">
        <v>205</v>
      </c>
    </row>
    <row r="52" spans="2:12" x14ac:dyDescent="0.25">
      <c r="B52" s="7">
        <v>8</v>
      </c>
      <c r="C52" s="7" t="s">
        <v>226</v>
      </c>
      <c r="D52" s="7" t="s">
        <v>227</v>
      </c>
      <c r="E52" s="7" t="s">
        <v>228</v>
      </c>
      <c r="F52" s="7" t="s">
        <v>227</v>
      </c>
      <c r="H52" s="7">
        <v>8</v>
      </c>
      <c r="I52" s="7" t="s">
        <v>206</v>
      </c>
      <c r="J52" s="7" t="s">
        <v>207</v>
      </c>
      <c r="K52" s="7" t="s">
        <v>206</v>
      </c>
      <c r="L52" s="7" t="s">
        <v>208</v>
      </c>
    </row>
    <row r="53" spans="2:12" x14ac:dyDescent="0.25">
      <c r="B53" s="7">
        <v>7</v>
      </c>
      <c r="C53" s="7" t="s">
        <v>229</v>
      </c>
      <c r="D53" s="7" t="s">
        <v>230</v>
      </c>
      <c r="E53" s="7" t="s">
        <v>231</v>
      </c>
      <c r="F53" s="7" t="s">
        <v>230</v>
      </c>
      <c r="H53" s="7">
        <v>7</v>
      </c>
      <c r="I53" s="7" t="s">
        <v>209</v>
      </c>
      <c r="J53" s="7" t="s">
        <v>210</v>
      </c>
      <c r="K53" s="7" t="s">
        <v>209</v>
      </c>
      <c r="L53" s="7" t="s">
        <v>211</v>
      </c>
    </row>
    <row r="54" spans="2:12" x14ac:dyDescent="0.25">
      <c r="B54" s="7">
        <v>6</v>
      </c>
      <c r="C54" s="7" t="s">
        <v>232</v>
      </c>
      <c r="D54" s="7" t="s">
        <v>233</v>
      </c>
      <c r="E54" s="7" t="s">
        <v>234</v>
      </c>
      <c r="F54" s="7" t="s">
        <v>233</v>
      </c>
      <c r="H54" s="7">
        <v>6</v>
      </c>
      <c r="I54" s="7" t="s">
        <v>212</v>
      </c>
      <c r="J54" s="7" t="s">
        <v>213</v>
      </c>
      <c r="K54" s="7" t="s">
        <v>212</v>
      </c>
      <c r="L54" s="7" t="s">
        <v>214</v>
      </c>
    </row>
    <row r="55" spans="2:12" x14ac:dyDescent="0.25">
      <c r="B55" s="7">
        <v>5</v>
      </c>
      <c r="C55" s="7" t="s">
        <v>235</v>
      </c>
      <c r="D55" s="7" t="s">
        <v>236</v>
      </c>
      <c r="E55" s="7" t="s">
        <v>237</v>
      </c>
      <c r="F55" s="7" t="s">
        <v>236</v>
      </c>
      <c r="H55" s="7">
        <v>5</v>
      </c>
      <c r="I55" s="7" t="s">
        <v>215</v>
      </c>
      <c r="J55" s="7" t="s">
        <v>216</v>
      </c>
      <c r="K55" s="7" t="s">
        <v>215</v>
      </c>
      <c r="L55" s="7" t="s">
        <v>217</v>
      </c>
    </row>
    <row r="56" spans="2:12" x14ac:dyDescent="0.25">
      <c r="B56" s="7">
        <v>4</v>
      </c>
      <c r="C56" s="7" t="s">
        <v>238</v>
      </c>
      <c r="D56" s="7" t="s">
        <v>239</v>
      </c>
      <c r="E56" s="7" t="s">
        <v>240</v>
      </c>
      <c r="F56" s="7" t="s">
        <v>239</v>
      </c>
      <c r="H56" s="7">
        <v>4</v>
      </c>
      <c r="I56" s="7" t="s">
        <v>218</v>
      </c>
      <c r="J56" s="7" t="s">
        <v>219</v>
      </c>
      <c r="K56" s="7" t="s">
        <v>218</v>
      </c>
      <c r="L56" s="7" t="s">
        <v>220</v>
      </c>
    </row>
    <row r="57" spans="2:12" x14ac:dyDescent="0.25">
      <c r="B57" s="7">
        <v>3</v>
      </c>
      <c r="C57" s="7" t="str">
        <f>_xlfn.TEXTJOIN("",TRUE,"0","-",_xlfn.TEXTBEFORE(C56,"-"))</f>
        <v>0-342</v>
      </c>
      <c r="D57" s="7" t="str">
        <f t="shared" ref="D57" si="2">_xlfn.TEXTJOIN("",TRUE,"0","-",_xlfn.TEXTBEFORE(D56,"-"))</f>
        <v>0-4</v>
      </c>
      <c r="E57" s="7" t="str">
        <f t="shared" ref="E57" si="3">_xlfn.TEXTJOIN("",TRUE,"0","-",_xlfn.TEXTBEFORE(E56,"-"))</f>
        <v>0-331</v>
      </c>
      <c r="F57" s="7" t="str">
        <f t="shared" ref="F57" si="4">_xlfn.TEXTJOIN("",TRUE,"0","-",_xlfn.TEXTBEFORE(F56,"-"))</f>
        <v>0-4</v>
      </c>
      <c r="H57" s="7">
        <v>3</v>
      </c>
      <c r="I57" s="7" t="str">
        <f>_xlfn.TEXTJOIN("",TRUE,"0","-",_xlfn.TEXTBEFORE(I56,"-"))</f>
        <v>0-306</v>
      </c>
      <c r="J57" s="7" t="str">
        <f t="shared" ref="J57" si="5">_xlfn.TEXTJOIN("",TRUE,"0","-",_xlfn.TEXTBEFORE(J56,"-"))</f>
        <v>0-268</v>
      </c>
      <c r="K57" s="7" t="str">
        <f t="shared" ref="K57" si="6">_xlfn.TEXTJOIN("",TRUE,"0","-",_xlfn.TEXTBEFORE(K56,"-"))</f>
        <v>0-306</v>
      </c>
      <c r="L57" s="7" t="str">
        <f t="shared" ref="L57" si="7">_xlfn.TEXTJOIN("",TRUE,"0","-",_xlfn.TEXTBEFORE(L56,"-"))</f>
        <v>0-328</v>
      </c>
    </row>
    <row r="58" spans="2:12" x14ac:dyDescent="0.25">
      <c r="B58" s="7"/>
      <c r="C58" s="7"/>
      <c r="D58" s="7"/>
      <c r="E58" s="7"/>
      <c r="F58" s="7"/>
    </row>
  </sheetData>
  <mergeCells count="2">
    <mergeCell ref="B35:R35"/>
    <mergeCell ref="B1:X2"/>
  </mergeCells>
  <phoneticPr fontId="1" type="noConversion"/>
  <pageMargins left="0.7" right="0.7" top="0.75" bottom="0.75" header="0.3" footer="0.3"/>
  <tableParts count="2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B5606-AD09-4D63-A492-B001DD18F0D1}">
  <sheetPr codeName="Sheet8"/>
  <dimension ref="A1:R57"/>
  <sheetViews>
    <sheetView topLeftCell="A4" zoomScale="190" zoomScaleNormal="130" workbookViewId="0">
      <selection activeCell="D27" sqref="D27"/>
    </sheetView>
  </sheetViews>
  <sheetFormatPr defaultRowHeight="15" x14ac:dyDescent="0.25"/>
  <cols>
    <col min="1" max="1" width="9.140625" style="148"/>
    <col min="2" max="2" width="20.7109375" style="148" customWidth="1"/>
    <col min="3" max="3" width="32.7109375" style="148" customWidth="1"/>
    <col min="4" max="4" width="38" style="148" customWidth="1"/>
    <col min="5" max="5" width="13.140625" style="148" customWidth="1"/>
    <col min="6" max="6" width="21.42578125" style="148" customWidth="1"/>
    <col min="7" max="7" width="21.28515625" style="148" customWidth="1"/>
    <col min="8" max="8" width="13.28515625" style="148" customWidth="1"/>
    <col min="9" max="9" width="19.85546875" style="148" bestFit="1" customWidth="1"/>
    <col min="10" max="10" width="21" style="149" customWidth="1"/>
    <col min="11" max="11" width="20.42578125" style="148" customWidth="1"/>
    <col min="12" max="16384" width="9.140625" style="148"/>
  </cols>
  <sheetData>
    <row r="1" spans="1:18" ht="15" customHeight="1" x14ac:dyDescent="0.25">
      <c r="A1" s="150" t="s">
        <v>333</v>
      </c>
      <c r="B1" s="150"/>
      <c r="C1" s="150"/>
      <c r="D1" s="150"/>
      <c r="E1" s="150"/>
    </row>
    <row r="2" spans="1:18" ht="15" customHeight="1" x14ac:dyDescent="0.25">
      <c r="A2" s="150"/>
      <c r="B2" s="150"/>
      <c r="C2" s="150"/>
      <c r="D2" s="150"/>
      <c r="E2" s="150"/>
    </row>
    <row r="3" spans="1:18" ht="15" customHeight="1" x14ac:dyDescent="0.25">
      <c r="A3" s="150"/>
      <c r="B3" s="150"/>
      <c r="C3" s="150"/>
      <c r="D3" s="150"/>
      <c r="E3" s="150"/>
    </row>
    <row r="4" spans="1:18" ht="15.75" thickBot="1" x14ac:dyDescent="0.3">
      <c r="A4" s="150"/>
      <c r="B4" s="150"/>
      <c r="C4" s="150"/>
      <c r="D4" s="150"/>
      <c r="E4" s="150"/>
    </row>
    <row r="5" spans="1:18" x14ac:dyDescent="0.25">
      <c r="A5" s="153" t="s">
        <v>140</v>
      </c>
      <c r="B5" s="151" t="s">
        <v>1</v>
      </c>
      <c r="C5" s="151" t="str" cm="1">
        <f t="array" ref="C5:C13">Table_Level_of_Education[[#All],[Level of Education]]</f>
        <v>Level of Education</v>
      </c>
      <c r="D5" s="151" t="s">
        <v>88</v>
      </c>
      <c r="E5" s="151" t="s">
        <v>164</v>
      </c>
      <c r="F5" s="151" t="s">
        <v>162</v>
      </c>
      <c r="G5" s="154" t="s">
        <v>163</v>
      </c>
      <c r="H5" s="155" t="s">
        <v>94</v>
      </c>
      <c r="I5" s="155" t="s">
        <v>161</v>
      </c>
      <c r="J5" s="156" t="s">
        <v>104</v>
      </c>
      <c r="K5" s="156" t="s">
        <v>105</v>
      </c>
      <c r="L5" s="155" t="str" cm="1">
        <f t="array" ref="L5:L11">Table_Core_Canadian_Experince[[#All],[Canadian work experience]]</f>
        <v>Canadian work experience</v>
      </c>
      <c r="M5" s="155" t="str" cm="1">
        <f t="array" ref="M5:M8">Foreign_work_Experince___CLB[[#All],[Years of experience]]</f>
        <v>Years of experience</v>
      </c>
      <c r="N5" s="155"/>
      <c r="O5" s="155" t="s">
        <v>141</v>
      </c>
      <c r="P5" s="155" t="s">
        <v>142</v>
      </c>
      <c r="Q5" s="155" t="s">
        <v>143</v>
      </c>
      <c r="R5" s="157" t="s">
        <v>82</v>
      </c>
    </row>
    <row r="6" spans="1:18" x14ac:dyDescent="0.25">
      <c r="A6" s="153" t="s">
        <v>86</v>
      </c>
      <c r="B6" s="151" t="s">
        <v>7</v>
      </c>
      <c r="C6" s="151" t="str">
        <v>Less than secondary school (high school)</v>
      </c>
      <c r="D6" s="151" t="str" cm="1">
        <f t="array" ref="D6:D7">'Official Score Data'!F29:F30</f>
        <v>Post-secondary education in Canada - credential of one or two years</v>
      </c>
      <c r="E6" s="151" t="s">
        <v>95</v>
      </c>
      <c r="F6" s="151" t="s">
        <v>95</v>
      </c>
      <c r="G6" s="153" t="s">
        <v>98</v>
      </c>
      <c r="H6" s="151" t="str" cm="1">
        <f t="array" ref="H6:H11">E6:E11</f>
        <v>CELPIP -G</v>
      </c>
      <c r="I6" s="153" t="str" cm="1">
        <f t="array" ref="I6:I11">_xlfn._xlws.FILTER(
E6:E11,
(E6:E11="None")+
(
(E6:E11&lt;&gt;Main!C11)*
IF(
OR(Main!C11=E9,Main!C11=E10),
(E6:E11&lt;&gt;E9)*(E6:E11&lt;&gt;E10),
TRUE
)*
IF(
OR(Main!C11=F6,Main!C11=F7,Main!C11=F8),
(E6:E11&lt;&gt;F6)*(E6:E11&lt;&gt;F7)*(E6:E11&lt;&gt;F8),
TRUE
)
)
)</f>
        <v>CELPIP -G</v>
      </c>
      <c r="J6" s="152">
        <v>4</v>
      </c>
      <c r="K6" s="151" t="str" cm="1">
        <f t="array" ref="K6:K9">Table_Second_language_proficiency[Second language proficiency]</f>
        <v>CLB 4 or less</v>
      </c>
      <c r="L6" s="151" t="str">
        <v>None or less than a year</v>
      </c>
      <c r="M6" s="151" t="str">
        <v>No foreign work experience</v>
      </c>
      <c r="N6" s="151"/>
      <c r="O6" s="151" t="str" cm="1">
        <f t="array" ref="O6:O9">Table_Spouse_langauge_benchmark[Canadian Language Benchmark (CLB) level per ability (reading, writing, speaking and listening)]</f>
        <v>CLB 4 or less</v>
      </c>
      <c r="P6" s="151" t="str" cm="1">
        <f t="array" ref="P6:P13">Table_Spouse_level_of_education[Spouse’s or common-law partner’s level of education]</f>
        <v>Less than secondary school (high school)</v>
      </c>
      <c r="Q6" s="151" t="str" cm="1">
        <f t="array" ref="Q6:Q11">Table_Spouse_Canadian_Experince[Spouse''s Canadian work experience]</f>
        <v>None or less than a year</v>
      </c>
      <c r="R6" s="151" t="s">
        <v>86</v>
      </c>
    </row>
    <row r="7" spans="1:18" x14ac:dyDescent="0.25">
      <c r="A7" s="153" t="s">
        <v>87</v>
      </c>
      <c r="B7" s="151" t="s">
        <v>8</v>
      </c>
      <c r="C7" s="151" t="str">
        <v>Secondary diploma (high school graduation)</v>
      </c>
      <c r="D7" s="151" t="str">
        <v>Post-secondary education in Canada - credential three years or longer</v>
      </c>
      <c r="E7" s="151" t="s">
        <v>96</v>
      </c>
      <c r="F7" s="151" t="s">
        <v>96</v>
      </c>
      <c r="G7" s="153" t="s">
        <v>99</v>
      </c>
      <c r="H7" s="151" t="str">
        <v>IELTS</v>
      </c>
      <c r="I7" s="153" t="str">
        <v>IELTS</v>
      </c>
      <c r="J7" s="152">
        <v>10</v>
      </c>
      <c r="K7" s="151" t="str">
        <v>CLB 5 or 6</v>
      </c>
      <c r="L7" s="151" t="str">
        <v>1 year</v>
      </c>
      <c r="M7" s="151" t="str">
        <v>1 or 2 years of foreign work experience</v>
      </c>
      <c r="N7" s="151"/>
      <c r="O7" s="151" t="str">
        <v>CLB 5 or 6</v>
      </c>
      <c r="P7" s="151" t="str">
        <v>Secondary school (high school graduation)</v>
      </c>
      <c r="Q7" s="151" t="str">
        <v>1 year</v>
      </c>
      <c r="R7" s="151" t="s">
        <v>87</v>
      </c>
    </row>
    <row r="8" spans="1:18" x14ac:dyDescent="0.25">
      <c r="B8" s="151" t="s">
        <v>9</v>
      </c>
      <c r="C8" s="151" t="str">
        <v>One-year degree, diploma or certificate from  a university, college, trade or technical school, or other institute</v>
      </c>
      <c r="D8" s="151"/>
      <c r="E8" s="151" t="s">
        <v>97</v>
      </c>
      <c r="F8" s="151" t="s">
        <v>97</v>
      </c>
      <c r="H8" s="151" t="str">
        <v>PTE Core</v>
      </c>
      <c r="I8" s="153" t="str">
        <v>PTE Core</v>
      </c>
      <c r="J8" s="152">
        <v>4</v>
      </c>
      <c r="K8" s="151" t="str">
        <v>CLB 7 or 8</v>
      </c>
      <c r="L8" s="151" t="str">
        <v>2 years</v>
      </c>
      <c r="M8" s="151" t="str">
        <v>3 years or more of foreign work experience</v>
      </c>
      <c r="N8" s="151"/>
      <c r="O8" s="151" t="str">
        <v>CLB 7 or 8</v>
      </c>
      <c r="P8" s="151" t="str">
        <v>One-year program at a university, college, trade or technical school, or other institute</v>
      </c>
      <c r="Q8" s="151" t="str">
        <v>2 years</v>
      </c>
    </row>
    <row r="9" spans="1:18" x14ac:dyDescent="0.25">
      <c r="B9" s="151" t="s">
        <v>10</v>
      </c>
      <c r="C9" s="151" t="str">
        <v>Two-year program at a university, college, trade or technical school, or other institute</v>
      </c>
      <c r="D9" s="151"/>
      <c r="E9" s="151" t="s">
        <v>98</v>
      </c>
      <c r="H9" s="151" t="str">
        <v>TEF Canada</v>
      </c>
      <c r="I9" s="153" t="str">
        <v>TEF Canada</v>
      </c>
      <c r="J9" s="152">
        <v>5</v>
      </c>
      <c r="K9" s="151" t="str">
        <v>CLB 9 or more</v>
      </c>
      <c r="L9" s="151" t="str">
        <v>3 years</v>
      </c>
      <c r="O9" s="151" t="str">
        <v>CLB 9 or more</v>
      </c>
      <c r="P9" s="151" t="str">
        <v>Two-year program at a university, college, trade or technical in school, or other institute</v>
      </c>
      <c r="Q9" s="151" t="str">
        <v>3 years</v>
      </c>
    </row>
    <row r="10" spans="1:18" x14ac:dyDescent="0.25">
      <c r="B10" s="151" t="s">
        <v>11</v>
      </c>
      <c r="C10" s="151" t="str">
        <v>Bachelor's degree OR  a three or more year program at a university, college, trade or technical school, or other institute</v>
      </c>
      <c r="D10" s="151"/>
      <c r="E10" s="151" t="s">
        <v>99</v>
      </c>
      <c r="H10" s="151" t="str">
        <v>TCF Canada</v>
      </c>
      <c r="I10" s="153" t="str">
        <v>TCF Canada</v>
      </c>
      <c r="J10" s="152">
        <v>6</v>
      </c>
      <c r="L10" s="151" t="str">
        <v>4 years</v>
      </c>
      <c r="P10" s="151" t="str">
        <v>Bachelor's degree OR  a three or more year program at a university, college, trade or technical school, or other institute</v>
      </c>
      <c r="Q10" s="151" t="str">
        <v>4 years</v>
      </c>
    </row>
    <row r="11" spans="1:18" x14ac:dyDescent="0.25">
      <c r="B11" s="151" t="s">
        <v>12</v>
      </c>
      <c r="C11" s="151" t="str">
        <v>Two or more certificates, diplomas, or degrees. One must be for a program of three or more years</v>
      </c>
      <c r="D11" s="151"/>
      <c r="E11" s="151" t="s">
        <v>106</v>
      </c>
      <c r="H11" s="151" t="str">
        <v>None</v>
      </c>
      <c r="I11" s="153" t="str">
        <v>None</v>
      </c>
      <c r="J11" s="152">
        <v>7</v>
      </c>
      <c r="L11" s="151" t="str">
        <v>5 years or more</v>
      </c>
      <c r="M11" s="148" t="s">
        <v>328</v>
      </c>
      <c r="P11" s="151" t="str">
        <v>Two or more certificates, diplomas, or degrees. One must be for a program of three or more years</v>
      </c>
      <c r="Q11" s="151" t="str">
        <v>5 years or more</v>
      </c>
    </row>
    <row r="12" spans="1:18" x14ac:dyDescent="0.25">
      <c r="B12" s="151" t="s">
        <v>13</v>
      </c>
      <c r="C12" s="151" t="str">
        <v>Master's degree, OR professional degree needed to practice in a licensed profession (For “professional degree,” the degree program must have been in: medicine, veterinary medicine, dentistry, optometry, law, chiropractic medicine, or pharmacy.)</v>
      </c>
      <c r="D12" s="151"/>
      <c r="E12" s="148" t="s">
        <v>328</v>
      </c>
      <c r="J12" s="152">
        <v>8</v>
      </c>
      <c r="P12" s="151" t="str">
        <v>Master's degree, or professional degree needed to practice in a licensed profession (For “professional degree”, the degree program must have been in: medicine, veterinary medicine, dentistry, optometry, law, chiropractic medicine, or pharmacy.)</v>
      </c>
      <c r="Q12" s="148" t="s">
        <v>328</v>
      </c>
    </row>
    <row r="13" spans="1:18" x14ac:dyDescent="0.25">
      <c r="B13" s="151" t="s">
        <v>14</v>
      </c>
      <c r="C13" s="151" t="str">
        <v>Doctoral level university degree (Ph.D.)</v>
      </c>
      <c r="J13" s="152">
        <v>9</v>
      </c>
      <c r="P13" s="151" t="str">
        <v>Doctoral level university degree (PhD)</v>
      </c>
      <c r="Q13" s="148" t="s">
        <v>328</v>
      </c>
    </row>
    <row r="14" spans="1:18" x14ac:dyDescent="0.25">
      <c r="B14" s="151" t="s">
        <v>15</v>
      </c>
      <c r="J14" s="152">
        <v>10</v>
      </c>
    </row>
    <row r="15" spans="1:18" x14ac:dyDescent="0.25">
      <c r="B15" s="151" t="s">
        <v>16</v>
      </c>
    </row>
    <row r="16" spans="1:18" x14ac:dyDescent="0.25">
      <c r="B16" s="151" t="s">
        <v>17</v>
      </c>
    </row>
    <row r="17" spans="2:10" x14ac:dyDescent="0.25">
      <c r="B17" s="151" t="s">
        <v>18</v>
      </c>
    </row>
    <row r="18" spans="2:10" x14ac:dyDescent="0.25">
      <c r="B18" s="151" t="s">
        <v>19</v>
      </c>
      <c r="I18" s="149"/>
      <c r="J18" s="148"/>
    </row>
    <row r="19" spans="2:10" x14ac:dyDescent="0.25">
      <c r="B19" s="151" t="s">
        <v>20</v>
      </c>
    </row>
    <row r="20" spans="2:10" x14ac:dyDescent="0.25">
      <c r="B20" s="151" t="s">
        <v>21</v>
      </c>
    </row>
    <row r="21" spans="2:10" x14ac:dyDescent="0.25">
      <c r="B21" s="151" t="s">
        <v>22</v>
      </c>
    </row>
    <row r="22" spans="2:10" x14ac:dyDescent="0.25">
      <c r="B22" s="151" t="s">
        <v>23</v>
      </c>
    </row>
    <row r="23" spans="2:10" x14ac:dyDescent="0.25">
      <c r="B23" s="151" t="s">
        <v>24</v>
      </c>
    </row>
    <row r="24" spans="2:10" x14ac:dyDescent="0.25">
      <c r="B24" s="151" t="s">
        <v>25</v>
      </c>
    </row>
    <row r="25" spans="2:10" x14ac:dyDescent="0.25">
      <c r="B25" s="151" t="s">
        <v>26</v>
      </c>
    </row>
    <row r="28" spans="2:10" x14ac:dyDescent="0.25">
      <c r="E28" s="149"/>
      <c r="J28" s="148"/>
    </row>
    <row r="29" spans="2:10" x14ac:dyDescent="0.25">
      <c r="D29" s="149"/>
      <c r="J29" s="148"/>
    </row>
    <row r="30" spans="2:10" x14ac:dyDescent="0.25">
      <c r="D30" s="149"/>
      <c r="J30" s="148"/>
    </row>
    <row r="31" spans="2:10" x14ac:dyDescent="0.25">
      <c r="B31" s="151" t="s">
        <v>331</v>
      </c>
      <c r="C31" s="151" t="s">
        <v>332</v>
      </c>
      <c r="D31" s="149"/>
      <c r="J31" s="148"/>
    </row>
    <row r="32" spans="2:10" x14ac:dyDescent="0.25">
      <c r="B32" s="151" t="s">
        <v>261</v>
      </c>
      <c r="C32" s="158" t="s">
        <v>326</v>
      </c>
      <c r="D32" s="149"/>
      <c r="J32" s="148"/>
    </row>
    <row r="33" spans="2:10" x14ac:dyDescent="0.25">
      <c r="B33" s="151" t="s">
        <v>1</v>
      </c>
      <c r="D33" s="149"/>
      <c r="J33" s="148"/>
    </row>
    <row r="34" spans="2:10" x14ac:dyDescent="0.25">
      <c r="B34" s="151" t="s">
        <v>305</v>
      </c>
      <c r="J34" s="148"/>
    </row>
    <row r="35" spans="2:10" x14ac:dyDescent="0.25">
      <c r="B35" s="151" t="s">
        <v>243</v>
      </c>
      <c r="J35" s="148"/>
    </row>
    <row r="36" spans="2:10" x14ac:dyDescent="0.25">
      <c r="B36" s="151" t="s">
        <v>244</v>
      </c>
      <c r="J36" s="148"/>
    </row>
    <row r="37" spans="2:10" x14ac:dyDescent="0.25">
      <c r="B37" s="151" t="s">
        <v>305</v>
      </c>
      <c r="C37" s="149"/>
      <c r="J37" s="148"/>
    </row>
    <row r="38" spans="2:10" x14ac:dyDescent="0.25">
      <c r="B38" s="151" t="s">
        <v>312</v>
      </c>
      <c r="C38" s="149"/>
      <c r="J38" s="148"/>
    </row>
    <row r="39" spans="2:10" x14ac:dyDescent="0.25">
      <c r="B39" s="151" t="s">
        <v>316</v>
      </c>
      <c r="C39" s="149"/>
      <c r="J39" s="148"/>
    </row>
    <row r="40" spans="2:10" x14ac:dyDescent="0.25">
      <c r="B40" s="151" t="s">
        <v>327</v>
      </c>
      <c r="C40" s="149"/>
      <c r="J40" s="148"/>
    </row>
    <row r="41" spans="2:10" x14ac:dyDescent="0.25">
      <c r="B41" s="151" t="s">
        <v>147</v>
      </c>
      <c r="C41" s="149"/>
      <c r="J41" s="148"/>
    </row>
    <row r="42" spans="2:10" x14ac:dyDescent="0.25">
      <c r="C42" s="149"/>
      <c r="J42" s="148"/>
    </row>
    <row r="43" spans="2:10" x14ac:dyDescent="0.25">
      <c r="D43" s="149"/>
      <c r="J43" s="148"/>
    </row>
    <row r="44" spans="2:10" x14ac:dyDescent="0.25">
      <c r="E44" s="149"/>
      <c r="J44" s="148"/>
    </row>
    <row r="45" spans="2:10" x14ac:dyDescent="0.25">
      <c r="E45" s="149"/>
      <c r="J45" s="148"/>
    </row>
    <row r="46" spans="2:10" x14ac:dyDescent="0.25">
      <c r="E46" s="149"/>
      <c r="J46" s="148"/>
    </row>
    <row r="47" spans="2:10" x14ac:dyDescent="0.25">
      <c r="E47" s="149"/>
      <c r="J47" s="148"/>
    </row>
    <row r="48" spans="2:10" x14ac:dyDescent="0.25">
      <c r="E48" s="149"/>
      <c r="J48" s="148"/>
    </row>
    <row r="49" spans="5:10" x14ac:dyDescent="0.25">
      <c r="E49" s="149"/>
      <c r="J49" s="148"/>
    </row>
    <row r="50" spans="5:10" x14ac:dyDescent="0.25">
      <c r="E50" s="149"/>
      <c r="J50" s="148"/>
    </row>
    <row r="51" spans="5:10" x14ac:dyDescent="0.25">
      <c r="E51" s="149"/>
      <c r="J51" s="148"/>
    </row>
    <row r="52" spans="5:10" x14ac:dyDescent="0.25">
      <c r="E52" s="149"/>
      <c r="J52" s="148"/>
    </row>
    <row r="53" spans="5:10" x14ac:dyDescent="0.25">
      <c r="E53" s="149"/>
      <c r="J53" s="148"/>
    </row>
    <row r="54" spans="5:10" x14ac:dyDescent="0.25">
      <c r="E54" s="149"/>
      <c r="J54" s="148"/>
    </row>
    <row r="55" spans="5:10" x14ac:dyDescent="0.25">
      <c r="E55" s="149"/>
      <c r="J55" s="148"/>
    </row>
    <row r="56" spans="5:10" x14ac:dyDescent="0.25">
      <c r="E56" s="149"/>
      <c r="J56" s="148"/>
    </row>
    <row r="57" spans="5:10" x14ac:dyDescent="0.25">
      <c r="E57" s="149"/>
      <c r="J57" s="148"/>
    </row>
  </sheetData>
  <sortState xmlns:xlrd2="http://schemas.microsoft.com/office/spreadsheetml/2017/richdata2" ref="B7:B25">
    <sortCondition ref="B25"/>
  </sortState>
  <mergeCells count="1">
    <mergeCell ref="A1:E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059CC-A2E3-4C6D-BFFB-84733C600B91}">
  <sheetPr codeName="Sheet7"/>
  <dimension ref="A1:C11"/>
  <sheetViews>
    <sheetView zoomScale="153" workbookViewId="0">
      <selection activeCell="F16" sqref="F16"/>
    </sheetView>
  </sheetViews>
  <sheetFormatPr defaultRowHeight="15" x14ac:dyDescent="0.25"/>
  <cols>
    <col min="1" max="1" width="40.140625" customWidth="1"/>
    <col min="2" max="2" width="54.5703125" customWidth="1"/>
  </cols>
  <sheetData>
    <row r="1" spans="1:3" ht="15.75" thickBot="1" x14ac:dyDescent="0.3"/>
    <row r="2" spans="1:3" x14ac:dyDescent="0.25">
      <c r="A2" s="127" t="s">
        <v>112</v>
      </c>
      <c r="B2" s="128"/>
    </row>
    <row r="3" spans="1:3" x14ac:dyDescent="0.25">
      <c r="A3" s="146" t="s">
        <v>330</v>
      </c>
      <c r="B3" s="147" t="s">
        <v>329</v>
      </c>
    </row>
    <row r="4" spans="1:3" x14ac:dyDescent="0.25">
      <c r="A4" s="8" t="str" cm="1">
        <f t="array" ref="A4:A11">Table_Level_of_Education[Level of Education]</f>
        <v>Less than secondary school (high school)</v>
      </c>
      <c r="B4" s="25" t="s">
        <v>42</v>
      </c>
    </row>
    <row r="5" spans="1:3" x14ac:dyDescent="0.25">
      <c r="A5" s="8" t="str">
        <v>Secondary diploma (high school graduation)</v>
      </c>
      <c r="B5" s="25" t="s">
        <v>42</v>
      </c>
    </row>
    <row r="6" spans="1:3" x14ac:dyDescent="0.25">
      <c r="A6" s="8" t="str">
        <v>One-year degree, diploma or certificate from  a university, college, trade or technical school, or other institute</v>
      </c>
      <c r="B6" s="25" t="s">
        <v>43</v>
      </c>
    </row>
    <row r="7" spans="1:3" x14ac:dyDescent="0.25">
      <c r="A7" s="8" t="str">
        <v>Two-year program at a university, college, trade or technical school, or other institute</v>
      </c>
      <c r="B7" s="25" t="s">
        <v>43</v>
      </c>
    </row>
    <row r="8" spans="1:3" x14ac:dyDescent="0.25">
      <c r="A8" s="8" t="str">
        <v>Bachelor's degree OR  a three or more year program at a university, college, trade or technical school, or other institute</v>
      </c>
      <c r="B8" s="25" t="s">
        <v>43</v>
      </c>
    </row>
    <row r="9" spans="1:3" x14ac:dyDescent="0.25">
      <c r="A9" s="8" t="str">
        <v>Two or more certificates, diplomas, or degrees. One must be for a program of three or more years</v>
      </c>
      <c r="B9" s="25" t="s">
        <v>44</v>
      </c>
      <c r="C9" t="s">
        <v>328</v>
      </c>
    </row>
    <row r="10" spans="1:3" x14ac:dyDescent="0.25">
      <c r="A10" s="8" t="str">
        <v>Master's degree, OR professional degree needed to practice in a licensed profession (For “professional degree,” the degree program must have been in: medicine, veterinary medicine, dentistry, optometry, law, chiropractic medicine, or pharmacy.)</v>
      </c>
      <c r="B10" s="25" t="s">
        <v>45</v>
      </c>
      <c r="C10" t="s">
        <v>328</v>
      </c>
    </row>
    <row r="11" spans="1:3" ht="15.75" thickBot="1" x14ac:dyDescent="0.3">
      <c r="A11" s="11" t="str">
        <v>Doctoral level university degree (Ph.D.)</v>
      </c>
      <c r="B11" s="26" t="s">
        <v>46</v>
      </c>
    </row>
  </sheetData>
  <mergeCells count="1">
    <mergeCell ref="A2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2F3063-54F2-4B4E-9568-FDFE1E2510F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17</vt:i4>
      </vt:variant>
    </vt:vector>
  </HeadingPairs>
  <TitlesOfParts>
    <vt:vector size="26" baseType="lpstr">
      <vt:lpstr>Main</vt:lpstr>
      <vt:lpstr>Charts</vt:lpstr>
      <vt:lpstr>KPI's</vt:lpstr>
      <vt:lpstr>Formulas</vt:lpstr>
      <vt:lpstr>Language CLB Calculations</vt:lpstr>
      <vt:lpstr>Canadian Experince Comparision</vt:lpstr>
      <vt:lpstr>Official Score Data</vt:lpstr>
      <vt:lpstr>Data Validation</vt:lpstr>
      <vt:lpstr>Education  Comparision</vt:lpstr>
      <vt:lpstr>Age_Chart</vt:lpstr>
      <vt:lpstr>ChartAdditionalPoints</vt:lpstr>
      <vt:lpstr>ChartAge</vt:lpstr>
      <vt:lpstr>ChartCanadianExperience</vt:lpstr>
      <vt:lpstr>ChartEducation</vt:lpstr>
      <vt:lpstr>ChartFirstLanguage</vt:lpstr>
      <vt:lpstr>ChartOverview</vt:lpstr>
      <vt:lpstr>ChartSecondLanguage</vt:lpstr>
      <vt:lpstr>ChartSkillTransferability</vt:lpstr>
      <vt:lpstr>ChartSpousePoints</vt:lpstr>
      <vt:lpstr>DefaultValue</vt:lpstr>
      <vt:lpstr>FirstLanguageType</vt:lpstr>
      <vt:lpstr>InputCells</vt:lpstr>
      <vt:lpstr>IsMarried?</vt:lpstr>
      <vt:lpstr>Overview_Chart</vt:lpstr>
      <vt:lpstr>SecondLanguageType</vt:lpstr>
      <vt:lpstr>YourScoreCalculation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 Gopi</dc:creator>
  <cp:lastModifiedBy>V Gopi</cp:lastModifiedBy>
  <dcterms:created xsi:type="dcterms:W3CDTF">2015-06-05T18:17:20Z</dcterms:created>
  <dcterms:modified xsi:type="dcterms:W3CDTF">2026-03-11T17:41:20Z</dcterms:modified>
</cp:coreProperties>
</file>